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mbeddings/oleObject_7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480" windowHeight="11640" tabRatio="601" activeTab="0"/>
  </bookViews>
  <sheets>
    <sheet name="voorblad" sheetId="1" r:id="rId1"/>
    <sheet name="foutmeldingen" sheetId="2" r:id="rId2"/>
    <sheet name="instructie" sheetId="3" r:id="rId3"/>
    <sheet name="0000" sheetId="4" r:id="rId4"/>
    <sheet name="Uitvoerbestand" sheetId="5" state="hidden" r:id="rId5"/>
    <sheet name="NAW" sheetId="6" state="hidden" r:id="rId6"/>
    <sheet name="individuele_prijsafspraken" sheetId="7" r:id="rId7"/>
    <sheet name="sjabloon zorgv.proj." sheetId="8" r:id="rId8"/>
    <sheet name="Extramuraal" sheetId="9" r:id="rId9"/>
  </sheets>
  <externalReferences>
    <externalReference r:id="rId12"/>
    <externalReference r:id="rId13"/>
    <externalReference r:id="rId14"/>
    <externalReference r:id="rId15"/>
    <externalReference r:id="rId16"/>
    <externalReference r:id="rId17"/>
    <externalReference r:id="rId18"/>
    <externalReference r:id="rId19"/>
  </externalReferences>
  <definedNames>
    <definedName name="__123Graph_C" localSheetId="8" hidden="1">'[5]I_03007'!#REF!</definedName>
    <definedName name="__123Graph_C" localSheetId="1" hidden="1">'[6]I_03007'!#REF!</definedName>
    <definedName name="__123Graph_C" localSheetId="7" hidden="1">'[3]I_03007'!#REF!</definedName>
    <definedName name="__123Graph_C" localSheetId="4" hidden="1">'[8]I_03007'!#REF!</definedName>
    <definedName name="__123Graph_C" localSheetId="0" hidden="1">'[4]I_03007'!#REF!</definedName>
    <definedName name="__123Graph_C" hidden="1">'[1]I_03007'!#REF!</definedName>
    <definedName name="__123Graph_D" localSheetId="8" hidden="1">'[5]I_03007'!#REF!</definedName>
    <definedName name="__123Graph_D" localSheetId="1" hidden="1">'[6]I_03007'!#REF!</definedName>
    <definedName name="__123Graph_D" localSheetId="7" hidden="1">'[3]I_03007'!#REF!</definedName>
    <definedName name="__123Graph_D" localSheetId="4" hidden="1">'[8]I_03007'!#REF!</definedName>
    <definedName name="__123Graph_D" localSheetId="0" hidden="1">'[4]I_03007'!#REF!</definedName>
    <definedName name="__123Graph_D" hidden="1">'[1]I_03007'!#REF!</definedName>
    <definedName name="__123Graph_E" localSheetId="8" hidden="1">'[5]I_03007'!#REF!</definedName>
    <definedName name="__123Graph_E" localSheetId="1" hidden="1">'[6]I_03007'!#REF!</definedName>
    <definedName name="__123Graph_E" localSheetId="7" hidden="1">'[3]I_03007'!#REF!</definedName>
    <definedName name="__123Graph_E" localSheetId="4" hidden="1">'[8]I_03007'!#REF!</definedName>
    <definedName name="__123Graph_E" localSheetId="0" hidden="1">'[4]I_03007'!#REF!</definedName>
    <definedName name="__123Graph_E" hidden="1">'[1]I_03007'!#REF!</definedName>
    <definedName name="__123Graph_Z" localSheetId="8" hidden="1">'[5]I_03007'!#REF!</definedName>
    <definedName name="__123Graph_Z" localSheetId="1" hidden="1">'[7]I_03007'!#REF!</definedName>
    <definedName name="__123Graph_Z" localSheetId="7" hidden="1">'[3]I_03007'!#REF!</definedName>
    <definedName name="__123Graph_Z" localSheetId="4" hidden="1">'[8]I_03007'!#REF!</definedName>
    <definedName name="__123Graph_Z" hidden="1">'[2]I_03007'!#REF!</definedName>
    <definedName name="_Order1" hidden="1">255</definedName>
    <definedName name="_Order2" hidden="1">255</definedName>
    <definedName name="_xlnm.Print_Area" localSheetId="3">'0000'!$K$7:$T$737</definedName>
    <definedName name="_xlnm.Print_Area" localSheetId="8">'Extramuraal'!$A$1:$K$145</definedName>
    <definedName name="_xlnm.Print_Area" localSheetId="1">'foutmeldingen'!$B$2:$D$24</definedName>
    <definedName name="_xlnm.Print_Area" localSheetId="2">'instructie'!$A$1:$K$86</definedName>
    <definedName name="_xlnm.Print_Area" localSheetId="0">'voorblad'!$A$28:$N$56</definedName>
    <definedName name="_xlnm.Print_Titles" localSheetId="3">'0000'!$A:$H,'0000'!$1:$2</definedName>
    <definedName name="_xlnm.Print_Titles" localSheetId="6">'individuele_prijsafspraken'!$2:$6</definedName>
    <definedName name="_xlnm.Print_Titles" localSheetId="2">'instructie'!$1:$4</definedName>
    <definedName name="_xlnm.Print_Titles" localSheetId="0">'voorblad'!$1:$8</definedName>
    <definedName name="Afdruktitels_MI">'[8]I_03007'!$1:$5</definedName>
    <definedName name="Expl_">'[8]I_03007'!#REF!</definedName>
    <definedName name="Expl_522">'[8]I_03007'!#REF!</definedName>
    <definedName name="Expl_523">'[8]I_03007'!#REF!</definedName>
    <definedName name="Expl_524">'[8]I_03007'!#REF!</definedName>
    <definedName name="Expl_525">'[8]I_03007'!#REF!</definedName>
    <definedName name="Expl_526">'[8]I_03007'!#REF!</definedName>
    <definedName name="getal_data">#REF!</definedName>
    <definedName name="kolom_data">#REF!</definedName>
    <definedName name="naam">#REF!</definedName>
    <definedName name="tabblad">#REF!</definedName>
    <definedName name="totaal1996">'[8]I_03007'!$A$4:$D$43</definedName>
    <definedName name="totaal1997">'[8]I_03007'!$A$46:$D$85</definedName>
    <definedName name="totaal1998">'[8]I_03007'!$A$88:$D$127</definedName>
    <definedName name="totaal1999">'[8]I_03007'!$A$130:$D$169</definedName>
    <definedName name="totaal2000">'[8]I_03007'!$A$172:$D$211</definedName>
    <definedName name="Z_02F43B7A_AFFF_4825_8211_D5478AADCB89_.wvu.Cols" localSheetId="3" hidden="1">'0000'!$N:$N</definedName>
    <definedName name="Z_02F43B7A_AFFF_4825_8211_D5478AADCB89_.wvu.PrintArea" localSheetId="3" hidden="1">'0000'!$K$1:$T$665</definedName>
    <definedName name="Z_02F43B7A_AFFF_4825_8211_D5478AADCB89_.wvu.PrintArea" localSheetId="0" hidden="1">'voorblad'!$A$30:$N$49</definedName>
    <definedName name="Z_02F43B7A_AFFF_4825_8211_D5478AADCB89_.wvu.PrintTitles" localSheetId="3" hidden="1">'0000'!$A:$H,'0000'!$1:$2</definedName>
    <definedName name="Z_02F43B7A_AFFF_4825_8211_D5478AADCB89_.wvu.PrintTitles" localSheetId="0" hidden="1">'voorblad'!$1:$7</definedName>
    <definedName name="Z_34764457_F5C6_45D2_BCBE_6ADC28B3881E_.wvu.Cols" localSheetId="3" hidden="1">'0000'!$N:$N</definedName>
    <definedName name="Z_34764457_F5C6_45D2_BCBE_6ADC28B3881E_.wvu.PrintArea" localSheetId="3" hidden="1">'0000'!$K$1:$T$665</definedName>
    <definedName name="Z_34764457_F5C6_45D2_BCBE_6ADC28B3881E_.wvu.PrintArea" localSheetId="0" hidden="1">'voorblad'!$A$30:$N$49</definedName>
    <definedName name="Z_34764457_F5C6_45D2_BCBE_6ADC28B3881E_.wvu.PrintTitles" localSheetId="3" hidden="1">'0000'!$A:$H,'0000'!$1:$2</definedName>
    <definedName name="Z_34764457_F5C6_45D2_BCBE_6ADC28B3881E_.wvu.PrintTitles" localSheetId="0" hidden="1">'voorblad'!$1:$7</definedName>
  </definedNames>
  <calcPr fullCalcOnLoad="1"/>
</workbook>
</file>

<file path=xl/sharedStrings.xml><?xml version="1.0" encoding="utf-8"?>
<sst xmlns="http://schemas.openxmlformats.org/spreadsheetml/2006/main" count="5510" uniqueCount="2345">
  <si>
    <t>Verzorgingsdagen kleinschalig wonen</t>
  </si>
  <si>
    <t xml:space="preserve"> -Juist en volledig ingevulde formulieren bespoedigen de afhandeling en voorkomen misverstanden in de communicatie. Ter ondersteuning zijn daartoe in het formulier enkele controles ingebouwd. Indien er een onjuistheid wordt geconstateerd verschijnt er op het voorblad in het vak waar ondertekening moet plaatsvinden een melding dat er een fout is. Op het blad foutmeldingen treft u een controlelijst aan en kunt u op eenvoudige wijze vaststellen waar het probleem zich voordoet en deze opheffen.</t>
  </si>
  <si>
    <t>0113-267000</t>
  </si>
  <si>
    <t>S</t>
  </si>
  <si>
    <t>*Het Hooghuys</t>
  </si>
  <si>
    <t>Psychiatrisch Instituut Het Hooghuys</t>
  </si>
  <si>
    <t>Van Bergenplein 39</t>
  </si>
  <si>
    <t>4871CD</t>
  </si>
  <si>
    <t>ETTEN-LEUR</t>
  </si>
  <si>
    <t>076-5026000</t>
  </si>
  <si>
    <t>VV</t>
  </si>
  <si>
    <t>VF</t>
  </si>
  <si>
    <t>Dagen intensieve behandelingen</t>
  </si>
  <si>
    <t>VZTOT</t>
  </si>
  <si>
    <t>DBA/D</t>
  </si>
  <si>
    <t>DBK</t>
  </si>
  <si>
    <t>DBV</t>
  </si>
  <si>
    <t>F004</t>
  </si>
  <si>
    <t>F005</t>
  </si>
  <si>
    <t>UDPTOT</t>
  </si>
  <si>
    <t>UPZTOT</t>
  </si>
  <si>
    <t>Cliënten zorgcoörd. i.c.m. casemanagem.</t>
  </si>
  <si>
    <t>WEERT</t>
  </si>
  <si>
    <r>
      <t xml:space="preserve">1.  Dit formulier kan door u worden gebruikt als </t>
    </r>
    <r>
      <rPr>
        <b/>
        <sz val="9"/>
        <rFont val="Arial"/>
        <family val="2"/>
      </rPr>
      <t>budgetformulier</t>
    </r>
    <r>
      <rPr>
        <sz val="9"/>
        <rFont val="Arial"/>
        <family val="2"/>
      </rPr>
      <t xml:space="preserve"> o</t>
    </r>
    <r>
      <rPr>
        <sz val="10"/>
        <rFont val="Arial"/>
        <family val="0"/>
      </rPr>
      <t>f</t>
    </r>
    <r>
      <rPr>
        <sz val="9"/>
        <rFont val="Arial"/>
        <family val="2"/>
      </rPr>
      <t xml:space="preserve"> als </t>
    </r>
    <r>
      <rPr>
        <b/>
        <sz val="9"/>
        <rFont val="Arial"/>
        <family val="2"/>
      </rPr>
      <t>mutatieformulier</t>
    </r>
    <r>
      <rPr>
        <sz val="9"/>
        <rFont val="Arial"/>
        <family val="2"/>
      </rPr>
      <t xml:space="preserve">. Het budgetformulier voorziet tevens in het formulier voor de voorlopige nacalculatie van de productie 2005. Op het voorblad kunt u </t>
    </r>
    <r>
      <rPr>
        <b/>
        <sz val="9"/>
        <rFont val="Arial"/>
        <family val="2"/>
      </rPr>
      <t>linksboven in een keuzevak</t>
    </r>
    <r>
      <rPr>
        <sz val="9"/>
        <rFont val="Arial"/>
        <family val="2"/>
      </rPr>
      <t xml:space="preserve"> aangeven welk type formulier u wenst te gebruiken. In het budgetformulier vult u alle gegevens in op jaarbasis. Het budgetformulier dient vóór 1 maart 2006 door CTG/ZAio te zijn ontvangen. Capaciteitswijzigingen en daarbij behorende productie die vanaf 1 januari 2006 ingaan dient u op het mutatieformulier capaciteitswijziging in te vullen. Voor eventuele overige mutaties, die later in het jaar aanleiding geven de productieafspraken met het zorgkantoor te wijzigen, kunt u het mutatieformulier regiokader nog tot 15 oktober 2006 bij CTG/ZAio indienen. Ten aanzien van het mutatieformulier capaciteitswijziging wordt u volledigheidshalve gewezen op de Beleidsregel Indieningstermijnen. Het formulier is ontworpen als een elektronisch formulier. Mocht blijken dat een bepaald gegeven niet in het formulier kan worden verwerkt, dan kunt u dit in een apart werkblad toelichten.</t>
    </r>
  </si>
  <si>
    <t>U kunt  volstaan met het per post naar CTG/ZAio sturen van het ondertekende voorblad en eventuele bijlagen. Op het voorblad is een controletotaal vermeld. CTG/Zaio zal het controletotaal van het ondertekende voorblad vergelijken met het controletotaal van het per e-mail verzonden exemplaar en bij een eventuele afwijking contact opnemen met partijen aangezien er in dat geval kennelijk na ondertekening wijzigingen in het bestand zijn aangebracht.</t>
  </si>
  <si>
    <t>050-5221221</t>
  </si>
  <si>
    <t>Postbus 30002</t>
  </si>
  <si>
    <t>RIAGG Zwolle</t>
  </si>
  <si>
    <t>Stichting RIAGG Zwolle</t>
  </si>
  <si>
    <t>038-4269426</t>
  </si>
  <si>
    <t>Postbus 473</t>
  </si>
  <si>
    <t>RIAGG IJsselland</t>
  </si>
  <si>
    <t>Stichting RIAGG IJsselland</t>
  </si>
  <si>
    <t>0570-615453</t>
  </si>
  <si>
    <t>Postbus 390</t>
  </si>
  <si>
    <t>*RIAGG Veluwe-Vallei</t>
  </si>
  <si>
    <t>Stichting RIAGG Veluwe-Vallei</t>
  </si>
  <si>
    <t>Oude Bennekomseweg 3</t>
  </si>
  <si>
    <t>6717LM</t>
  </si>
  <si>
    <t>0318-433400</t>
  </si>
  <si>
    <t>Deeltijd kinderen en jeugd (612)</t>
  </si>
  <si>
    <t>Deeltijd volwassenen en ouderen (614)</t>
  </si>
  <si>
    <t>Deeltijd volwassenen en ouderen (615)</t>
  </si>
  <si>
    <t>Psychiatrische intensieve thuiszorg/activerende psych. thuiszorg</t>
  </si>
  <si>
    <t>Psychiatrische crisisinterventie thuis</t>
  </si>
  <si>
    <t>per client per contact</t>
  </si>
  <si>
    <t>Prestaties gekoppeld aan de functie OB</t>
  </si>
  <si>
    <t>Gespecialiseerde begeleiding (Begeleid zelfst. wonen)</t>
  </si>
  <si>
    <t>Prestaties gekoppeld aan de functie AB of OB in dagdelen</t>
  </si>
  <si>
    <t>AB/OB</t>
  </si>
  <si>
    <t>Dagactiviteit GGZ-LZA (recreartie-educatie-arbeidsmatige activiteiten)</t>
  </si>
  <si>
    <t>Totaal overige GGZ-prestaties</t>
  </si>
  <si>
    <t>Voor een  nieuwe instelling (toegelaten na 31 maart 2003) dienen de prestaties F121, F122, F123 of F125 afgesproken te worden in het werkblad extramuraal</t>
  </si>
  <si>
    <t>Voor een  bestaande instelling dienen de prestaties F121, F122, F123 of F125 afgesproken te worden in het reguliere productiewerkblad.</t>
  </si>
  <si>
    <r>
      <t xml:space="preserve"> -Het werkblad met de naam 0000 is het "reguliere" budget- of mutatieformulier. U wordt verzocht de naam van het werkblad te vervangen door het instellingsnummer en zonodig op te vullen tot vier cijfers.</t>
    </r>
    <r>
      <rPr>
        <sz val="10"/>
        <rFont val="Arial"/>
        <family val="2"/>
      </rPr>
      <t xml:space="preserve"> </t>
    </r>
    <r>
      <rPr>
        <sz val="9"/>
        <rFont val="Arial"/>
        <family val="2"/>
      </rPr>
      <t>Bijvoorbeeld instellingsnummer 104 wordt dus 0104. Door het invullen van uw instellingsnummer verschijnen op de nodige bladen, ter identificatie, de naam van uw instelling. Heeft u echter nog geen instellingsnummer, omdat u een nieuwe zorgaanbieder bent, dan kunt u de naam van het werkblad wijzigen in 9999 (=nieuwe aanbieder). U kunt de naam wijzigen door met de muis de naam 0000 aan te wijzen en vervolgens op de rechter muisknop te klikken. U kunt de naam ook wijzigen door eerst het werkblad 0000 te kiezen en vervolgens via het menu te kiezen voor Opmaak, Blad, Naam wijzigen.</t>
    </r>
  </si>
  <si>
    <t>KHUNIN</t>
  </si>
  <si>
    <t>Individueel verblijf licht</t>
  </si>
  <si>
    <t>Kleinschalig groepsverblijf licht</t>
  </si>
  <si>
    <t>Kleinschalig verblijf zwaar</t>
  </si>
  <si>
    <t>Niet bezette plaatsen kleinschalig wonen</t>
  </si>
  <si>
    <t>Bedden (klinisch verblijf)</t>
  </si>
  <si>
    <t>Plaatsen kleinschalig wonen</t>
  </si>
  <si>
    <t>Toeslag categorie 1</t>
  </si>
  <si>
    <t>Toeslag categorie 2</t>
  </si>
  <si>
    <t>Toeslag categorie 3</t>
  </si>
  <si>
    <t xml:space="preserve">2004 en 2005, plus 6% (2% bij kleinschalig </t>
  </si>
  <si>
    <t>PIVLKW</t>
  </si>
  <si>
    <t>PGLKW</t>
  </si>
  <si>
    <t>PVZKW</t>
  </si>
  <si>
    <t>PTC1KW</t>
  </si>
  <si>
    <t>PTC2KW</t>
  </si>
  <si>
    <t>PTC3KW</t>
  </si>
  <si>
    <t>PNKW</t>
  </si>
  <si>
    <t>Structuur biedend/beperkte begeleiding</t>
  </si>
  <si>
    <t>VZ21</t>
  </si>
  <si>
    <t>Structuur biedend/volledige begeleiding</t>
  </si>
  <si>
    <t>VZ22</t>
  </si>
  <si>
    <t>Veranderingsgericht/beperkte begeleiding</t>
  </si>
  <si>
    <t>Controlelijst:</t>
  </si>
  <si>
    <t>ja/nee</t>
  </si>
  <si>
    <t>070-3916391</t>
  </si>
  <si>
    <t>*De Mark</t>
  </si>
  <si>
    <t>De Mark, Centrum voor Kinder- en Jeugdpsychiatrie</t>
  </si>
  <si>
    <t>Galderseweg 81</t>
  </si>
  <si>
    <t>4836AE</t>
  </si>
  <si>
    <t>076-5608200</t>
  </si>
  <si>
    <t>*APZ De Gelderse Roos</t>
  </si>
  <si>
    <t>Stichting De Gelderse Roos</t>
  </si>
  <si>
    <t>APZ Parnassia</t>
  </si>
  <si>
    <t>Stichting Parnassia</t>
  </si>
  <si>
    <t>070-3961273</t>
  </si>
  <si>
    <t>Stichting GGZ Groningen</t>
  </si>
  <si>
    <t>De Kijvelanden</t>
  </si>
  <si>
    <t>Stichting De Kijvelanden</t>
  </si>
  <si>
    <t>Kijvelandsekade 1</t>
  </si>
  <si>
    <t>3172AB</t>
  </si>
  <si>
    <t>010-5031308</t>
  </si>
  <si>
    <t>*De Argonaut</t>
  </si>
  <si>
    <t>De Argonaut</t>
  </si>
  <si>
    <t>AMSTERDAM ZUIDOOST</t>
  </si>
  <si>
    <t>020-5663384</t>
  </si>
  <si>
    <t>Postbus 12474</t>
  </si>
  <si>
    <t>Dr. S. van Mesdagkliniek</t>
  </si>
  <si>
    <t>Engelse Kamp 5</t>
  </si>
  <si>
    <t>9722AX</t>
  </si>
  <si>
    <t>Prod budget 2004 incl voorl nacalculatie cf regel 1154</t>
  </si>
  <si>
    <t>0513-619100</t>
  </si>
  <si>
    <t>Postbus 731</t>
  </si>
  <si>
    <t>*LOCM</t>
  </si>
  <si>
    <t xml:space="preserve">*) De afspraken ten laste van de MO-gelden dienen te zijn verwerkt in de "reguliere" </t>
  </si>
  <si>
    <t>Deeltijd volwassenen en ouderen (616)</t>
  </si>
  <si>
    <t>Deeltijd volwassenen en ouderen (617)</t>
  </si>
  <si>
    <t>Deeltijd volwassenen en ouderen (618)</t>
  </si>
  <si>
    <t>Deeltijd volwassenen en ouderen (619)</t>
  </si>
  <si>
    <t>Totaal  opleiding en energie ozb milieuheffingen</t>
  </si>
  <si>
    <t>nrs</t>
  </si>
  <si>
    <t>tabel dhr mevr</t>
  </si>
  <si>
    <t>Dhr</t>
  </si>
  <si>
    <t>Mevr</t>
  </si>
  <si>
    <t>tabel formulierkeuze</t>
  </si>
  <si>
    <t>tabel tekst op formulier</t>
  </si>
  <si>
    <t>tabel inzenddata</t>
  </si>
  <si>
    <t>tabel toelichting mutatiedatum</t>
  </si>
  <si>
    <t>Budgetformulier en formulier voorlopige nacalculatie</t>
  </si>
  <si>
    <t>CCAP06</t>
  </si>
  <si>
    <t>F053</t>
  </si>
  <si>
    <t>F054</t>
  </si>
  <si>
    <t>F055</t>
  </si>
  <si>
    <t>In dit onderdeel worden op basis van de productieafspraken 2006 de tarieven berekend en op basis van de werkelijke productie 2004 de tijdelijke toeslag of aftrek. Waar van toepassing wordt u gevraagd de afwezigheidsdagen in te vullen.</t>
  </si>
  <si>
    <t>Voorlopige exploitatie kapitaalslasten 2005 en instandhoudingsinvesteringen 2005 en 2006</t>
  </si>
  <si>
    <t xml:space="preserve">Instelling </t>
  </si>
  <si>
    <t>Zorgkantoor</t>
  </si>
  <si>
    <t>Plaats</t>
  </si>
  <si>
    <t>Contactpersoon</t>
  </si>
  <si>
    <t>Telefoon</t>
  </si>
  <si>
    <t>Fax</t>
  </si>
  <si>
    <t>E-mail</t>
  </si>
  <si>
    <t>(handtekening)</t>
  </si>
  <si>
    <t>(datum)</t>
  </si>
  <si>
    <t>(naam)</t>
  </si>
  <si>
    <t>TOELICHTING / INVULINSTRUCTIE</t>
  </si>
  <si>
    <t xml:space="preserve">1. </t>
  </si>
  <si>
    <t xml:space="preserve">2. </t>
  </si>
  <si>
    <t>LAREN NH</t>
  </si>
  <si>
    <t>035-5390411</t>
  </si>
  <si>
    <t>F.P.K. Oldenkotte</t>
  </si>
  <si>
    <t>Stichting F.P.K. Oldenkotte</t>
  </si>
  <si>
    <t>Kienvenneweg 18</t>
  </si>
  <si>
    <t>7157CC</t>
  </si>
  <si>
    <t>REKKEN</t>
  </si>
  <si>
    <t>0545-438888</t>
  </si>
  <si>
    <t>Postbus 13</t>
  </si>
  <si>
    <t>Stichting Altrecht</t>
  </si>
  <si>
    <t>030-2299500</t>
  </si>
  <si>
    <t>Raad van Bestuur</t>
  </si>
  <si>
    <t>De Jutters</t>
  </si>
  <si>
    <t>Stichting De Jutters, centrum voor Jeugd-GGZ Haaglanden</t>
  </si>
  <si>
    <t>Dr. van Welylaan 2</t>
  </si>
  <si>
    <t>2566ER</t>
  </si>
  <si>
    <t>070-3737500</t>
  </si>
  <si>
    <t>Postbus 61452</t>
  </si>
  <si>
    <t>De Grift</t>
  </si>
  <si>
    <t>Stichting De Grift</t>
  </si>
  <si>
    <t>Weerdjesstraat 10</t>
  </si>
  <si>
    <t>6811JE</t>
  </si>
  <si>
    <t>ARNHEM</t>
  </si>
  <si>
    <t>026-8451140</t>
  </si>
  <si>
    <t>Postbus 351</t>
  </si>
  <si>
    <t>*RBC</t>
  </si>
  <si>
    <t>Stichting RBC</t>
  </si>
  <si>
    <t>Monsterseweg 93</t>
  </si>
  <si>
    <t>2553RJ</t>
  </si>
  <si>
    <t>VZ25</t>
  </si>
  <si>
    <t>VZ2.5</t>
  </si>
  <si>
    <t>Jeugdigen in Ribw's</t>
  </si>
  <si>
    <t>Kwintes</t>
  </si>
  <si>
    <t>Stichting Kwintes</t>
  </si>
  <si>
    <t>WEFA</t>
  </si>
  <si>
    <t>WEK</t>
  </si>
  <si>
    <t>WJINT</t>
  </si>
  <si>
    <t>WJOND</t>
  </si>
  <si>
    <t>WJPSY</t>
  </si>
  <si>
    <t>WJGPS</t>
  </si>
  <si>
    <t>WJBEH</t>
  </si>
  <si>
    <t>WJGBE</t>
  </si>
  <si>
    <t>WJBUI</t>
  </si>
  <si>
    <t>WVINS</t>
  </si>
  <si>
    <t>Budget aanvaardbare kosten kolom 5</t>
  </si>
  <si>
    <t>volgens laatste rekenstaat lopend jaar</t>
  </si>
  <si>
    <t>Idem inclusief mutatie</t>
  </si>
  <si>
    <t>WVINT</t>
  </si>
  <si>
    <t>WVOND</t>
  </si>
  <si>
    <t>WVPSY</t>
  </si>
  <si>
    <t>WVGPS</t>
  </si>
  <si>
    <t>WVBEH</t>
  </si>
  <si>
    <t>WVGBE</t>
  </si>
  <si>
    <t>WVBUI</t>
  </si>
  <si>
    <t>WOINS</t>
  </si>
  <si>
    <t>WOINT</t>
  </si>
  <si>
    <t>WOOND</t>
  </si>
  <si>
    <t>WOPSY</t>
  </si>
  <si>
    <t>WOGPS</t>
  </si>
  <si>
    <t>WOBEH</t>
  </si>
  <si>
    <t>WOGBE</t>
  </si>
  <si>
    <t>verslaving</t>
  </si>
  <si>
    <t>diensterl/prev.</t>
  </si>
  <si>
    <t>ov.prod.kosten</t>
  </si>
  <si>
    <t>afspr05</t>
  </si>
  <si>
    <t>werk05</t>
  </si>
  <si>
    <t>afspr06</t>
  </si>
  <si>
    <t>Energiekosten, onroerendzaakbelasting en milieuheffingen</t>
  </si>
  <si>
    <t>Eerste opnames (klinisch en deeltijd)</t>
  </si>
  <si>
    <t>wonen)</t>
  </si>
  <si>
    <t>Nac. prod. in % totale productie</t>
  </si>
  <si>
    <t>% stijging</t>
  </si>
  <si>
    <t>bed/plaats</t>
  </si>
  <si>
    <t>****)</t>
  </si>
  <si>
    <t>Rehabilitatie</t>
  </si>
  <si>
    <t xml:space="preserve">Overige individuele loonkosten </t>
  </si>
  <si>
    <t xml:space="preserve">Overige individuele materiële kosten </t>
  </si>
  <si>
    <t xml:space="preserve"> 1.</t>
  </si>
  <si>
    <t>Mutatie</t>
  </si>
  <si>
    <t>CPCT</t>
  </si>
  <si>
    <t>Totaal</t>
  </si>
  <si>
    <t>Rekenstaat</t>
  </si>
  <si>
    <t>WCPCT</t>
  </si>
  <si>
    <t>Afspraak</t>
  </si>
  <si>
    <t>Werkelijk</t>
  </si>
  <si>
    <t>LOVER</t>
  </si>
  <si>
    <t>LPROD</t>
  </si>
  <si>
    <t>MOVER</t>
  </si>
  <si>
    <t>MPROD</t>
  </si>
  <si>
    <t>2.</t>
  </si>
  <si>
    <t>bedrag</t>
  </si>
  <si>
    <t>totaal</t>
  </si>
  <si>
    <t>Loonkosten overig</t>
  </si>
  <si>
    <t>Loonkosten productie</t>
  </si>
  <si>
    <t>Landelijk Ontwenningscentrum voor Molukkers</t>
  </si>
  <si>
    <t>Paradijsweg 15</t>
  </si>
  <si>
    <t>3832GT</t>
  </si>
  <si>
    <t>LEUSDEN</t>
  </si>
  <si>
    <t>*PZ Juliana-Oord</t>
  </si>
  <si>
    <t>Psychiatrisch Ziekenhuis Juliana-Oord</t>
  </si>
  <si>
    <t>Leemzeulder 35</t>
  </si>
  <si>
    <t>1251AM</t>
  </si>
  <si>
    <t>Dr. Kuno van Dijk Stichting</t>
  </si>
  <si>
    <t>Isala Klinieken</t>
  </si>
  <si>
    <t>IJsselmeer Ziekenhuizen</t>
  </si>
  <si>
    <t>EMMELOORD</t>
  </si>
  <si>
    <t>X</t>
  </si>
  <si>
    <t>PAAZ Streekziekenhuis Midden-Twente</t>
  </si>
  <si>
    <t>Streekziekenhuis Midden-Twente</t>
  </si>
  <si>
    <t>HENGELO OV</t>
  </si>
  <si>
    <t>Twenteborg Ziekenhuis</t>
  </si>
  <si>
    <t>ALMELO</t>
  </si>
  <si>
    <t>*) Bij de bezette bedden/ plaatsen wordt</t>
  </si>
  <si>
    <t>x dagen</t>
  </si>
  <si>
    <t>extramurale zorg</t>
  </si>
  <si>
    <t>Overige ambulante zorg</t>
  </si>
  <si>
    <t>120-</t>
  </si>
  <si>
    <t>WV14</t>
  </si>
  <si>
    <t>WV21</t>
  </si>
  <si>
    <t>WV22</t>
  </si>
  <si>
    <t>WV23</t>
  </si>
  <si>
    <t>WV24</t>
  </si>
  <si>
    <t>WV25</t>
  </si>
  <si>
    <t>WVF11</t>
  </si>
  <si>
    <t>WVF12</t>
  </si>
  <si>
    <t>WVF13</t>
  </si>
  <si>
    <t>WVF14</t>
  </si>
  <si>
    <t>WVF15</t>
  </si>
  <si>
    <t>WVF16</t>
  </si>
  <si>
    <t>WVA11</t>
  </si>
  <si>
    <t>WDA22</t>
  </si>
  <si>
    <t>WDK21</t>
  </si>
  <si>
    <t>WDK22</t>
  </si>
  <si>
    <t>WDK23</t>
  </si>
  <si>
    <t>WD31</t>
  </si>
  <si>
    <t>WD32</t>
  </si>
  <si>
    <t>WD33</t>
  </si>
  <si>
    <t>WD34</t>
  </si>
  <si>
    <t>WD41</t>
  </si>
  <si>
    <t>WD42</t>
  </si>
  <si>
    <t>WDBF</t>
  </si>
  <si>
    <t>WDA21</t>
  </si>
  <si>
    <t>WEA</t>
  </si>
  <si>
    <t>WEV</t>
  </si>
  <si>
    <t>WEFK</t>
  </si>
  <si>
    <t>per uur</t>
  </si>
  <si>
    <t>HV-2</t>
  </si>
  <si>
    <t>H102</t>
  </si>
  <si>
    <t>H104</t>
  </si>
  <si>
    <t>H121</t>
  </si>
  <si>
    <t>H130</t>
  </si>
  <si>
    <t>H147</t>
  </si>
  <si>
    <t>H116</t>
  </si>
  <si>
    <t>H173</t>
  </si>
  <si>
    <t>H625</t>
  </si>
  <si>
    <t>H120</t>
  </si>
  <si>
    <t>Persoonlijke verzorging speciaal</t>
  </si>
  <si>
    <t>Begeleiding speciaal 1</t>
  </si>
  <si>
    <t>Begeleiding speciaal 2</t>
  </si>
  <si>
    <t>Activerende begeleiding speciaal  3</t>
  </si>
  <si>
    <t>Activerende begeleiding speciaal  2</t>
  </si>
  <si>
    <t>Activerende begeleiding speciaal  1</t>
  </si>
  <si>
    <t>H328</t>
  </si>
  <si>
    <t>H329</t>
  </si>
  <si>
    <t>Op regel 927/ 928 moeten de m2 energie volgens de rekenstaat nog worden ingevuld. (geldt voor APZ én eventuele in rekenstaat verwerkte/gefuseerde RIAGG)</t>
  </si>
  <si>
    <t>Op regel 928 moeten de m2 energie volgens de rekenstaat nog worden ingevuld. (geldt voor zelfstandige RIAGG)</t>
  </si>
  <si>
    <t>Werkelijke sectoroverstijgende productie 2005 *)</t>
  </si>
  <si>
    <t>H330</t>
  </si>
  <si>
    <t>H326</t>
  </si>
  <si>
    <t>Behandeling basis som, pg, vg, lg</t>
  </si>
  <si>
    <t>Behandeling gedragswetenschapper</t>
  </si>
  <si>
    <t>Behandeling paramedisch</t>
  </si>
  <si>
    <t>Behandeling basis sglvg deeltijd</t>
  </si>
  <si>
    <t>DAGACTIVITEITEN</t>
  </si>
  <si>
    <t>H113</t>
  </si>
  <si>
    <t>H172</t>
  </si>
  <si>
    <t>H518</t>
  </si>
  <si>
    <t>H519</t>
  </si>
  <si>
    <t>H520</t>
  </si>
  <si>
    <t>H521</t>
  </si>
  <si>
    <t>H525</t>
  </si>
  <si>
    <t>H526</t>
  </si>
  <si>
    <t>H527</t>
  </si>
  <si>
    <t>H523</t>
  </si>
  <si>
    <t>Dagactiviteit ouderen som</t>
  </si>
  <si>
    <t>Dagactiviteit ouderen pg</t>
  </si>
  <si>
    <t>Dagactiviteit lg</t>
  </si>
  <si>
    <t>U wordt verzocht het ingevulde formulier per e-mail naar CTG/ZAio te zenden. Het adres is:      care@ctg-zaio.nl</t>
  </si>
  <si>
    <t>1441MN</t>
  </si>
  <si>
    <t>0299-470602</t>
  </si>
  <si>
    <t>RIBW Den Haag</t>
  </si>
  <si>
    <t>De Werf 15 -III</t>
  </si>
  <si>
    <t>2544EH</t>
  </si>
  <si>
    <t>070-3210214</t>
  </si>
  <si>
    <t>Teldersrode 25</t>
  </si>
  <si>
    <t>2717HR</t>
  </si>
  <si>
    <t>ZOETERMEER</t>
  </si>
  <si>
    <t>079-3203553</t>
  </si>
  <si>
    <t>Woonbegeleiding Delft Westland Oostland</t>
  </si>
  <si>
    <t>Stichting Woonbegeleiding Delft Westland Oostland</t>
  </si>
  <si>
    <t>015-2158044</t>
  </si>
  <si>
    <t>Postbus 3229</t>
  </si>
  <si>
    <t>*RIBW Midden-Holland</t>
  </si>
  <si>
    <t>RIBW Midden-Holland</t>
  </si>
  <si>
    <t>Laan van Vollenhove 31</t>
  </si>
  <si>
    <t>3706CA</t>
  </si>
  <si>
    <t>Crooswijksesingel 66</t>
  </si>
  <si>
    <t>3034CJ</t>
  </si>
  <si>
    <t>Postbus 22406</t>
  </si>
  <si>
    <t>RIBW GGZ Groep Europoort Istia</t>
  </si>
  <si>
    <t>Klamdijk 5</t>
  </si>
  <si>
    <t>3079EZ</t>
  </si>
  <si>
    <t>010-2916200</t>
  </si>
  <si>
    <t>Bosscheweg 57</t>
  </si>
  <si>
    <t>5056KA</t>
  </si>
  <si>
    <t>BERKEL-ENSCHOT</t>
  </si>
  <si>
    <t>013-5336646</t>
  </si>
  <si>
    <t>Akerstraat 8</t>
  </si>
  <si>
    <t>Sinai-Kliniek</t>
  </si>
  <si>
    <t>Laan 1914 23</t>
  </si>
  <si>
    <t>3818EZ</t>
  </si>
  <si>
    <t>AMERSFOORT</t>
  </si>
  <si>
    <t>033-4637666</t>
  </si>
  <si>
    <t>M</t>
  </si>
  <si>
    <t>Stichting Symfora Groep</t>
  </si>
  <si>
    <t>Utrechtseweg 266</t>
  </si>
  <si>
    <t>3818EW</t>
  </si>
  <si>
    <t>033-4609754</t>
  </si>
  <si>
    <t>Stichting Meerkanten</t>
  </si>
  <si>
    <t>ERMELO</t>
  </si>
  <si>
    <t>0341-566911</t>
  </si>
  <si>
    <t>*Willem Arntsz Hoeve</t>
  </si>
  <si>
    <t>Algemeen Psychiatrisch Ziekenhuis Willem Arntsz Hoeve</t>
  </si>
  <si>
    <t>Dolderseweg 164</t>
  </si>
  <si>
    <t>3734BN</t>
  </si>
  <si>
    <t>DEN DOLDER</t>
  </si>
  <si>
    <t>030-2299911</t>
  </si>
  <si>
    <t>*Willem Arntsz Huis</t>
  </si>
  <si>
    <t>Psychiatrisch Centrum Willem Arntsz Huis</t>
  </si>
  <si>
    <t>UTRECHT</t>
  </si>
  <si>
    <t>030-2308888</t>
  </si>
  <si>
    <t>(celverwijzing naar 0000'K10)</t>
  </si>
  <si>
    <t>Incl. voorl. index 2006</t>
  </si>
  <si>
    <t>*Het Christelijk Sanatorium</t>
  </si>
  <si>
    <t>Het bestuur van</t>
  </si>
  <si>
    <t>Het Christelijk Sanatorium</t>
  </si>
  <si>
    <t>Antonius Ziekenhuis</t>
  </si>
  <si>
    <t>SNEEK</t>
  </si>
  <si>
    <t>Medisch Centrum Leeuwarden/ Oranjeoord</t>
  </si>
  <si>
    <t>PAAZ Streekzkh Coevorden-Hardenberg</t>
  </si>
  <si>
    <t>Streekziekenhuis Coevorden-Hardenberg</t>
  </si>
  <si>
    <t>HARDENBERG</t>
  </si>
  <si>
    <t>Diaconessenhuis Meppel</t>
  </si>
  <si>
    <t>MEPPEL</t>
  </si>
  <si>
    <t>Stichting RIAGG Westelijke Mijnstreek</t>
  </si>
  <si>
    <t>SITTARD</t>
  </si>
  <si>
    <t>046-4599393</t>
  </si>
  <si>
    <t>Postbus 367</t>
  </si>
  <si>
    <t>RIAGG Maastricht</t>
  </si>
  <si>
    <t>Stichting RIAGG Maastricht</t>
  </si>
  <si>
    <t>Parallelweg 45</t>
  </si>
  <si>
    <t>6221BD</t>
  </si>
  <si>
    <t>043-3299699</t>
  </si>
  <si>
    <t>RIAGG Amersfoort e.o.</t>
  </si>
  <si>
    <t>Stichting RIAGG Amersfoort e.o.</t>
  </si>
  <si>
    <t>033-4603500</t>
  </si>
  <si>
    <t>Postbus 513</t>
  </si>
  <si>
    <t>Universitaire en Alg. KJP Nrd-Ned.</t>
  </si>
  <si>
    <t>Stichting Universitaire en Algemene KJP Noord-Nederland</t>
  </si>
  <si>
    <t>Hanzeplein 1</t>
  </si>
  <si>
    <t>9713GZ</t>
  </si>
  <si>
    <t>050-3681184</t>
  </si>
  <si>
    <t>Postbus 660</t>
  </si>
  <si>
    <t>Stichting GGZ regio Breda</t>
  </si>
  <si>
    <t>aanpak MO'  (van toepassing voor de zorgkantoren van Amsterdam, Rotterdam, Den Haag en Utrecht)</t>
  </si>
  <si>
    <t>CMO1</t>
  </si>
  <si>
    <t>CMO2</t>
  </si>
  <si>
    <t>*RIAGG Midden-Kennemerland</t>
  </si>
  <si>
    <t>BEVERWIJK</t>
  </si>
  <si>
    <t>0251-229200</t>
  </si>
  <si>
    <t>Postbus 500</t>
  </si>
  <si>
    <t>*RIAGG Midden-Holland</t>
  </si>
  <si>
    <t>Stichting RIAGG Midden-Holland</t>
  </si>
  <si>
    <t>Ronsseweg 225</t>
  </si>
  <si>
    <t>2803ZB</t>
  </si>
  <si>
    <t>GOUDA</t>
  </si>
  <si>
    <t>0182-516422</t>
  </si>
  <si>
    <t>RIAGG GGZ Groep Europoort</t>
  </si>
  <si>
    <t>Londen 4</t>
  </si>
  <si>
    <t>2993LA</t>
  </si>
  <si>
    <t>Postbus 245</t>
  </si>
  <si>
    <t>RIAGG Rijnmond Noord West</t>
  </si>
  <si>
    <t>Stichting RIAGG Rijnmond Noord-West</t>
  </si>
  <si>
    <t>Mathenesserlaan 208</t>
  </si>
  <si>
    <t>3014HH</t>
  </si>
  <si>
    <t>010-4361244</t>
  </si>
  <si>
    <t>*RIAGG Noord-Limburg</t>
  </si>
  <si>
    <t>Stichting RIAGG Noord-Limburg</t>
  </si>
  <si>
    <t>077-3550222</t>
  </si>
  <si>
    <t>Postbus 242</t>
  </si>
  <si>
    <t>RIAGG Midden-Limburg</t>
  </si>
  <si>
    <t>Stichting RIAGG Midden-Limburg</t>
  </si>
  <si>
    <t>Minister Beversstraat 3</t>
  </si>
  <si>
    <t>6042BL</t>
  </si>
  <si>
    <t>ROERMOND</t>
  </si>
  <si>
    <t>0475-387474</t>
  </si>
  <si>
    <t>Postbus 21</t>
  </si>
  <si>
    <t>*RIAGG Westelijke Mijnstreek</t>
  </si>
  <si>
    <t>BNA</t>
  </si>
  <si>
    <t>BNK</t>
  </si>
  <si>
    <t>BNV</t>
  </si>
  <si>
    <t>GRAFIEK BUDGETONTWIKKELING (vervolg)</t>
  </si>
  <si>
    <t>20.</t>
  </si>
  <si>
    <t>GRAFIEK BUDGETONTWIKKELING</t>
  </si>
  <si>
    <t>Grafiek budgetontwikkeling</t>
  </si>
  <si>
    <t>Streekziekenhuis Koningin Beatrix</t>
  </si>
  <si>
    <t>WINTERSWIJK</t>
  </si>
  <si>
    <t>Ziekenhuis Rijnstate</t>
  </si>
  <si>
    <t>De Gelderse Vallei</t>
  </si>
  <si>
    <t>PAAZ Maasziekenhuis Pantein</t>
  </si>
  <si>
    <t>Stichting Maasziekenhuis Pantein</t>
  </si>
  <si>
    <t>BOXMEER</t>
  </si>
  <si>
    <t>Canisius-Wilhelmina Ziekenhuis</t>
  </si>
  <si>
    <t>Ziekenhuis Eemland</t>
  </si>
  <si>
    <t>Ziekenhuis Rivierenland</t>
  </si>
  <si>
    <t>TIEL</t>
  </si>
  <si>
    <t>Hofpoort Ziekenhuis</t>
  </si>
  <si>
    <t>WOERDEN</t>
  </si>
  <si>
    <t>Mesos Medisch Centrum</t>
  </si>
  <si>
    <t>Streekziekenhuis Gooi-Noord</t>
  </si>
  <si>
    <t>BLARICUM</t>
  </si>
  <si>
    <t>*PAAZ Ziekenhuis Hilversum</t>
  </si>
  <si>
    <t>Ziekenhuis Hilversum</t>
  </si>
  <si>
    <t>HILVERSUM</t>
  </si>
  <si>
    <t>Medisch Centrum Alkmaar</t>
  </si>
  <si>
    <t>Westfries Gasthuis</t>
  </si>
  <si>
    <t>Kennemer Gasthuis</t>
  </si>
  <si>
    <t>HAARLEM</t>
  </si>
  <si>
    <t>Waterland Ziekenhuis</t>
  </si>
  <si>
    <t>PURMEREND</t>
  </si>
  <si>
    <t>Ziekenhuis De Heel</t>
  </si>
  <si>
    <t>Sint Lucas Andres Ziekenhuis</t>
  </si>
  <si>
    <t>*PAAZ Zkh Reinier de Graaf groep</t>
  </si>
  <si>
    <t>Ziekenhuis Reinier de Graaf Groep</t>
  </si>
  <si>
    <t>Het Groene Hart Ziekenhuis</t>
  </si>
  <si>
    <t>Albert Schweitzer Ziekenhuis</t>
  </si>
  <si>
    <t>Streekziekenhuis Walcheren</t>
  </si>
  <si>
    <t>VLISSINGEN</t>
  </si>
  <si>
    <t>PAAZ Ziekenhuisgroep Zeeuwsch-Vlaanderen</t>
  </si>
  <si>
    <t>Ziekenhuisgroep Zeeuwsch-Vlaanderen</t>
  </si>
  <si>
    <t>TERNEUZEN</t>
  </si>
  <si>
    <t>Ziekenhuis Lievensberg</t>
  </si>
  <si>
    <t>BERGEN OP ZOOM</t>
  </si>
  <si>
    <t>Amphia Ziekenhuis</t>
  </si>
  <si>
    <t>Sint Elisabeth Ziekenhuis</t>
  </si>
  <si>
    <t>TweeSteden Ziekenhuis</t>
  </si>
  <si>
    <t>Jeroen Bosch Ziekenhuis</t>
  </si>
  <si>
    <t>'S-HERTOGENBOSCH</t>
  </si>
  <si>
    <t>Catharina Ziekenhuis</t>
  </si>
  <si>
    <t>Sint Anna Ziekenhuis</t>
  </si>
  <si>
    <t>GELDROP</t>
  </si>
  <si>
    <t>Elkerliek Ziekenhuis</t>
  </si>
  <si>
    <t>HELMOND</t>
  </si>
  <si>
    <t>PAAZ M xima Medisch Centrum</t>
  </si>
  <si>
    <t>M xima Medisch Centrum</t>
  </si>
  <si>
    <t>VELDHOVEN</t>
  </si>
  <si>
    <t>Sint Laurentius Ziekenhuis</t>
  </si>
  <si>
    <t>Sint Jans Gasthuis</t>
  </si>
  <si>
    <t>Het werkblad waarop u de gegevens moet invullen heeft als naam 0000. U wordt verzocht dit nummer te vervangen door het instellingsnummer en zonodig op te vullen tot vier cijfers. Instellingsnummer 104 wordt dus 0104. Hierdoor verschijnt bovenin het formulier de naam en het nummer van de instelling. Dit zelfde nummer dient u toe te voegen aan de naam van het bestand. In dit voorbeeld: Budgetformulier 2005 GGZ 0104</t>
  </si>
  <si>
    <t>In dit onderdeel wordt ter informatie een eventuele capaciteitsuitbreiding, met de daarbij gemaakte productieafspraken, vergeleken met gemiddelde landelijke uitkomsten.</t>
  </si>
  <si>
    <t>Kies EERST hier uw juiste formulier !</t>
  </si>
  <si>
    <t>De Grote Rivieren</t>
  </si>
  <si>
    <t>GGZ regio Breda</t>
  </si>
  <si>
    <t>GGZ Midden-Brabant</t>
  </si>
  <si>
    <t>PAAZ Wilhelmina Ziekenhuis</t>
  </si>
  <si>
    <t>PAAZ Ziekenhuis Nij Smellinghe</t>
  </si>
  <si>
    <t>DMETH</t>
  </si>
  <si>
    <t>PAAZ De Tjongerschans</t>
  </si>
  <si>
    <t>PAAZ Antonius Ziekenhuis</t>
  </si>
  <si>
    <t>PAAZ MCL/Oranjeoord</t>
  </si>
  <si>
    <t>PAAZ Diaconessenhuis Meppel</t>
  </si>
  <si>
    <t>PAAZ Isala Klinieken</t>
  </si>
  <si>
    <t>PAAZ IJsselmeer Ziekenhuizen</t>
  </si>
  <si>
    <t>PAAZ Twenteborg Ziekenhuis</t>
  </si>
  <si>
    <t>PAAZ Medisch Spectrum Twente</t>
  </si>
  <si>
    <t>PAAZ Deventer Ziekenhuis</t>
  </si>
  <si>
    <t>PAAZ Gelre Ziekenhuizen</t>
  </si>
  <si>
    <t>PAAZ Slingeland Ziekenhuis</t>
  </si>
  <si>
    <t>PAAZ Streekzkh. Koningin Beatrix</t>
  </si>
  <si>
    <t>PAAZ Ziekenhuis Rijnstate</t>
  </si>
  <si>
    <t>PAAZ De Gelderse Vallei</t>
  </si>
  <si>
    <t>PAAZ Canisius-Wilhelmina Ziekenhuis</t>
  </si>
  <si>
    <t>PAAZ Ziekenhuis Eemland</t>
  </si>
  <si>
    <t>PAAZ Ziekenhuis Rivierenland</t>
  </si>
  <si>
    <t>PAAZ Hofpoort Ziekenhuis</t>
  </si>
  <si>
    <t>PAAZ Mesos Medisch Centrum</t>
  </si>
  <si>
    <t>PAAZ Streekziekenhuis Gooi-Noord</t>
  </si>
  <si>
    <t>PAAZ Medisch Centrum Alkmaar</t>
  </si>
  <si>
    <t>PAAZ Westfries Gasthuis</t>
  </si>
  <si>
    <t>PAAZ Kennemer Gasthuis</t>
  </si>
  <si>
    <t>PAAZ Waterland Ziekenhuis</t>
  </si>
  <si>
    <t>PAAZ Ziekenhuis De Heel</t>
  </si>
  <si>
    <t>Overzicht van de foutmeldingen</t>
  </si>
  <si>
    <t>Individueel met volledige begeleiding</t>
  </si>
  <si>
    <t>Continue tot zeer intensieve begeleiding</t>
  </si>
  <si>
    <t>Crisisinterventie</t>
  </si>
  <si>
    <t>Beperkte tot volledige begeleiding</t>
  </si>
  <si>
    <t>Continue tot zeer intensieve bescherming</t>
  </si>
  <si>
    <t>Stabilisatie met (beperkte) begeleiding</t>
  </si>
  <si>
    <t>Stabilisatie met (intensieve) bescherming</t>
  </si>
  <si>
    <t>Zeer intensief met (beperkte) begeleiding</t>
  </si>
  <si>
    <t>Herstellingsoord</t>
  </si>
  <si>
    <t>Resocialisatie FPA</t>
  </si>
  <si>
    <t>Behandeling FPA</t>
  </si>
  <si>
    <t>Long stay (basis) FPK</t>
  </si>
  <si>
    <t>Long stay (intensief) FPK</t>
  </si>
  <si>
    <t>Resocialisatie FPK</t>
  </si>
  <si>
    <t>Behandeling FPK</t>
  </si>
  <si>
    <t>Deeltijdbehandeling</t>
  </si>
  <si>
    <t>In vervolg op de vergelijkende cijfers van de zorgzwaarte wordt in dit onderdeel spiegelinformatie gegeven over het aantal contacten per inschrijving ten opzichte van het landelijk gemiddelde.</t>
  </si>
  <si>
    <t>Capaciteitsmutatie (daaronder ook te verstaan nieuwe instelling voor verblijf)</t>
  </si>
  <si>
    <t>regiokader</t>
  </si>
  <si>
    <t>&amp;. formulier voorl. nacal.</t>
  </si>
  <si>
    <t>16.</t>
  </si>
  <si>
    <t>15.</t>
  </si>
  <si>
    <t>Spiegelinformatie capaciteitsuitbreiding tov landelijke gemiddelden</t>
  </si>
  <si>
    <t>Nacalculatie vervoerskosten bij begeleiding in de GGZ</t>
  </si>
  <si>
    <t>Boven het voor de regio beschikbare bedrag om te contracteren zijn er een aantal extra middelen beschikbaar. AIV en voedingsvoorlichting komen voort uit het formulier extramuraal.</t>
  </si>
  <si>
    <t>9761TG</t>
  </si>
  <si>
    <t>EELDE</t>
  </si>
  <si>
    <t>050-3097500</t>
  </si>
  <si>
    <t>Postbus 20</t>
  </si>
  <si>
    <t>TACTUS</t>
  </si>
  <si>
    <t>Stichting TACTUS</t>
  </si>
  <si>
    <t>Hanzeweg 70</t>
  </si>
  <si>
    <t>7418AT</t>
  </si>
  <si>
    <t>0570-500100</t>
  </si>
  <si>
    <t>Postbus 154</t>
  </si>
  <si>
    <t>Centrum Maliebaan</t>
  </si>
  <si>
    <t>Stichting Verslavingszorg Utrecht</t>
  </si>
  <si>
    <t>030-2340034</t>
  </si>
  <si>
    <t>Postbus 14116</t>
  </si>
  <si>
    <t>Brijder Stichting</t>
  </si>
  <si>
    <t>072-5159104</t>
  </si>
  <si>
    <t>Postbus 414</t>
  </si>
  <si>
    <t>Dagen volwassenen en ouderen kort + lang</t>
  </si>
  <si>
    <t>Verzorgingsdagen beschermd wonen</t>
  </si>
  <si>
    <t>Totaal verzorgingsdagen</t>
  </si>
  <si>
    <t>prijspeil</t>
  </si>
  <si>
    <t>F131</t>
  </si>
  <si>
    <t>F132</t>
  </si>
  <si>
    <t>F133</t>
  </si>
  <si>
    <t>F134</t>
  </si>
  <si>
    <t>F135</t>
  </si>
  <si>
    <t>F136</t>
  </si>
  <si>
    <t>F137</t>
  </si>
  <si>
    <t>F138</t>
  </si>
  <si>
    <t>F139</t>
  </si>
  <si>
    <t>F140</t>
  </si>
  <si>
    <t>F141</t>
  </si>
  <si>
    <t>F142</t>
  </si>
  <si>
    <t>F143</t>
  </si>
  <si>
    <t>F144</t>
  </si>
  <si>
    <t>F145</t>
  </si>
  <si>
    <t>F146</t>
  </si>
  <si>
    <t>F147</t>
  </si>
  <si>
    <t>F148</t>
  </si>
  <si>
    <t>F149</t>
  </si>
  <si>
    <t>F150</t>
  </si>
  <si>
    <t>VZ2.1</t>
  </si>
  <si>
    <t>VZ2.2</t>
  </si>
  <si>
    <t>VZ2.3</t>
  </si>
  <si>
    <t>VZ2.4</t>
  </si>
  <si>
    <t>F452</t>
  </si>
  <si>
    <t>F454</t>
  </si>
  <si>
    <t>F462</t>
  </si>
  <si>
    <t>F464</t>
  </si>
  <si>
    <t>F466</t>
  </si>
  <si>
    <t>F472</t>
  </si>
  <si>
    <t>F474</t>
  </si>
  <si>
    <t>F476</t>
  </si>
  <si>
    <t>F478</t>
  </si>
  <si>
    <t>F482</t>
  </si>
  <si>
    <t>F484</t>
  </si>
  <si>
    <t>F491</t>
  </si>
  <si>
    <t>norm. m2</t>
  </si>
  <si>
    <t>Dhr/Mevr</t>
  </si>
  <si>
    <t>1.</t>
  </si>
  <si>
    <t>F080</t>
  </si>
  <si>
    <t>Bezette bedden, plaatsen</t>
  </si>
  <si>
    <t>Dienstverlening en preventie</t>
  </si>
  <si>
    <t>% In ambulante productie (regel 1120 t/m 1125)</t>
  </si>
  <si>
    <t>Gem. aantal fte dienstverl. en preventie *)</t>
  </si>
  <si>
    <t>Loon</t>
  </si>
  <si>
    <t>Materieel</t>
  </si>
  <si>
    <t>incl. onderhoud</t>
  </si>
  <si>
    <t>*) inclusief onderhoud</t>
  </si>
  <si>
    <t>**) De onderbezetting telt mee in de contracteerruimte van het regiokader van volgend jaar.</t>
  </si>
  <si>
    <r>
      <t xml:space="preserve">Waarvan met toeslag (t.b.v. normatieve vergoeding </t>
    </r>
    <r>
      <rPr>
        <b/>
        <u val="single"/>
        <sz val="9"/>
        <rFont val="Arial"/>
        <family val="2"/>
      </rPr>
      <t>kapitaalslasten</t>
    </r>
    <r>
      <rPr>
        <b/>
        <sz val="9"/>
        <rFont val="Arial"/>
        <family val="2"/>
      </rPr>
      <t>)</t>
    </r>
  </si>
  <si>
    <t>Op basis van de werkelijke productie in 2004, 2005 en de afspraken 2006 worden in dit hoofdstuk in de kolommen VI en VII het aantal bezette bedden en plaatsen berekend. Voor het aantal bedden en plaatsen dat moet worden ingevuld op regels 901 tot en met 911 en regels 916 tot en met 919 in kolom II kan van deze aantallen worden afgeweken, als daar aanleiding voor is. Bijvoorbeeld als gevolg van een uitbreiding in 2005. (Een eventuele capaciteitswijziging na 31 december 2005, te melden met het mutatieformulier, blijft in het budgetformulier buiten beschouwing bij het aantal in te vullen bedden/ plaatsen.) Bij toenemende productie kunnen in kolom II ten hoogste de aantallen uit kolom VI worden ingevuld. Bij afnemende productie gelden ten hoogste de aantallen van kolom VII.</t>
  </si>
  <si>
    <t xml:space="preserve">productieafspraken (regels 501 t/m 923). Ten behoeve van de oormerking van de MO-gelden </t>
  </si>
  <si>
    <t>budgetformulier</t>
  </si>
  <si>
    <t>mutatieformulier</t>
  </si>
  <si>
    <t>Situatieschets</t>
  </si>
  <si>
    <t>F050</t>
  </si>
  <si>
    <t>F051</t>
  </si>
  <si>
    <t>F052</t>
  </si>
  <si>
    <t>Stichting RIBW Leger des Heils GGZ Haaglanden</t>
  </si>
  <si>
    <t>Ruijsdaelstraat 51</t>
  </si>
  <si>
    <t>2525AB</t>
  </si>
  <si>
    <t>RIMO</t>
  </si>
  <si>
    <t>Stichting Regionale Instelling voor Maatschappelijke Opvang OZL</t>
  </si>
  <si>
    <t>Gerard Bruningstraat 6</t>
  </si>
  <si>
    <t>6416EB</t>
  </si>
  <si>
    <t>Postbus 663</t>
  </si>
  <si>
    <t>De indieningstermijn van het budgetformulier (1 maart) is verstreken. Voor het doorgeven van gegevens verzoeken wij u een keuze te maken tussen het mutatieformulier regiokader en/of mutatieformulier capaciteitswijziging.</t>
  </si>
  <si>
    <t>GGZ Oost-Brabant</t>
  </si>
  <si>
    <t>Adhesie</t>
  </si>
  <si>
    <t>Totaal excl.inschr.en toeslag buiten inst.</t>
  </si>
  <si>
    <t>CFINS</t>
  </si>
  <si>
    <t>CFINT</t>
  </si>
  <si>
    <t>CFPSY</t>
  </si>
  <si>
    <t>CFGPS</t>
  </si>
  <si>
    <t>CFBEH</t>
  </si>
  <si>
    <t>CFGBE</t>
  </si>
  <si>
    <t xml:space="preserve">4. </t>
  </si>
  <si>
    <t xml:space="preserve">5. </t>
  </si>
  <si>
    <t>gem. prijs</t>
  </si>
  <si>
    <t>per dag *)</t>
  </si>
  <si>
    <t xml:space="preserve">vast bedrag </t>
  </si>
  <si>
    <t>opname</t>
  </si>
  <si>
    <t>gem. aantal</t>
  </si>
  <si>
    <t>1e opname</t>
  </si>
  <si>
    <t>bedrag eerste</t>
  </si>
  <si>
    <t>Mutaties normatieve m2 energiekosten</t>
  </si>
  <si>
    <t>Landelijk gemiddelde prijs per bed en plaats (vast + variabel)</t>
  </si>
  <si>
    <t>Psychiatrische intensieve thuiszorg</t>
  </si>
  <si>
    <t>Bijlage zorgvernieuwingsprojecten</t>
  </si>
  <si>
    <t>capaciteits-</t>
  </si>
  <si>
    <t>mutatie</t>
  </si>
  <si>
    <t>13.</t>
  </si>
  <si>
    <t>14.</t>
  </si>
  <si>
    <t xml:space="preserve">mutatie </t>
  </si>
  <si>
    <t>Loonkosten aftrek vrijgevestigde psychiaters</t>
  </si>
  <si>
    <t>voorlopig</t>
  </si>
  <si>
    <t>n.v.t.</t>
  </si>
  <si>
    <t>Toeslag/Aftrek</t>
  </si>
  <si>
    <t>Geïndexeerde huur en erfpacht</t>
  </si>
  <si>
    <t>Niet-geïndexeerde huur en erfpacht</t>
  </si>
  <si>
    <t xml:space="preserve">rekening gehouden met de landelijk </t>
  </si>
  <si>
    <t>***) Totale bezette bedden kinderen</t>
  </si>
  <si>
    <t xml:space="preserve">****) Totale bezette bedden </t>
  </si>
  <si>
    <t>Activerende psychiatrisch thuiszorg</t>
  </si>
  <si>
    <t>LAVP</t>
  </si>
  <si>
    <t>Uren inloop per week (bedrag op jaarbasis)</t>
  </si>
  <si>
    <t>Uren recreatie-educatie-arbeidsmatige activiteit</t>
  </si>
  <si>
    <t>Uren begeleid zelfst.wonen</t>
  </si>
  <si>
    <t>Uren dienstverlening en preventie</t>
  </si>
  <si>
    <t>Landelijk</t>
  </si>
  <si>
    <t>Verbergen door lettertype wit</t>
  </si>
  <si>
    <t>Totaal volwassenen en ouderen kort + lang</t>
  </si>
  <si>
    <r>
      <t xml:space="preserve">*) Door partijen voorgestelde </t>
    </r>
    <r>
      <rPr>
        <u val="single"/>
        <sz val="9"/>
        <rFont val="Arial"/>
        <family val="2"/>
      </rPr>
      <t>mutatie</t>
    </r>
    <r>
      <rPr>
        <sz val="9"/>
        <rFont val="Arial"/>
        <family val="2"/>
      </rPr>
      <t xml:space="preserve"> op</t>
    </r>
  </si>
  <si>
    <t>Huishoudelijke hulp: alpha</t>
  </si>
  <si>
    <t>H125</t>
  </si>
  <si>
    <t>H144</t>
  </si>
  <si>
    <t>Registratienummer CTG/ZAio</t>
  </si>
  <si>
    <t>Waarvan sectoroverstijgende prod. cf regel 2610 op jaarbasis</t>
  </si>
  <si>
    <t>Waarvan sectoroverstijgende prod. cf regel 2610 op kasbasis</t>
  </si>
  <si>
    <t>*) De instelling stemt in met de doorlevering van gegevens zoals omschreven in de toelichting onderdeel algemeen punt 2 van dit formulier.</t>
  </si>
  <si>
    <t>Akkoord met doorlevering van gegevens *)</t>
  </si>
  <si>
    <t>2e tranche</t>
  </si>
  <si>
    <t>Cat. Nr.  Naam instelling</t>
  </si>
  <si>
    <t>Huidig budget 2006 vóór productieafspraken (kolom 4 rekenstaat)</t>
  </si>
  <si>
    <t>Voor plaatsen kleinschalig wonen kan er sprake zijn van een toeslag (zie Br kleinschalig wonen). Deze toeslag betreft kapitaalslasten. Aangezien het budgetformulier rekent met loon- en materiele kosten, worden de kapitaalslastenbedragen van de toeslagen niet vermeld. Een eventueel vermelde toeslag wordt verwerkt in de rekenstaat onder kapitaalslasten kleinschalig wonen.</t>
  </si>
  <si>
    <t>Totaal onderbezetting capaciteitsmutatie</t>
  </si>
  <si>
    <t xml:space="preserve"> -In 2005 zijn extra middelen beschikbaar gekomen voor jongeren in een justitiële jeugdinrichting én voor het verstrekken van methadon. Met ingang van 2006 zijn deze extra middelen onderdeel van de contracteerruimte geworden en ontbreken derhalve in 2006 in dit overzicht.</t>
  </si>
  <si>
    <t>Ondertekening namens het orgaan voor de gezondheidszorg: **)</t>
  </si>
  <si>
    <t>Ondertekening namens het zorgkantoor: **)</t>
  </si>
  <si>
    <t xml:space="preserve">Prestaties te leveren aan een </t>
  </si>
  <si>
    <t>individuele cliënt uitgedrukt in 'uren'</t>
  </si>
  <si>
    <t>HV-1</t>
  </si>
  <si>
    <t xml:space="preserve">*) Alleen van toepassing als hiervoor een productieafspraak is gemaakt. </t>
  </si>
  <si>
    <t>C Afspraak t.l.v. de contracteerruimte zorgzwaarte Gehandicaptenzorg</t>
  </si>
  <si>
    <t>B Afspraak t.l.v. de contracteerruimte zorgzwaarte Verpleeghuizen</t>
  </si>
  <si>
    <t>productieafspraken (regels 501 t/m 923). Ten behoeve van de oormerking van de jeugd-GGZ</t>
  </si>
  <si>
    <t>vult u op regel 1011 de waarde in die behoort bij de opgegeven afspraken jeugd-GGZ.</t>
  </si>
  <si>
    <t>vult u op regel 1013 de waarde in die behoort bij de opgegeven MO-afspraken.</t>
  </si>
  <si>
    <t>Financiële afspraken ten laste van de plan van aanpak MO 2006 ***)</t>
  </si>
  <si>
    <t xml:space="preserve">***) conform bijlage bij brief CTG-Zaio d.d. 20 april 2006 'Ophoging contracteerruimte i.v.m. plan van </t>
  </si>
  <si>
    <t xml:space="preserve">**) De afspraken ten laste van jeugd-GGZ dienen te zijn verwerkt in de "reguliere" </t>
  </si>
  <si>
    <t>CJGGZ</t>
  </si>
  <si>
    <t>Bavo, Centrum voor Psychiatrie</t>
  </si>
  <si>
    <t>Westersingel 93</t>
  </si>
  <si>
    <t>3015LC</t>
  </si>
  <si>
    <t>ROTTERDAM</t>
  </si>
  <si>
    <t>010-4363844</t>
  </si>
  <si>
    <t>Centrum '45</t>
  </si>
  <si>
    <t>Stichting Centrum '45</t>
  </si>
  <si>
    <t>Rijnzichtweg 35</t>
  </si>
  <si>
    <t>2342AX</t>
  </si>
  <si>
    <t>OEGSTGEEST</t>
  </si>
  <si>
    <t>071-5191500</t>
  </si>
  <si>
    <t>*Rijngeest groep, locatie Oegstgeest</t>
  </si>
  <si>
    <t>Endegeesterstraatweg 5</t>
  </si>
  <si>
    <t>2342AJ</t>
  </si>
  <si>
    <t>071-5179911</t>
  </si>
  <si>
    <t>Stichting GGZ Delfland</t>
  </si>
  <si>
    <t>DELFT</t>
  </si>
  <si>
    <t>015-2607607</t>
  </si>
  <si>
    <t>*Bloemendaal</t>
  </si>
  <si>
    <t>Chr. Psychiatrisch Centrum Bloemendaal</t>
  </si>
  <si>
    <t>'S-GRAVENHAGE</t>
  </si>
  <si>
    <t>070-3910101</t>
  </si>
  <si>
    <t>*Rosenburg</t>
  </si>
  <si>
    <t>Stichting Rosenburg</t>
  </si>
  <si>
    <t>070-3975051</t>
  </si>
  <si>
    <t>Postbus 53019</t>
  </si>
  <si>
    <t>*Crisisinterventiecentrum</t>
  </si>
  <si>
    <t>Crisisinterventiecentrum Dr. Schroeder van der Kolk</t>
  </si>
  <si>
    <t>070-3687470</t>
  </si>
  <si>
    <t>*Robert-Fleury Stichting</t>
  </si>
  <si>
    <t>Robert-Fleury Stichting</t>
  </si>
  <si>
    <t>Veursestraatweg 185</t>
  </si>
  <si>
    <t>2264EG</t>
  </si>
  <si>
    <t>LEIDSCHENDAM</t>
  </si>
  <si>
    <t>070-4441000</t>
  </si>
  <si>
    <t>Postbus 422</t>
  </si>
  <si>
    <t>*Delta Psychiatrisch Ziekenhuis</t>
  </si>
  <si>
    <t>Stichting DeltaBouman</t>
  </si>
  <si>
    <t>POORTUGAAL</t>
  </si>
  <si>
    <t>010-5031313</t>
  </si>
  <si>
    <t>Postbus 800</t>
  </si>
  <si>
    <t>Stichting De Grote Rivieren</t>
  </si>
  <si>
    <t>Hoge Bakstraat 44</t>
  </si>
  <si>
    <t>3311WJ</t>
  </si>
  <si>
    <t>DORDRECHT</t>
  </si>
  <si>
    <t>078-6114411</t>
  </si>
  <si>
    <t>Emergis</t>
  </si>
  <si>
    <t>Stichting Emergis</t>
  </si>
  <si>
    <t>Oostmolenweg 101</t>
  </si>
  <si>
    <t>4481PM</t>
  </si>
  <si>
    <t>KLOETINGE</t>
  </si>
  <si>
    <t>Stichting GGZ Nijmegen</t>
  </si>
  <si>
    <t>Nijmeegsebaan 61</t>
  </si>
  <si>
    <t>6525DX</t>
  </si>
  <si>
    <t>NIJMEGEN</t>
  </si>
  <si>
    <t>024-3283911</t>
  </si>
  <si>
    <t xml:space="preserve"> -Het werkblad "sjabloon zorgvernieuwingsprojecten" kunt u gebruiken als bijlage voor de specificatie van de zorgvernieuwingsprojecten.</t>
  </si>
  <si>
    <t>per aanwezigheidsdag</t>
  </si>
  <si>
    <t>Dit onderdeel is van belang om, vooruitlopend op de nacalculatie, het budget (en de bevoorschotting) af te stemmen op de omvang van de naar verwachting werkelijk na te calculeren kosten. Naast de mutatie van de kapitaalslasten wordt ook gevraagd de (verwachte) instandhoudingsinvesteringen op te geven over 2005 en 2006.</t>
  </si>
  <si>
    <t>GGZ-INSTELLINGEN (Psychiatrische ziekenhuizen/RIAGG's/RIBW's/PAAZ-en)</t>
  </si>
  <si>
    <t>RIBW Leger des Heils GGZ Groningen</t>
  </si>
  <si>
    <t>RIBW Leger des Heils GGZ-MCR</t>
  </si>
  <si>
    <t>RIBW Leger des Heils GGZ Arnhem</t>
  </si>
  <si>
    <t>RIBW Leger des Heils/Domus Heerlen</t>
  </si>
  <si>
    <t>RIBW Leger des Heils/Domus Eindhoven</t>
  </si>
  <si>
    <t>Resultaat</t>
  </si>
  <si>
    <t>afspraak</t>
  </si>
  <si>
    <t>prijsafspraak</t>
  </si>
  <si>
    <t>A.2.1</t>
  </si>
  <si>
    <t>A.2.2</t>
  </si>
  <si>
    <t>K.2.1</t>
  </si>
  <si>
    <t>K.2.2</t>
  </si>
  <si>
    <t>K.2.3</t>
  </si>
  <si>
    <t>V.3.1</t>
  </si>
  <si>
    <t>V.3.2</t>
  </si>
  <si>
    <t>V.3.3</t>
  </si>
  <si>
    <t>V.3.4</t>
  </si>
  <si>
    <t>V.4.1</t>
  </si>
  <si>
    <t>V.4.2</t>
  </si>
  <si>
    <t>F124</t>
  </si>
  <si>
    <t>F121</t>
  </si>
  <si>
    <t>F122</t>
  </si>
  <si>
    <t>Uren gespecialiseerde begeleiding (beg. zelfst. wonen)</t>
  </si>
  <si>
    <t>F123</t>
  </si>
  <si>
    <t>F125</t>
  </si>
  <si>
    <t>058-2678999</t>
  </si>
  <si>
    <t>Postbus 6088</t>
  </si>
  <si>
    <t>Dr. Leo Kannerhuis</t>
  </si>
  <si>
    <t>Jhr Nedermeijer van Rosenthalweg 16</t>
  </si>
  <si>
    <t>6862ZV</t>
  </si>
  <si>
    <t>OOSTERBEEK</t>
  </si>
  <si>
    <t>026-3333037</t>
  </si>
  <si>
    <t>Postbus 62</t>
  </si>
  <si>
    <t>KJP Oost-Nederland</t>
  </si>
  <si>
    <t>Stichting KJP Oost-Nederland</t>
  </si>
  <si>
    <t>Dennenweg 9</t>
  </si>
  <si>
    <t>9404LA</t>
  </si>
  <si>
    <t>ASSEN</t>
  </si>
  <si>
    <t>0592-334800</t>
  </si>
  <si>
    <t>D</t>
  </si>
  <si>
    <t>*APZ-Drenthe, locatie Beilen</t>
  </si>
  <si>
    <t>Altingerweg 1</t>
  </si>
  <si>
    <t>9411PA</t>
  </si>
  <si>
    <t>BEILEN</t>
  </si>
  <si>
    <t>0593-522541</t>
  </si>
  <si>
    <t>CMAE</t>
  </si>
  <si>
    <t>*Groot Bronswijk</t>
  </si>
  <si>
    <t xml:space="preserve">(max. aanvaardbaar 4% en afspraak 2006 &lt;= afspraak 2005, zie beleidsregel CA-48) </t>
  </si>
  <si>
    <t>Huish. hulp: alpha</t>
  </si>
  <si>
    <t>Act. beg. speciaal</t>
  </si>
  <si>
    <t>Dagact. GGZ-LZA</t>
  </si>
  <si>
    <t>Vervoer dagact. oud.</t>
  </si>
  <si>
    <t>Dagact. oud. extra</t>
  </si>
  <si>
    <t>Uren psychiatrische intensieve thuiszorg</t>
  </si>
  <si>
    <t>Normatieve m2 energie APZ / PAAZ</t>
  </si>
  <si>
    <t>Prijsafspraak klinische productie</t>
  </si>
  <si>
    <t>KDOOKA</t>
  </si>
  <si>
    <t>VOORL</t>
  </si>
  <si>
    <t>3.</t>
  </si>
  <si>
    <t>Niet vrij besteedbare aanvullende inkomsten</t>
  </si>
  <si>
    <t>Niet-AWBZ inkomsten</t>
  </si>
  <si>
    <t>PMS Vijverdal</t>
  </si>
  <si>
    <t>PAAZ Militair Hospitaal</t>
  </si>
  <si>
    <t xml:space="preserve">Eigen bijdrage psychotherapie  </t>
  </si>
  <si>
    <t>Opbrengst niet-AWBZ geïndiceerde patiënten</t>
  </si>
  <si>
    <t xml:space="preserve">Seperate declaraties AWBZ </t>
  </si>
  <si>
    <t>Uitbreiding t.o.v. landelijke gemiddelden</t>
  </si>
  <si>
    <t>bedragen zijn in euro's en op prijspeil 2004</t>
  </si>
  <si>
    <t>LZAC</t>
  </si>
  <si>
    <t>tarief</t>
  </si>
  <si>
    <t>werkelijk</t>
  </si>
  <si>
    <t>Opbrengst forensische patiënten gedeclareerd bij zorgverzekeraar VGZ</t>
  </si>
  <si>
    <t>F151</t>
  </si>
  <si>
    <t>F152</t>
  </si>
  <si>
    <t>F153</t>
  </si>
  <si>
    <t>F154</t>
  </si>
  <si>
    <t>F155</t>
  </si>
  <si>
    <t>F156</t>
  </si>
  <si>
    <t>F157</t>
  </si>
  <si>
    <t>F101</t>
  </si>
  <si>
    <t>F102</t>
  </si>
  <si>
    <t>F103</t>
  </si>
  <si>
    <t>F104</t>
  </si>
  <si>
    <t>F105</t>
  </si>
  <si>
    <t>F106</t>
  </si>
  <si>
    <t>F107</t>
  </si>
  <si>
    <t>F201</t>
  </si>
  <si>
    <t>F202</t>
  </si>
  <si>
    <t>F204</t>
  </si>
  <si>
    <t>F205</t>
  </si>
  <si>
    <t>F206</t>
  </si>
  <si>
    <t xml:space="preserve">Totaal </t>
  </si>
  <si>
    <t>Aantal</t>
  </si>
  <si>
    <t>F158</t>
  </si>
  <si>
    <t>F159</t>
  </si>
  <si>
    <t>F160</t>
  </si>
  <si>
    <t>F108</t>
  </si>
  <si>
    <t>F109</t>
  </si>
  <si>
    <t>F110</t>
  </si>
  <si>
    <t>Behandeling/begeleidingscontact</t>
  </si>
  <si>
    <t>Crisiscontact binnen kantooruren</t>
  </si>
  <si>
    <t>UAPT</t>
  </si>
  <si>
    <t>UPIT</t>
  </si>
  <si>
    <t>UGB</t>
  </si>
  <si>
    <t>UIPW</t>
  </si>
  <si>
    <t>UREAA</t>
  </si>
  <si>
    <t>CFBUI</t>
  </si>
  <si>
    <t>Systeemdatum</t>
  </si>
  <si>
    <t>Crisiscontact buiten kantooruren</t>
  </si>
  <si>
    <t>Dagen klinisch intensieve behandeling</t>
  </si>
  <si>
    <t>declarabel</t>
  </si>
  <si>
    <t>Verkeerde bed</t>
  </si>
  <si>
    <t xml:space="preserve">Verslavingszorg </t>
  </si>
  <si>
    <t>Overige bedden kinderen en jeugd</t>
  </si>
  <si>
    <t>Forensische afd.</t>
  </si>
  <si>
    <t>AMBULANT/OVERIG</t>
  </si>
  <si>
    <t>I</t>
  </si>
  <si>
    <t>II</t>
  </si>
  <si>
    <t>III</t>
  </si>
  <si>
    <t>IV</t>
  </si>
  <si>
    <t>V</t>
  </si>
  <si>
    <t>VI</t>
  </si>
  <si>
    <t>VII</t>
  </si>
  <si>
    <t>VIII</t>
  </si>
  <si>
    <t>IX</t>
  </si>
  <si>
    <t>Overige niet productiegebonden kosten</t>
  </si>
  <si>
    <t>Bedden volwassenen (overige)</t>
  </si>
  <si>
    <t>Overige individuele loonkosten productie</t>
  </si>
  <si>
    <t xml:space="preserve">*) Hier worden de vervoerskosten van cliënten gevraagd die een medische indicatie voor </t>
  </si>
  <si>
    <t xml:space="preserve">vervoer hebben. Voorwaarde is dat de vervoerskosten van deze cliënten ten laste komen </t>
  </si>
  <si>
    <t>Landelijk gemiddelde</t>
  </si>
  <si>
    <t>% afwijking t.o.v. het landelijk gemiddelde</t>
  </si>
  <si>
    <t xml:space="preserve">Kosten zorgvernieuwing </t>
  </si>
  <si>
    <t>Gemiddelde prijs per dag van de instelling</t>
  </si>
  <si>
    <t>Landelijk gemiddelde prijs per dag</t>
  </si>
  <si>
    <t>Gemiddelde prijs per deeltijdbeh. van de instelling</t>
  </si>
  <si>
    <t>Landelijk gemiddelde prijs per deeltijdbehandeling</t>
  </si>
  <si>
    <t>8.</t>
  </si>
  <si>
    <t>Productie (afspraak en realisatie)</t>
  </si>
  <si>
    <t>7.</t>
  </si>
  <si>
    <t>Zorgzwaarte</t>
  </si>
  <si>
    <t>***)</t>
  </si>
  <si>
    <t>WZP</t>
  </si>
  <si>
    <t>Verschil nieuw budget t.o.v. oud budget</t>
  </si>
  <si>
    <t>WFINS</t>
  </si>
  <si>
    <t>WFINT</t>
  </si>
  <si>
    <t>WFPSY</t>
  </si>
  <si>
    <t>WFGPS</t>
  </si>
  <si>
    <t>WFBEH</t>
  </si>
  <si>
    <t>WFGBE</t>
  </si>
  <si>
    <t>WLZAC</t>
  </si>
  <si>
    <t>o.b.v. werkelijke</t>
  </si>
  <si>
    <t>Totaal verslavingszorg</t>
  </si>
  <si>
    <t>Totaal kinderen en jeugd</t>
  </si>
  <si>
    <t>Dagen volwassenen en ouderen kort</t>
  </si>
  <si>
    <t>De kosten van zorgvernieuwingsprojecten, dus niet de productie die kan worden uitgedrukt in reguliere zorgproducten, kunt u hier opnemen. Als er te weinig regels beschikbaar zijn, kan op regel 1035 een totaalbedrag worden opgenomen. In een aparte bijlage moet per project  een korte beschrijving van het project worden gegeven, de omvang van de productie worden vermeld en het kostenbedrag worden gespecificeerd. In het werkblad "sjabloon zorgver.proj." van dit formulier treft u een model aan dat u daarvoor kunt gebruiken. De maximaal aanvaardbare kosten bedragen 4% van het GGZ-budget. De post zorgvernieuwing dient binnen drie jaar (2005/2007) volledig te zijn afgebouwd. Middelen die vrijkomen van projecten die zijn gestopt mogen niet voor bestaande of nieuwe projecten worden gebruikt. De gelden zijn wél beschikbaar voor reguliere afspraken. Voor verdere toelichting wordt u verwezen naar de Beleidsregel  loon- en materiële kosten CA-48.</t>
  </si>
  <si>
    <t>In het budgetformulier wordt het budget voor 2006 berekend voor de loonkosten, de materiële kosten, de kosten van zorgvernieuwing en de sectoroverstijgende productie. De budgetonderdelen kassiersfunctie en kapitaalslasten blijven in deze berekening buiten beschouwing.</t>
  </si>
  <si>
    <t xml:space="preserve"> -Ten aanzien van de loonkostenaftrek voor vrijgevestigde psychiaters van een PAAZ is in de budgetberekening vooralsnog uitgegaan van het bedrag dat van toepassing was in 2005. Toe- of afname van de productieafspraken 2006 ten opzichte van 2005 zullen deze aftrek nog doen wijzigen en zal tot uitdrukking komen in de rekenstaat waarin de gegevens van dit formulier  zijn verwerkt.</t>
  </si>
  <si>
    <t xml:space="preserve"> -Op de productieafspraken 2005 wordt op basis van de werkelijke productie 2005 nagecalculeerd. In dit verband verwijzen wij u naar de Beleidsregel loon- en materiële kosten III-904. Op regel 1150 wordt het verschil berekend van het beschikbaar budget en de werkelijke productie. Op regel 1152 kunnen partijen een lager bedrag overeenkomen.</t>
  </si>
  <si>
    <t>RIBW Twente</t>
  </si>
  <si>
    <t>RIBW Oost-Veluwe</t>
  </si>
  <si>
    <t>RIBW Flevoland</t>
  </si>
  <si>
    <t>RIBW Fonteynenburg</t>
  </si>
  <si>
    <t>**) Volgens laatste tariefbeschikking 2005</t>
  </si>
  <si>
    <t>Voorlopige nacalculatie vervoerskosten bij begeleiding in de GGZ cf. Br. III-925</t>
  </si>
  <si>
    <t>Budget 2006</t>
  </si>
  <si>
    <t>H126</t>
  </si>
  <si>
    <t>Persoonlijke verzorging extra</t>
  </si>
  <si>
    <t>H127</t>
  </si>
  <si>
    <t>Verpleging extra</t>
  </si>
  <si>
    <t>Gespecialiseerde verpleging</t>
  </si>
  <si>
    <t>Begeleiding</t>
  </si>
  <si>
    <t>WVCBI</t>
  </si>
  <si>
    <t>WVCBU</t>
  </si>
  <si>
    <t>WOCBI</t>
  </si>
  <si>
    <t>WOCBU</t>
  </si>
  <si>
    <t>WACBI</t>
  </si>
  <si>
    <t>WACBU</t>
  </si>
  <si>
    <t>ZKZ</t>
  </si>
  <si>
    <t>Begeleiding extra</t>
  </si>
  <si>
    <t>H129</t>
  </si>
  <si>
    <t>Activerende thuiszorg</t>
  </si>
  <si>
    <t>Dagactiviteit ouderen basis</t>
  </si>
  <si>
    <t>per dagdeel</t>
  </si>
  <si>
    <t>*) Zie onderdeel 14, zorgzwaarte</t>
  </si>
  <si>
    <t>Tarief Beleidsregel</t>
  </si>
  <si>
    <t>Prestaties overig</t>
  </si>
  <si>
    <t>Sectoroverstijgende productie</t>
  </si>
  <si>
    <t>SOP</t>
  </si>
  <si>
    <t>Werkelijke vervoerskosten ten laste van de instelling</t>
  </si>
  <si>
    <t>Mutatie normatieve meters energiekosten</t>
  </si>
  <si>
    <t xml:space="preserve">van de instelling en niet reeds via een andere weg zijn, of hadden kunnen worden bekostigd. </t>
  </si>
  <si>
    <t>Mutatie nacalculatie *)</t>
  </si>
  <si>
    <t>LNNO</t>
  </si>
  <si>
    <t>PAAZ Amphia Ziekenhuis</t>
  </si>
  <si>
    <t>PAAZ Sint Elisabeth Ziekenhuis</t>
  </si>
  <si>
    <t>PAAZ TweeSteden Ziekenhuis</t>
  </si>
  <si>
    <t>PAAZ Jeroen Bosch Ziekenhuis</t>
  </si>
  <si>
    <t>PAAZ Catharina Ziekenhuis</t>
  </si>
  <si>
    <t>PAAZ Sint Anna Ziekenhuis</t>
  </si>
  <si>
    <t>PAAZ Elkerliek Ziekenhuis</t>
  </si>
  <si>
    <t>PAAZ Sint Laurentius Ziekenhuis</t>
  </si>
  <si>
    <t>PAAZ Sint Jans Gasthuis</t>
  </si>
  <si>
    <t>PAAZ Ziekenhuizen Venlo / Venray</t>
  </si>
  <si>
    <t>PAAZ Maaslandziekenhuis</t>
  </si>
  <si>
    <t>PAAZ Atrium</t>
  </si>
  <si>
    <t>WQH102</t>
  </si>
  <si>
    <t>WQH126</t>
  </si>
  <si>
    <t>WQH104</t>
  </si>
  <si>
    <t>WQH121</t>
  </si>
  <si>
    <t>Oosterbroek 5</t>
  </si>
  <si>
    <t>Materiële kosten productie</t>
  </si>
  <si>
    <t>Materiële kosten overig</t>
  </si>
  <si>
    <t>LPRIV</t>
  </si>
  <si>
    <t>ZP</t>
  </si>
  <si>
    <t>Kapitaalslasten</t>
  </si>
  <si>
    <t>Tarief</t>
  </si>
  <si>
    <t>Verwacht</t>
  </si>
  <si>
    <t>Rentekosten</t>
  </si>
  <si>
    <t>Afschrijvingskosten</t>
  </si>
  <si>
    <t>Voorlopige budgetmutatie</t>
  </si>
  <si>
    <t>Doorberekende kap.lasten</t>
  </si>
  <si>
    <t>KAFOV</t>
  </si>
  <si>
    <t>KRENTE</t>
  </si>
  <si>
    <t>Berekening beslag contracteerruimte.</t>
  </si>
  <si>
    <t>Jellinek Centrum</t>
  </si>
  <si>
    <t>Overschiestraat 65</t>
  </si>
  <si>
    <t>1062XD</t>
  </si>
  <si>
    <t>020-4087777</t>
  </si>
  <si>
    <t>Postbus 3907</t>
  </si>
  <si>
    <t>*Centrum Zeestraat</t>
  </si>
  <si>
    <t>Centrum Zeestraat</t>
  </si>
  <si>
    <t>Alexander Gogelweg 30</t>
  </si>
  <si>
    <t>2517JJ</t>
  </si>
  <si>
    <t>070-3647925</t>
  </si>
  <si>
    <t>*Bouman verslavingszorg</t>
  </si>
  <si>
    <t>Stichting Deltabouman</t>
  </si>
  <si>
    <t>010-2723300</t>
  </si>
  <si>
    <t>Postbus 8549</t>
  </si>
  <si>
    <t>GGZ 's-Hertogenbosch</t>
  </si>
  <si>
    <t>Laagstraat 5</t>
  </si>
  <si>
    <t>5261LB</t>
  </si>
  <si>
    <t>VUGHT</t>
  </si>
  <si>
    <t>073-6579002</t>
  </si>
  <si>
    <t>Postbus 10150</t>
  </si>
  <si>
    <t>Stichting Mentrum</t>
  </si>
  <si>
    <t>Klaprozenweg 11</t>
  </si>
  <si>
    <t>1032KK</t>
  </si>
  <si>
    <t>020-5494777</t>
  </si>
  <si>
    <t>Stichting De Meren</t>
  </si>
  <si>
    <t>020-5494678</t>
  </si>
  <si>
    <t>Postbus 75867</t>
  </si>
  <si>
    <t>De Hoop</t>
  </si>
  <si>
    <t>Stichting De Hoop</t>
  </si>
  <si>
    <t>Provincialeweg 70</t>
  </si>
  <si>
    <t>3329KP</t>
  </si>
  <si>
    <t>078-6142444</t>
  </si>
  <si>
    <t>*Universitair Centrum KJP Groningen</t>
  </si>
  <si>
    <t>Stichting Universitair Centrum voor Kinder-  en Jeugdpsyhiatrie Groningen</t>
  </si>
  <si>
    <t>Oostersingel 59</t>
  </si>
  <si>
    <t>9713EZ</t>
  </si>
  <si>
    <t>GRONINGEN</t>
  </si>
  <si>
    <t>Dr. Henri van der Hoevenkliniek</t>
  </si>
  <si>
    <t>Willem Dreeslaan 2</t>
  </si>
  <si>
    <t>3515GB</t>
  </si>
  <si>
    <t>030-2720121</t>
  </si>
  <si>
    <t>Pompe Stichting</t>
  </si>
  <si>
    <t>Prof. Mr. W.P.J. Pompe Stichting</t>
  </si>
  <si>
    <t>Weg door Jonkerbos 55</t>
  </si>
  <si>
    <t>6532CN</t>
  </si>
  <si>
    <t>024-3527600</t>
  </si>
  <si>
    <t>Postbus 31435</t>
  </si>
  <si>
    <t>ROSMALEN</t>
  </si>
  <si>
    <t>073-5213130</t>
  </si>
  <si>
    <t>*Novadic</t>
  </si>
  <si>
    <t>Stichting Novadic</t>
  </si>
  <si>
    <t>Schijndelseweg 46</t>
  </si>
  <si>
    <t>5491TB</t>
  </si>
  <si>
    <t>SINT OEDENRODE</t>
  </si>
  <si>
    <t>0413-485858</t>
  </si>
  <si>
    <t>*Kentron</t>
  </si>
  <si>
    <t>Stichting Kentron Verslavingszorg West- en Midden-Brabant</t>
  </si>
  <si>
    <t>BREDA</t>
  </si>
  <si>
    <t>076-5227288</t>
  </si>
  <si>
    <t>Postbus 2166</t>
  </si>
  <si>
    <t>*Arta</t>
  </si>
  <si>
    <t>Stichting Arta</t>
  </si>
  <si>
    <t>030-6914112</t>
  </si>
  <si>
    <t>Postbus 655</t>
  </si>
  <si>
    <t>*APZ-Zuid-Oost Friesland</t>
  </si>
  <si>
    <t>APZ Zuid-Oost Friesland</t>
  </si>
  <si>
    <t>HEERENVEEN</t>
  </si>
  <si>
    <t>Zorgvernieuwingsprojecten 2006</t>
  </si>
  <si>
    <t>Individueel verblijf licht *)</t>
  </si>
  <si>
    <t>Kleinschalig groepsverblijf licht *)</t>
  </si>
  <si>
    <t>Het budget aanvaardbare kosten is niet ingevuld op regel 1168</t>
  </si>
  <si>
    <t>Dit onderdeel is alleen van toepassing als u een van de mutatieformulieren invult. Door het invullen van het bedrag aanvaardbare kosten van de laatste rekenstaat van het lopend jaar kan worden vastgesteld ten opzichte van welke rekenstaat de mutaties gelden.</t>
  </si>
  <si>
    <t>Medisch Spectrum Twente</t>
  </si>
  <si>
    <t>Deventer Ziekenhuis</t>
  </si>
  <si>
    <t>Gelre Ziekenhuizen</t>
  </si>
  <si>
    <t>ZUTPHEN</t>
  </si>
  <si>
    <t>Slingeland Ziekenhuis</t>
  </si>
  <si>
    <t>Uitleen</t>
  </si>
  <si>
    <t>per uitlening</t>
  </si>
  <si>
    <t xml:space="preserve">per matras per week </t>
  </si>
  <si>
    <t>Transport</t>
  </si>
  <si>
    <t xml:space="preserve">per transport </t>
  </si>
  <si>
    <t>per mw per uur</t>
  </si>
  <si>
    <t>Totaal prestaties 1.1 tot en met 1.3</t>
  </si>
  <si>
    <t>per contact</t>
  </si>
  <si>
    <t>Totaal 4. vervoerskosten t.b.v. cliënten</t>
  </si>
  <si>
    <t>Als uitkomst &gt; 0 dan is er een maximumprijs overschreden,</t>
  </si>
  <si>
    <t>doordat het invulveld 'afgesproken prijs' doorgekopieerd is.</t>
  </si>
  <si>
    <t>De Wending</t>
  </si>
  <si>
    <t>Arta-Lievegoedgroep</t>
  </si>
  <si>
    <t>Forensische behandelingen</t>
  </si>
  <si>
    <t>Capaciteitsgegevens 2006</t>
  </si>
  <si>
    <t>Overige kosten 2006</t>
  </si>
  <si>
    <t>Contracteerruimte 2006</t>
  </si>
  <si>
    <t>Budgetberekening 2006</t>
  </si>
  <si>
    <t>Berekening beslag contracteerruimte 2006</t>
  </si>
  <si>
    <t>Verrekeneenheden 2006/Opbrengsten 2005</t>
  </si>
  <si>
    <t>Voorlopige exploitatie 2005 en instandhoudingsinvesteringen 2005 en 2006</t>
  </si>
  <si>
    <t>Opbrengst 2005 ambulant/overige</t>
  </si>
  <si>
    <t>Utrechtseweg 69</t>
  </si>
  <si>
    <t>3704HB</t>
  </si>
  <si>
    <t>030-6945300</t>
  </si>
  <si>
    <t>Triversum</t>
  </si>
  <si>
    <t>Stichting Triversum</t>
  </si>
  <si>
    <t>ALKMAAR</t>
  </si>
  <si>
    <t>RIBW Zaanstreek/Waterland en West-Friesland</t>
  </si>
  <si>
    <t>Slenkstraat 201 -4</t>
  </si>
  <si>
    <t xml:space="preserve">**) Partijen verzoeken door middel van dit formulier de overeengekomen vaste tarieven en bijbehorende prestaties (volume- en prijsafspraken) goed te keuren. Eveneens verzoeken partijen het vaste tarief per jaar, dat de resultante is van de aanvaardbare kosten onder aftrek van de opbrengst van de overeengekomen vaste tarieven, goed te keuren. Dit naar aanleiding van de in de productieafspraken overeengekomen capaciteiten en volumeafspraken, respectievelijk de voorlopige nacalculatie. Voormelde tarieven kunnen door de instelling aan alle ziektekostenverzekeraars en alle (niet-) verzekerden in rekening worden gebracht, met inachtneming van eventueel geldende declaratievoorschriften. </t>
  </si>
  <si>
    <t>Bedrag individuele prijsafspraak 2005 cf regel 1130</t>
  </si>
  <si>
    <t>Door zorgkantoor met voorschotten te verrekenen cf regel 1360+1364</t>
  </si>
  <si>
    <t>In het budgetformulier wordt een capaciteitsmutatie opgegeven. Deze dient apart in het mutatieformulier capaciteitswijziging te worden verwerkt. (zie punt 1 werkblad instructie)</t>
  </si>
  <si>
    <t>In het mutatieformulier regiokader wordt een capaciteitsmutatie opgegeven. Deze dient in het mutatieformulier capaciteitswijziging te worden verwerkt. (zie punt 1 werkblad instructie)</t>
  </si>
  <si>
    <r>
      <t>Het bedrag zorgvernieuwing 2006 is hoger dan 2005. Op grond van de afbouw van de zorgvernieuwing zoals vastgelegd in de Beleidsregel loon en materi</t>
    </r>
    <r>
      <rPr>
        <sz val="10"/>
        <rFont val="Arial"/>
        <family val="2"/>
      </rPr>
      <t>ë</t>
    </r>
    <r>
      <rPr>
        <sz val="10"/>
        <rFont val="Arial"/>
        <family val="0"/>
      </rPr>
      <t>le kosten is dat niet toegestaan. Zie ook de toelichting onder punt 5</t>
    </r>
  </si>
  <si>
    <t>Loon + materieel</t>
  </si>
  <si>
    <t>VA</t>
  </si>
  <si>
    <t>VK</t>
  </si>
  <si>
    <r>
      <t xml:space="preserve"> -Wijzigingen die in 2006 plaatsvinden moeten in het mutatieformulier worden verwerkt. Daarbij dienen de mutaties in capaciteit en de daarbij behorende verzorgings- en verpleegdagen op jaarbasis te worden ingevoerd. Tevens op het voorblad de datum vermelden waarop de wijziging ingaat (invoerveld op voorblad na keuze mutatieformulier capaciteit). Doordat CTG/ZAio de mutatie verwerkt vanaf de ingangsdatum ontstaat op de rekenstaat een bedrag op jaar- en kasbasis. Onder het punt "algemeen" van deze toelichting treft u een schema aan welk mutatieformulier u dient te kiezen. Mutaties die ten laste of ten gunste van het regiokader worden gebracht worden verwerkt voor de werkelijke aantallen/ bedragen 2006. Hier wordt dus </t>
    </r>
    <r>
      <rPr>
        <b/>
        <sz val="9"/>
        <rFont val="Arial"/>
        <family val="2"/>
      </rPr>
      <t>geen</t>
    </r>
    <r>
      <rPr>
        <sz val="9"/>
        <rFont val="Arial"/>
        <family val="2"/>
      </rPr>
      <t xml:space="preserve"> onderscheid gemaakt in </t>
    </r>
    <r>
      <rPr>
        <b/>
        <sz val="9"/>
        <rFont val="Arial"/>
        <family val="2"/>
      </rPr>
      <t>kas- of jaarbasis</t>
    </r>
    <r>
      <rPr>
        <sz val="9"/>
        <rFont val="Arial"/>
        <family val="2"/>
      </rPr>
      <t>. Bij dit formulier wordt derhalve ook niet gevraagd naar een ingangsdatum.</t>
    </r>
  </si>
  <si>
    <t xml:space="preserve"> -Sinds 2004 is er een nieuw onderdeel in de berekening van het budget: de "individuele prijsafspraken". In het kader van de modernisering van de AWBZ kunnen instelling en zorgkantoor voor de productie tarieven overeenkomen die lager zijn dan de bedragen die zijn vermeld in de beleidsregel. Op het afzonderlijke werkblad "individuele prijsafspraken" kunnen de afspraken worden ingevuld. Het resultaat van de afspraak wordt vermeld op regel 1130. In het werkblad "individuele prijsafspraken" zijn de tarieven overgenomen van de beleidsregel extramurale zorg. Anders dan de bedragen in de beleidsregel loon en materiële kosten zijn deze inclusief kapitaalslasten. Op deze wijze ontstaat de mogelijkheid om zowel over loon- en materiële kosten afspraken te maken als over de kapitaalslasten die al dan niet genormeerd in het budget worden vergoed.</t>
  </si>
  <si>
    <t>CAPACITEITSGEGEVENS 2006</t>
  </si>
  <si>
    <t>Jaartarief *) inclusief tijdelijke toeslag/aftrek cf laatste  tariefbeschikking 2005</t>
  </si>
  <si>
    <t>Voorlopige werkelijke opbrengst 2005 (1201 t/m 1227)</t>
  </si>
  <si>
    <t>Verrekend in opbrengsten (kolom 2005) cf opbrengstregistratie meest recente rekenstaat 2006)</t>
  </si>
  <si>
    <t>versiedatum:</t>
  </si>
  <si>
    <t>VZ23</t>
  </si>
  <si>
    <t>Oude Arnhemseweg 260</t>
  </si>
  <si>
    <t>3705BK</t>
  </si>
  <si>
    <t>ZEIST</t>
  </si>
  <si>
    <t>030-6965432</t>
  </si>
  <si>
    <t>*STAP</t>
  </si>
  <si>
    <t>Stichting ter Bevordering van de Anthroposofische Psychiatrie</t>
  </si>
  <si>
    <t>Professor Bronkhorstlaan 24</t>
  </si>
  <si>
    <t>3723MB</t>
  </si>
  <si>
    <t>BILTHOVEN</t>
  </si>
  <si>
    <t>030-2289911</t>
  </si>
  <si>
    <t>Stichting Eleos</t>
  </si>
  <si>
    <t>NIEUWEGEIN</t>
  </si>
  <si>
    <t>030-6932144</t>
  </si>
  <si>
    <t>Postbus 306</t>
  </si>
  <si>
    <t>Stichting GGZ Noord-Holland-Noord</t>
  </si>
  <si>
    <t>Kennemerstraatweg 464</t>
  </si>
  <si>
    <t>1851NG</t>
  </si>
  <si>
    <t>HEILOO</t>
  </si>
  <si>
    <t>072-5312312</t>
  </si>
  <si>
    <t>L</t>
  </si>
  <si>
    <t>APZ De Geestgronden</t>
  </si>
  <si>
    <t>Stichting De Geestgronden</t>
  </si>
  <si>
    <t>Rijksstraatweg 113</t>
  </si>
  <si>
    <t>2121AD</t>
  </si>
  <si>
    <t>BENNEBROEK</t>
  </si>
  <si>
    <t>023-5832911</t>
  </si>
  <si>
    <t>*PZ Duin en Bosch</t>
  </si>
  <si>
    <t>Stichting GGZ Dijk en Duin</t>
  </si>
  <si>
    <t>Duinenbosch 3</t>
  </si>
  <si>
    <t>1901NT</t>
  </si>
  <si>
    <t>CASTRICUM</t>
  </si>
  <si>
    <t>0251-665101</t>
  </si>
  <si>
    <t>GGZ Buitenamstel</t>
  </si>
  <si>
    <t>Anderlechtlaan 175</t>
  </si>
  <si>
    <t>1066HM</t>
  </si>
  <si>
    <t>AMSTERDAM</t>
  </si>
  <si>
    <t>020-5494666</t>
  </si>
  <si>
    <t>*Rijngeest groep, locatie Noordwijk</t>
  </si>
  <si>
    <t>GGZ-groep Noord- en Midden-Limburg</t>
  </si>
  <si>
    <t>0478-527549</t>
  </si>
  <si>
    <t>Postbus 305</t>
  </si>
  <si>
    <t>Vindicta RIBW's</t>
  </si>
  <si>
    <t>Stichting Rivierduinen</t>
  </si>
  <si>
    <t>Postbus 405</t>
  </si>
  <si>
    <t>Bouman Verslavingszorg</t>
  </si>
  <si>
    <t>Stichting Bouman Verslavingszorg</t>
  </si>
  <si>
    <t>Molenbaan 2</t>
  </si>
  <si>
    <t>2908LM</t>
  </si>
  <si>
    <t>CAPELLE AAN DEN IJSSEL</t>
  </si>
  <si>
    <t>Mauritsstraat 34 -36</t>
  </si>
  <si>
    <t>9724BM</t>
  </si>
  <si>
    <t>2803EL</t>
  </si>
  <si>
    <t>0342-455104</t>
  </si>
  <si>
    <t>Stedumhof 42</t>
  </si>
  <si>
    <t>6835MG</t>
  </si>
  <si>
    <t>CVD</t>
  </si>
  <si>
    <t>Stichting Centrum voor Vrijwillige en Professionele Dienstverlening</t>
  </si>
  <si>
    <t>Glashaven 50</t>
  </si>
  <si>
    <t>3011XK</t>
  </si>
  <si>
    <t>Postbus 208</t>
  </si>
  <si>
    <t>GG &amp; GD Amsterdam</t>
  </si>
  <si>
    <t>Nieuwe Achtergracht 100</t>
  </si>
  <si>
    <t>1018WT</t>
  </si>
  <si>
    <t>Postbus 2200</t>
  </si>
  <si>
    <t>2312DW</t>
  </si>
  <si>
    <t>071-5147040</t>
  </si>
  <si>
    <t>Postbus 11085</t>
  </si>
  <si>
    <t>RIBW Leger des Heils GGZ Kennemerland</t>
  </si>
  <si>
    <t>RIBW Leger des Heils GGZ Utrecht</t>
  </si>
  <si>
    <t>RIBW Leger des Heils GGZ Flevoland</t>
  </si>
  <si>
    <t>id</t>
  </si>
  <si>
    <t>nr</t>
  </si>
  <si>
    <t>cc_code</t>
  </si>
  <si>
    <t>mw_code</t>
  </si>
  <si>
    <t>naam rekenstaat</t>
  </si>
  <si>
    <t>abp</t>
  </si>
  <si>
    <t>abp.sdat</t>
  </si>
  <si>
    <t>klassetype</t>
  </si>
  <si>
    <t>kt.sdat</t>
  </si>
  <si>
    <t>titel</t>
  </si>
  <si>
    <t>naam</t>
  </si>
  <si>
    <t>adres</t>
  </si>
  <si>
    <t>postcode</t>
  </si>
  <si>
    <t>voorv.woonplts</t>
  </si>
  <si>
    <t>plaats</t>
  </si>
  <si>
    <t>telefoon</t>
  </si>
  <si>
    <t>provincie</t>
  </si>
  <si>
    <t>postadres</t>
  </si>
  <si>
    <t>aant.zf</t>
  </si>
  <si>
    <t>zf.fonds_1</t>
  </si>
  <si>
    <t>zf.fonds_2</t>
  </si>
  <si>
    <t>zf.fonds_3</t>
  </si>
  <si>
    <t>koepel cc_code</t>
  </si>
  <si>
    <t>koepel nr.</t>
  </si>
  <si>
    <t>erk.dat</t>
  </si>
  <si>
    <t>oph.dat</t>
  </si>
  <si>
    <t>AGRT</t>
  </si>
  <si>
    <t>Overige individuele materiële kosten productie</t>
  </si>
  <si>
    <t>ZORGZWAARTE</t>
  </si>
  <si>
    <t>Inzenden vóór 1 maart 2006</t>
  </si>
  <si>
    <t>5.</t>
  </si>
  <si>
    <t>(H115 en H116)</t>
  </si>
  <si>
    <t>1624NP</t>
  </si>
  <si>
    <t>HOORN NH</t>
  </si>
  <si>
    <t>0229-208820</t>
  </si>
  <si>
    <t>*RIAGG Zaanstreek/Waterland</t>
  </si>
  <si>
    <t>ZAANDAM</t>
  </si>
  <si>
    <t>075-6814481</t>
  </si>
  <si>
    <t>Postbus 1227</t>
  </si>
  <si>
    <t>PAAZ Sint Lucas Andreas Ziekenhuis</t>
  </si>
  <si>
    <t>PAAZ Het Groene Hart Ziekenhuis</t>
  </si>
  <si>
    <t>PAAZ Albert Schweitzer Ziekenhuis</t>
  </si>
  <si>
    <t>PAAZ Streekziekenhuis Walcheren</t>
  </si>
  <si>
    <t xml:space="preserve">In dit gedeelte worden de afspraken en realisaties vergeleken met het landelijk gemiddelde waarmee instelling en zorgkantoor inzicht wordt geboden in de positie van de instelling ten opzichte van het landelijk beeld. </t>
  </si>
  <si>
    <t>Individuele prijsafspraken</t>
  </si>
  <si>
    <t>Dubbelklik op object voor openen van het document.</t>
  </si>
  <si>
    <t>PAAZ Ziekenhuis Lievensberg</t>
  </si>
  <si>
    <t>Behoort bij circulaire CARE/AWBZ/06/12c</t>
  </si>
  <si>
    <t>Ziekenhuizen Venlo / Venray</t>
  </si>
  <si>
    <t>Maaslandziekenhuis</t>
  </si>
  <si>
    <t>Atrium</t>
  </si>
  <si>
    <t>RIAGG NPI</t>
  </si>
  <si>
    <t>Stichting RIAGG Nederlands Psychoanalytisch Instituut</t>
  </si>
  <si>
    <t>Olympiaplein 4</t>
  </si>
  <si>
    <t>1076AB</t>
  </si>
  <si>
    <t>020-5703838</t>
  </si>
  <si>
    <t>Postbus 7031</t>
  </si>
  <si>
    <t>Ontwenningscentrum De Wending</t>
  </si>
  <si>
    <t>Hoog Buurloseweg 145</t>
  </si>
  <si>
    <t>7339EL</t>
  </si>
  <si>
    <t>UGCHELEN</t>
  </si>
  <si>
    <t>055-5337517</t>
  </si>
  <si>
    <t>JEUGDRIAGG Noord Holland Zuid</t>
  </si>
  <si>
    <t>Stichting Jeugdriagg Noord Holland Zuid</t>
  </si>
  <si>
    <t>Schipholpoort 20</t>
  </si>
  <si>
    <t>2034MA</t>
  </si>
  <si>
    <t>Stichting Arta- Lievegoedgroep</t>
  </si>
  <si>
    <t>Stichting Delta Psychiatrisch Centrum</t>
  </si>
  <si>
    <t>Albrandswaardsedijk 74</t>
  </si>
  <si>
    <t>3172AA</t>
  </si>
  <si>
    <t>Kloekhorststraat 18</t>
  </si>
  <si>
    <t>9401BD</t>
  </si>
  <si>
    <t>0592-316958</t>
  </si>
  <si>
    <t>Postbus 10053</t>
  </si>
  <si>
    <t>Deeltijd met beperkte begeleiding</t>
  </si>
  <si>
    <t>Idem met begeleiding op afstand</t>
  </si>
  <si>
    <t>Idem met beperkte begeleiding</t>
  </si>
  <si>
    <t>V.1.1</t>
  </si>
  <si>
    <t>V.1.2</t>
  </si>
  <si>
    <t>V.1.3</t>
  </si>
  <si>
    <t>V.1.4</t>
  </si>
  <si>
    <t>A.1.2</t>
  </si>
  <si>
    <t>A.1.3</t>
  </si>
  <si>
    <t>A.1.4</t>
  </si>
  <si>
    <t>A.1.5</t>
  </si>
  <si>
    <t>A.1.6</t>
  </si>
  <si>
    <t>K.1.1</t>
  </si>
  <si>
    <t>K.1.2</t>
  </si>
  <si>
    <t>K.1.3</t>
  </si>
  <si>
    <t>K.1.4</t>
  </si>
  <si>
    <t>K.1.5</t>
  </si>
  <si>
    <t>K.1.6</t>
  </si>
  <si>
    <t>V.2.1</t>
  </si>
  <si>
    <t>V.2.2</t>
  </si>
  <si>
    <t>V.2.3</t>
  </si>
  <si>
    <t>V.2.4</t>
  </si>
  <si>
    <t>V.2.5</t>
  </si>
  <si>
    <t>F.1.1</t>
  </si>
  <si>
    <t>F.1.2</t>
  </si>
  <si>
    <t>F.1.3</t>
  </si>
  <si>
    <t>F.1.4</t>
  </si>
  <si>
    <t>F.1.5</t>
  </si>
  <si>
    <t>F.1.6</t>
  </si>
  <si>
    <t>Stabilisatie</t>
  </si>
  <si>
    <t>Kinderen en jeugd</t>
  </si>
  <si>
    <t>Volwassenen en ouderen</t>
  </si>
  <si>
    <t>Forensische afdeling</t>
  </si>
  <si>
    <t>Forensische kliniek</t>
  </si>
  <si>
    <t>EK</t>
  </si>
  <si>
    <t>EA</t>
  </si>
  <si>
    <t>EV</t>
  </si>
  <si>
    <t>EFK</t>
  </si>
  <si>
    <t>EFA</t>
  </si>
  <si>
    <t>DA21</t>
  </si>
  <si>
    <t>DA22</t>
  </si>
  <si>
    <t>DK21</t>
  </si>
  <si>
    <t>DK22</t>
  </si>
  <si>
    <t>DK23</t>
  </si>
  <si>
    <t>D31</t>
  </si>
  <si>
    <t>D32</t>
  </si>
  <si>
    <t>De Viersprong</t>
  </si>
  <si>
    <t>Psychotherapeutisch Centrum De Viersprong</t>
  </si>
  <si>
    <t>De Beeklaan 2</t>
  </si>
  <si>
    <t>4661EP</t>
  </si>
  <si>
    <t>HALSTEREN</t>
  </si>
  <si>
    <t>0164-632200</t>
  </si>
  <si>
    <t>Postbus 7</t>
  </si>
  <si>
    <t>GGZ West-Brabant</t>
  </si>
  <si>
    <t>Stichting GGZ West-Brabant</t>
  </si>
  <si>
    <t>Hoofdlaan 8</t>
  </si>
  <si>
    <t>4661AA</t>
  </si>
  <si>
    <t>0164-236900</t>
  </si>
  <si>
    <t>Stichting GGZ Midden-Brabant</t>
  </si>
  <si>
    <t>TILBURG</t>
  </si>
  <si>
    <t>GGzE (De Grote Beek)</t>
  </si>
  <si>
    <t>Stichting GGzE</t>
  </si>
  <si>
    <t>Boschdijk 771</t>
  </si>
  <si>
    <t>5626AB</t>
  </si>
  <si>
    <t>EINDHOVEN</t>
  </si>
  <si>
    <t>040-2970170</t>
  </si>
  <si>
    <t>*GGZ-groep Noord- en Midden-Limburg</t>
  </si>
  <si>
    <t>Stichting GGZ-groep Noord- en Midden-Limburg</t>
  </si>
  <si>
    <t>Stationsweg 46</t>
  </si>
  <si>
    <t>5803AC</t>
  </si>
  <si>
    <t>VENRAY</t>
  </si>
  <si>
    <t>0478-586666</t>
  </si>
  <si>
    <t>K</t>
  </si>
  <si>
    <t>PZ Mondriaan Zorggroep</t>
  </si>
  <si>
    <t>Stichting Mondriaan Zorggroep</t>
  </si>
  <si>
    <t>John F Kennedylaan 301</t>
  </si>
  <si>
    <t>6419XZ</t>
  </si>
  <si>
    <t>HEERLEN</t>
  </si>
  <si>
    <t>045-5736262</t>
  </si>
  <si>
    <t>Stichting PMS Vijverdal</t>
  </si>
  <si>
    <t>Vijverdalseweg 1</t>
  </si>
  <si>
    <t>6226NB</t>
  </si>
  <si>
    <t>MAASTRICHT</t>
  </si>
  <si>
    <t>043-3685444</t>
  </si>
  <si>
    <t>Postbus 88</t>
  </si>
  <si>
    <t>*'t Ruige Veld-Rolde</t>
  </si>
  <si>
    <t>Kinder- en Jeugdpsychiatrisch Ziekenhuis 't Ruige Veld</t>
  </si>
  <si>
    <t>Asserstraat 23</t>
  </si>
  <si>
    <t>9451AA</t>
  </si>
  <si>
    <t>ROLDE</t>
  </si>
  <si>
    <t>0592-241959</t>
  </si>
  <si>
    <t>*Prof.Hart de Ruyter Stichting</t>
  </si>
  <si>
    <t>De Ruyterstee Prof. Hart de Ruyter Stichting</t>
  </si>
  <si>
    <t>SMILDE</t>
  </si>
  <si>
    <t>0592-413225</t>
  </si>
  <si>
    <t>Postbus 30</t>
  </si>
  <si>
    <t>*Centrum voor GGZ-Jeugd Friesland</t>
  </si>
  <si>
    <t>Centrum voor GGZ-Jeugd Friesland</t>
  </si>
  <si>
    <t>LEEUWARDEN</t>
  </si>
  <si>
    <t>uren dienstverlening en preventie</t>
  </si>
  <si>
    <t>Budget wijziging a.g.v. mutatieformulier</t>
  </si>
  <si>
    <t>Budget wijziging als gevolg van mutatieformulier</t>
  </si>
  <si>
    <t>17.</t>
  </si>
  <si>
    <t>18.</t>
  </si>
  <si>
    <t>19.</t>
  </si>
  <si>
    <t>Aantal contacten per nieuwe inschrijving</t>
  </si>
  <si>
    <t>WQH125</t>
  </si>
  <si>
    <t>WQH140</t>
  </si>
  <si>
    <t>WQH147</t>
  </si>
  <si>
    <t>WQH116</t>
  </si>
  <si>
    <t>WQH173</t>
  </si>
  <si>
    <t>WQF125</t>
  </si>
  <si>
    <t>WQH625</t>
  </si>
  <si>
    <t>U kunt aan de budgetberekening in dit formulier geen rechten ontlenen. Pas als alle gegevens zijn verwerkt in de rekenstaat ontstaat zekerheid over de hoogte van het totale nieuwe budget.</t>
  </si>
  <si>
    <t>FUNCTIES</t>
  </si>
  <si>
    <t>Functies waarvoor de instelling is toegelaten. Deze functies bepalen voor welke extramurale producten de instelling een volume- en prijsafspraak mag maken.</t>
  </si>
  <si>
    <t>Functies volgens artikelen 3 tot en met 8, 11, 12 en 16 van het Besluit Zorgafspraken.</t>
  </si>
  <si>
    <t>Hieronder dient de instelling aan te geven voor welke functie(s) deze is toegelaten.</t>
  </si>
  <si>
    <t>Artikel</t>
  </si>
  <si>
    <t>Omschrijving</t>
  </si>
  <si>
    <t xml:space="preserve">Toegelaten </t>
  </si>
  <si>
    <t>nee</t>
  </si>
  <si>
    <t>Huishoudelijke verzorging</t>
  </si>
  <si>
    <t>ja</t>
  </si>
  <si>
    <t>Persoonlijke verzorging</t>
  </si>
  <si>
    <t>Verpleging</t>
  </si>
  <si>
    <t>Ondersteunende begeleiding</t>
  </si>
  <si>
    <t>Budgetformulier én formulier voorlopige nacalculatie</t>
  </si>
  <si>
    <t>capaciteit</t>
  </si>
  <si>
    <t>Activerende begeleiding</t>
  </si>
  <si>
    <t>Behandeling</t>
  </si>
  <si>
    <t>Uitleen van verpleegartikelen</t>
  </si>
  <si>
    <t xml:space="preserve"> -Op basis van het vóór 1 oktober 2006 in te sturen nacalculatieformulier 2005 zal de nacalculatie van de productie 2005 definitief worden verwerkt. Behalve de verklaringen van het bestuur van de instelling zijn dan mede van belang de door de accountant verstrekte verklaring en de in de jaarrekening verantwoorde gegevens.</t>
  </si>
  <si>
    <t>Stichting RIBW Leger des Heils GGZ Amstelland en de Meerlanden</t>
  </si>
  <si>
    <t>Baron De Coubertinlaan 54 t/m 78</t>
  </si>
  <si>
    <t>2134CG</t>
  </si>
  <si>
    <t>HOOFDDORP</t>
  </si>
  <si>
    <t>RIBW Leger des Heils GGZ Haaglanden</t>
  </si>
  <si>
    <t>Normatieve m2 RIAGG</t>
  </si>
  <si>
    <t>U heeft het werkblad met de naam 0000 gewijzigd in een instellingsnummer wat door het formulier niet wordt herkend. De naam van het werkblad kunt u wijzigen in 9999. Op het het voorblad kunt u wel uw instellingsnummer vermelden.</t>
  </si>
  <si>
    <t>Postbus 530</t>
  </si>
  <si>
    <t>*RIAGG Oost-Gelderland</t>
  </si>
  <si>
    <t>Stichting RIAGG Oost-Gelderland</t>
  </si>
  <si>
    <t>DOETINCHEM</t>
  </si>
  <si>
    <t>0314-371010</t>
  </si>
  <si>
    <t>Postbus 168</t>
  </si>
  <si>
    <t>GGZ-centrum Westfriesland</t>
  </si>
  <si>
    <t>Stichting GGZ-centrum Westfriesland</t>
  </si>
  <si>
    <t>Maelsonstraat 1</t>
  </si>
  <si>
    <t>Toelichting per onderdeel van het reguliere budgetformulier.</t>
  </si>
  <si>
    <t>Telefonisch behand./begel.contact</t>
  </si>
  <si>
    <t>F224</t>
  </si>
  <si>
    <t>CJTBEH</t>
  </si>
  <si>
    <t>F221</t>
  </si>
  <si>
    <t>CVTBEH</t>
  </si>
  <si>
    <t>F222</t>
  </si>
  <si>
    <t>COTBEH</t>
  </si>
  <si>
    <t>F223</t>
  </si>
  <si>
    <t>F225</t>
  </si>
  <si>
    <t>CATBEH</t>
  </si>
  <si>
    <t>CFTBEH</t>
  </si>
  <si>
    <t>Dienstverlening</t>
  </si>
  <si>
    <t>Preventie</t>
  </si>
  <si>
    <t>UP</t>
  </si>
  <si>
    <t>UD</t>
  </si>
  <si>
    <t>PV</t>
  </si>
  <si>
    <t>VP</t>
  </si>
  <si>
    <t>Verpleging: AIV</t>
  </si>
  <si>
    <t>OB</t>
  </si>
  <si>
    <t>Begeleiding speciaal</t>
  </si>
  <si>
    <t>H140</t>
  </si>
  <si>
    <t>AB</t>
  </si>
  <si>
    <t>Behandeling basis zg</t>
  </si>
  <si>
    <t>Behandeling basis jlvg</t>
  </si>
  <si>
    <t>Behandeling basis sglvg-traject</t>
  </si>
  <si>
    <t>H324</t>
  </si>
  <si>
    <t>H325</t>
  </si>
  <si>
    <t>H327</t>
  </si>
  <si>
    <t>Voedingsvoorlichting</t>
  </si>
  <si>
    <t>H321</t>
  </si>
  <si>
    <t>Vervoer dagactiviteit ouderen (H113, H172 en H173)</t>
  </si>
  <si>
    <t>H607</t>
  </si>
  <si>
    <t>Tarief-</t>
  </si>
  <si>
    <t>code</t>
  </si>
  <si>
    <t>TOTAAL 1 t/m 3 EXTRAMURALE ZORG</t>
  </si>
  <si>
    <t>Per bezoek per vervoerde cliënt</t>
  </si>
  <si>
    <t>Verschil</t>
  </si>
  <si>
    <t>Verzoek tot nacalculatie meerkosten</t>
  </si>
  <si>
    <t>Tijdelijke toeslag/aftrek (regel 1221-/- regel 1220)</t>
  </si>
  <si>
    <t>6=1+(2x3+4x5)</t>
  </si>
  <si>
    <t>bez. graad</t>
  </si>
  <si>
    <t>onbekend</t>
  </si>
  <si>
    <t>Eenheid</t>
  </si>
  <si>
    <t>af te ronden</t>
  </si>
  <si>
    <t>op 1 decimaal</t>
  </si>
  <si>
    <t>*Naast een toelating voor ondersteunende/activerende begeleiding is voor deze zorgprestatie ook een toelating voor behandeling vereist.</t>
  </si>
  <si>
    <t>Uitleen anti-decubitus matrassen, statisch</t>
  </si>
  <si>
    <t>Uitleen anti-decubitus matrassen, licht dynamisch</t>
  </si>
  <si>
    <t>Uitleen anti-decubitus matrassen, sterk dynamisch</t>
  </si>
  <si>
    <t>Perc. zorgvernieuwing van (regel 1130 -/- 1118)</t>
  </si>
  <si>
    <t>Als u meerdere exemplaren nodig heeft kunt u het document op dit werkblad kopieren:</t>
  </si>
  <si>
    <t xml:space="preserve"> -plaats cursor op document</t>
  </si>
  <si>
    <t xml:space="preserve"> -rechtermuisknop, kopieren</t>
  </si>
  <si>
    <t xml:space="preserve"> -plaats cursor op vrij gedeelte</t>
  </si>
  <si>
    <t xml:space="preserve"> -linker muisknop, rechtermuisknop, plakken</t>
  </si>
  <si>
    <t>Prenatale zorg</t>
  </si>
  <si>
    <t/>
  </si>
  <si>
    <t>Prestaties</t>
  </si>
  <si>
    <t>Deze kolommen worden verborgen</t>
  </si>
  <si>
    <t>Afgesproken</t>
  </si>
  <si>
    <t>TOTAAL</t>
  </si>
  <si>
    <t>Maximum-</t>
  </si>
  <si>
    <t>mogelijk</t>
  </si>
  <si>
    <t xml:space="preserve"> rekenstaat</t>
  </si>
  <si>
    <t xml:space="preserve"> aantal</t>
  </si>
  <si>
    <t>prijs</t>
  </si>
  <si>
    <t>2-/-1</t>
  </si>
  <si>
    <t>2*4</t>
  </si>
  <si>
    <t>In dit onderdeel van het formulier dient de werkelijke productie van de sector overstijgende zorg te worden vermeld. Alleen de zorg waar voor 2005 afspraken zijn gemaakt kunnen hier worden opgegeven.</t>
  </si>
  <si>
    <t>Voorlopige nacalculatie productie 2005 en controle door het zorgkantoor</t>
  </si>
  <si>
    <t>Budgetformulier 2006 psychiatrische ziekenhuizen/RIAGG's/PAAZ-en en niet zelfstandige RIBW's</t>
  </si>
  <si>
    <t>budget</t>
  </si>
  <si>
    <t>vervaldatum dit formulier(foutmelding)</t>
  </si>
  <si>
    <t>Deeltijd verslavingszorg</t>
  </si>
  <si>
    <t>VSGA</t>
  </si>
  <si>
    <t>WVSGA</t>
  </si>
  <si>
    <t>ZIZ-bedden kinderen en jeugd</t>
  </si>
  <si>
    <t>Herstellingsoordfunctie</t>
  </si>
  <si>
    <t>Forensisch psychiatrische afdeling</t>
  </si>
  <si>
    <t>Klinisch intensieve behandeling</t>
  </si>
  <si>
    <t>BKZ</t>
  </si>
  <si>
    <t>BKB</t>
  </si>
  <si>
    <t>BKO</t>
  </si>
  <si>
    <t>BSGA</t>
  </si>
  <si>
    <t>BFO</t>
  </si>
  <si>
    <t>BFGK</t>
  </si>
  <si>
    <t>BFGG</t>
  </si>
  <si>
    <t>BH</t>
  </si>
  <si>
    <t>BO</t>
  </si>
  <si>
    <t>M2NOR</t>
  </si>
  <si>
    <t>Plaatsen psychiater A</t>
  </si>
  <si>
    <t>Plaatsen psychiater B</t>
  </si>
  <si>
    <t>Plaatsen psychiater kinderen en jeugd</t>
  </si>
  <si>
    <t>PLPSA</t>
  </si>
  <si>
    <t>PLPSB</t>
  </si>
  <si>
    <t>PLPSKJ</t>
  </si>
  <si>
    <t>PGGZV</t>
  </si>
  <si>
    <t>PGZP</t>
  </si>
  <si>
    <t>PP</t>
  </si>
  <si>
    <t>OL</t>
  </si>
  <si>
    <t>Loonkosten privatisering</t>
  </si>
  <si>
    <t>Declarabele verpleegdagen</t>
  </si>
  <si>
    <t>TDA</t>
  </si>
  <si>
    <t>TVA/D</t>
  </si>
  <si>
    <t>TVTV</t>
  </si>
  <si>
    <t>TVFK</t>
  </si>
  <si>
    <t>TVFA</t>
  </si>
  <si>
    <t xml:space="preserve"> -In de beleidsregel CA-46 "Contracteerruimte 2006" is onder andere vastgelegd op welke wijze het beschikbare bedrag van de contracteerruimte wordt berekend. In het onderdeel berekening beslag contracteerruimte van dit formulier wordt op basis van de afspraken het bedrag berekend dat aan de instelling zou worden toegekend ten laste van de contracteerruimte. </t>
  </si>
  <si>
    <t>Verrekeneenheden 2006 en Opbrengsten 2005</t>
  </si>
  <si>
    <t>Rijngeest groep</t>
  </si>
  <si>
    <t>NOORDWIJK ZH</t>
  </si>
  <si>
    <t>0252-379579</t>
  </si>
  <si>
    <t>H</t>
  </si>
  <si>
    <t>Bavo</t>
  </si>
  <si>
    <t>WOBUI</t>
  </si>
  <si>
    <t>WAINS</t>
  </si>
  <si>
    <t>WAINT</t>
  </si>
  <si>
    <t>WAOND</t>
  </si>
  <si>
    <t>WAPSY</t>
  </si>
  <si>
    <t>WAGPS</t>
  </si>
  <si>
    <t>WABEH</t>
  </si>
  <si>
    <t>WAGBE</t>
  </si>
  <si>
    <t>WABUI</t>
  </si>
  <si>
    <t>WJINS</t>
  </si>
  <si>
    <t>WJCBI</t>
  </si>
  <si>
    <t>WJCBU</t>
  </si>
  <si>
    <t>Ambulant forensisch</t>
  </si>
  <si>
    <t>Dagen verslavingszorg</t>
  </si>
  <si>
    <t>Dagen kinderen en jeugd</t>
  </si>
  <si>
    <t>Dagen volwassenen en ouderen</t>
  </si>
  <si>
    <t>Dagen forensisch</t>
  </si>
  <si>
    <t>Alleen de mutaties in kolom II invullen. De gegevens van de rekenstaat mogen niet in kolom I worden ingevuld.</t>
  </si>
  <si>
    <t>U heeft het werkblad met de naam 0000 nog niet gewijzigd in uw instellingsnummer. In de toelichting onder punt 3 is uitgelegd op welke wijze u dit kunt doen.</t>
  </si>
  <si>
    <t>Psychotherapeutische deeltijdbehandeling</t>
  </si>
  <si>
    <t>Kortdurend met beperkte begeleiding</t>
  </si>
  <si>
    <t>Cont. Psych. crisisinterventie thuis</t>
  </si>
  <si>
    <t>Uren gespecialiseerde beg.(beg.zelfst.wonen)</t>
  </si>
  <si>
    <t>Uren recreatie-educatie-arbeidsmatige act.</t>
  </si>
  <si>
    <t>Deeltijd verslavingszorg (607)</t>
  </si>
  <si>
    <t>Deeltijd verslavingszorg (608)</t>
  </si>
  <si>
    <t>Deeltijd kinderen en jeugd (610)</t>
  </si>
  <si>
    <t>Deeltijd kinderen en jeugd (611)</t>
  </si>
  <si>
    <t>072-5140400</t>
  </si>
  <si>
    <t>Postbus 225</t>
  </si>
  <si>
    <t>*Paedologisch Instituut</t>
  </si>
  <si>
    <t>Paedologisch Instituut</t>
  </si>
  <si>
    <t>DUIVENDRECHT</t>
  </si>
  <si>
    <t>020-6982131</t>
  </si>
  <si>
    <t>Postbus 303</t>
  </si>
  <si>
    <t>Curium</t>
  </si>
  <si>
    <t>Academisch Centrum KJP Curium</t>
  </si>
  <si>
    <t>Endegeesterstraatweg 27</t>
  </si>
  <si>
    <t>2342AK</t>
  </si>
  <si>
    <t>071-5170661</t>
  </si>
  <si>
    <t>R.M.P.I.</t>
  </si>
  <si>
    <t>Rotterdams Medisch Paedologisch Instituut</t>
  </si>
  <si>
    <t>BARENDRECHT</t>
  </si>
  <si>
    <t>Postbus 211</t>
  </si>
  <si>
    <t>De Rigg-ting</t>
  </si>
  <si>
    <t>Mutsaersstichting De Rigg-ting</t>
  </si>
  <si>
    <t>VENLO</t>
  </si>
  <si>
    <t>077-3551880</t>
  </si>
  <si>
    <t>Naast de opbrengsten van de ambulante productie, volgens de werkelijke productie 2005, worden hier op de regels 1344 tot en met 1364, indien van toepassing, de inkomsten verantwoord die door het zorgkantoor/CAK  met het maandelijks voorschot op het budget dienen te worden verrekend.</t>
  </si>
  <si>
    <t>In dit onderdeel kunnen de vervoerskosten worden opgegeven die voor vergoeding in aanmerking komen volgens de beleidsregel III-925.</t>
  </si>
  <si>
    <t>Op basis van de landelijke gegevens over 2004 wordt in dit overzicht een specificatie gegeven van de gemiddelde prijzen per plaats en bed.</t>
  </si>
  <si>
    <t>De werkbladen zijn beveiligd. Indien u een onjuistheid ondekt dan verzoeken wij u dit te melden via e-mail (care@ctg-zaio.nl). De instelling wordt verzocht het definitief ingevulde formulier, nadat het overleg met het zorgkantoor heeft plaatsgevonden eveneens naar dit e-mailadres op te sturen. Het voorblad dient door partijen te worden ondertekend en via de post opgestuurd te worden naar het CTG/ZAio.</t>
  </si>
  <si>
    <t>care@ctg-zaio.nl</t>
  </si>
  <si>
    <t>Dagactiviteit vg basis</t>
  </si>
  <si>
    <t>Dagactiviteit vg extra</t>
  </si>
  <si>
    <t>Dagactiviteit vg kind</t>
  </si>
  <si>
    <t>Dagactiviteit jlvg</t>
  </si>
  <si>
    <t>Dagactiviteit vg kind emg</t>
  </si>
  <si>
    <t>Dagactiviteit vg kind gedrag</t>
  </si>
  <si>
    <t>Dagactiviteit zg</t>
  </si>
  <si>
    <t>Advies, instructie en voorlichting (preventie)</t>
  </si>
  <si>
    <t xml:space="preserve">Vervoer dagactiviteit vg (H519) </t>
  </si>
  <si>
    <t xml:space="preserve">Vervoer dagactiviteit vg extra (H520) </t>
  </si>
  <si>
    <t xml:space="preserve">Vervoer dagactiviteit vg kind basis (H521) </t>
  </si>
  <si>
    <t>Vervoer dagactiviteit vg kind emg/gedrag (H526 en H527)</t>
  </si>
  <si>
    <t xml:space="preserve">Vervoer dagactiviteit lg (H518) </t>
  </si>
  <si>
    <t xml:space="preserve">Vervoer zg (H523) </t>
  </si>
  <si>
    <t>H620</t>
  </si>
  <si>
    <t>H621</t>
  </si>
  <si>
    <t>H622</t>
  </si>
  <si>
    <t>H628</t>
  </si>
  <si>
    <t>H624</t>
  </si>
  <si>
    <t>Reiskosten prestaties behandeling (H324 t/m H330)</t>
  </si>
  <si>
    <t>H128</t>
  </si>
  <si>
    <t>H106</t>
  </si>
  <si>
    <t>H114</t>
  </si>
  <si>
    <t>H142</t>
  </si>
  <si>
    <t>H143</t>
  </si>
  <si>
    <t>H109</t>
  </si>
  <si>
    <t>H701</t>
  </si>
  <si>
    <t>H702</t>
  </si>
  <si>
    <t>H703</t>
  </si>
  <si>
    <t>H110</t>
  </si>
  <si>
    <t>H151</t>
  </si>
  <si>
    <t>H115</t>
  </si>
  <si>
    <t>Formulier extramurale productie 2006</t>
  </si>
  <si>
    <t xml:space="preserve">1 Prestaties gekoppeld aan de functie HV </t>
  </si>
  <si>
    <t>2 Prestaties gekoppeld aan de functie PV</t>
  </si>
  <si>
    <t>3 Prestaties gekoppeld aan de functie VP</t>
  </si>
  <si>
    <t>4 Prestaties gekoppeld aan de functie OB</t>
  </si>
  <si>
    <t>5 Prestaties gekoppeld aan de functie AB</t>
  </si>
  <si>
    <t>6 Prestaties gekoppeld aan de functie BH</t>
  </si>
  <si>
    <t>7 Prestaties dagactiviteit uitgedrukt in 'dagdelen'</t>
  </si>
  <si>
    <t>8 Prestaties gekoppeld aan de functie Uitleen van verpleegartikelen</t>
  </si>
  <si>
    <t>9 Prestaties gekoppeld aan de functie Prenatale zorg</t>
  </si>
  <si>
    <t>10 Prestaties Preventie: Advies, instructie en voorlichting en Voedingsvoorlichting</t>
  </si>
  <si>
    <t>11 Vervoerskosten ten behoeve van cliënten (een medische indicatie is vereist)</t>
  </si>
  <si>
    <t>12 Reiskosten zorgverlener (toeslag per contact)</t>
  </si>
  <si>
    <t>6221CL</t>
  </si>
  <si>
    <t>043-3291500</t>
  </si>
  <si>
    <t>RIBW Mensana</t>
  </si>
  <si>
    <t>Drie Decembersingel 50</t>
  </si>
  <si>
    <t>5921AC</t>
  </si>
  <si>
    <t>077-3201651</t>
  </si>
  <si>
    <t>Vestdijk 145</t>
  </si>
  <si>
    <t>5611CB</t>
  </si>
  <si>
    <t>Bascule</t>
  </si>
  <si>
    <t>De Bascule</t>
  </si>
  <si>
    <t>Rijksstraatweg 145</t>
  </si>
  <si>
    <t>1115AP</t>
  </si>
  <si>
    <t>020-8901700</t>
  </si>
  <si>
    <t>Novadic-Kentron</t>
  </si>
  <si>
    <t>Raad van bestuur van</t>
  </si>
  <si>
    <t>Postbus 85</t>
  </si>
  <si>
    <t>Ruys de Beerenbroucklaan 9 -11</t>
  </si>
  <si>
    <t>6417CC</t>
  </si>
  <si>
    <t>0342-455137</t>
  </si>
  <si>
    <t>De Binnenvest</t>
  </si>
  <si>
    <t>Stichting De Binnenvest</t>
  </si>
  <si>
    <t>Pelikaanstraat 5</t>
  </si>
  <si>
    <t>D33</t>
  </si>
  <si>
    <t>D34</t>
  </si>
  <si>
    <t>D41</t>
  </si>
  <si>
    <t>D42</t>
  </si>
  <si>
    <t>DBF</t>
  </si>
  <si>
    <t>Algemeen en gezin met geringe begel.</t>
  </si>
  <si>
    <t>Structuurbiedend met beperkte begel.</t>
  </si>
  <si>
    <t>CJINS</t>
  </si>
  <si>
    <t>CJINT</t>
  </si>
  <si>
    <t>CJOND</t>
  </si>
  <si>
    <t>CJPSY</t>
  </si>
  <si>
    <t>CJGPS</t>
  </si>
  <si>
    <t>CJBEH</t>
  </si>
  <si>
    <t>CJGBE</t>
  </si>
  <si>
    <t>CJCBI</t>
  </si>
  <si>
    <t>CJCBU</t>
  </si>
  <si>
    <t>CJBUI</t>
  </si>
  <si>
    <t>CVINT</t>
  </si>
  <si>
    <t>CVOND</t>
  </si>
  <si>
    <t>CVPSY</t>
  </si>
  <si>
    <t>CVGPS</t>
  </si>
  <si>
    <t>CVBEH</t>
  </si>
  <si>
    <t>contr.tot</t>
  </si>
  <si>
    <t>Mutatie normatieve m2 energiekosten</t>
  </si>
  <si>
    <t>norm. m2 p.</t>
  </si>
  <si>
    <t>gem. prijs p.</t>
  </si>
  <si>
    <t>KHUWIN</t>
  </si>
  <si>
    <t>Opbrengst2003</t>
  </si>
  <si>
    <t>In het reguliere budgetformulier treft u de volgende onderwerpen aan:</t>
  </si>
  <si>
    <t>JA</t>
  </si>
  <si>
    <t>Algemeen</t>
  </si>
  <si>
    <t>7=6xcapaciteitsmutatie</t>
  </si>
  <si>
    <t>bedrag cap.</t>
  </si>
  <si>
    <t>wijziging</t>
  </si>
  <si>
    <t>*) Een instelling zonder verblijf (bv zelfstandige RIAGG) heeft een jaartarief</t>
  </si>
  <si>
    <t>WUD</t>
  </si>
  <si>
    <t>WUP</t>
  </si>
  <si>
    <t>WUAPT</t>
  </si>
  <si>
    <t>WUPIT</t>
  </si>
  <si>
    <t>WOTBEH</t>
  </si>
  <si>
    <t>WVTBEH</t>
  </si>
  <si>
    <t>WJTBEH</t>
  </si>
  <si>
    <t>WATBEH</t>
  </si>
  <si>
    <t>WFTBEH</t>
  </si>
  <si>
    <t>WUIPW</t>
  </si>
  <si>
    <t>WUREAA</t>
  </si>
  <si>
    <t>Opbrengst asielzoekers</t>
  </si>
  <si>
    <t>TF080</t>
  </si>
  <si>
    <t>TVSGA</t>
  </si>
  <si>
    <t>TVK/J</t>
  </si>
  <si>
    <t>TDV</t>
  </si>
  <si>
    <t>TDK</t>
  </si>
  <si>
    <t>TDF</t>
  </si>
  <si>
    <t xml:space="preserve">Plaatsen GZ-psycholoog </t>
  </si>
  <si>
    <t>Loon en materieel overig</t>
  </si>
  <si>
    <t>BOPZ-bedden kinderen en jeugd</t>
  </si>
  <si>
    <t>Ambulant volwassenen, ouderen en verslavingszorg</t>
  </si>
  <si>
    <t>afwezig</t>
  </si>
  <si>
    <t>Zorgvernieuwing</t>
  </si>
  <si>
    <t>Logeerplaatsen</t>
  </si>
  <si>
    <t>BKL</t>
  </si>
  <si>
    <t>12.</t>
  </si>
  <si>
    <t>11.</t>
  </si>
  <si>
    <t>9.</t>
  </si>
  <si>
    <t>10.</t>
  </si>
  <si>
    <t>Regel</t>
  </si>
  <si>
    <t>Plaatsen GGZ-verpleegkundig specialist</t>
  </si>
  <si>
    <t>Plaatsen psychotherapeut</t>
  </si>
  <si>
    <t xml:space="preserve">Verpleegkundigen in opleiding </t>
  </si>
  <si>
    <t>Structuurbiedende deeltijdbehandeling</t>
  </si>
  <si>
    <t>PRODUCTIE (afspraak en realisatie)</t>
  </si>
  <si>
    <t>% afw.</t>
  </si>
  <si>
    <t>Overige productiegebonden kosten</t>
  </si>
  <si>
    <t>Overig loon</t>
  </si>
  <si>
    <t>Overig MK</t>
  </si>
  <si>
    <t>Ov loon pr</t>
  </si>
  <si>
    <t>Ov mk pr</t>
  </si>
  <si>
    <t>Zorgvernieuwing/zorg-op-maat</t>
  </si>
  <si>
    <t>Totaal  toelating  (zie toelichting)</t>
  </si>
  <si>
    <t>6.</t>
  </si>
  <si>
    <t>LNAC</t>
  </si>
  <si>
    <t>Niet invullen</t>
  </si>
  <si>
    <t>Aanvraag</t>
  </si>
  <si>
    <t>Datum</t>
  </si>
  <si>
    <t>Medewerker</t>
  </si>
  <si>
    <t>Toelichting bij electronisch formulier:</t>
  </si>
  <si>
    <t>cat.</t>
  </si>
  <si>
    <t>nr.</t>
  </si>
  <si>
    <t>Combi</t>
  </si>
  <si>
    <t xml:space="preserve">3. </t>
  </si>
  <si>
    <t xml:space="preserve"> </t>
  </si>
  <si>
    <t>Methadonverstrekking (per deelnemer)</t>
  </si>
  <si>
    <t>Intramurale productie behorend bij wijziging van de toelating *)</t>
  </si>
  <si>
    <t>Hiernaast geeft u de datum van ingang aan, in het formulier vermeldt u alleen de wijzigingen: bv in kolom II op regel 502 het aantal dagen op jaarbasis</t>
  </si>
  <si>
    <t>Mutatieformulier capaciteitswijziging</t>
  </si>
  <si>
    <t>Inzenden binnen 3 maanden na datum afgifte nieuwe toelating</t>
  </si>
  <si>
    <t>vervaldatum</t>
  </si>
  <si>
    <t>waarde</t>
  </si>
  <si>
    <t>Deeltijd forensisch (621)</t>
  </si>
  <si>
    <t>Idem met intensieve begel./bescherming</t>
  </si>
  <si>
    <t>Idem met volledige begeleiding</t>
  </si>
  <si>
    <t>Idem met continue/intensieve bescherming</t>
  </si>
  <si>
    <t>Veranderingsgericht met beperkte begel.</t>
  </si>
  <si>
    <t>Crisis met intensieve beg./bescherming</t>
  </si>
  <si>
    <t>EDE GLD</t>
  </si>
  <si>
    <t>0318-676611</t>
  </si>
  <si>
    <t>Postbus 68</t>
  </si>
  <si>
    <t>Zonnehuizen Veldheim/Stenia</t>
  </si>
  <si>
    <t>Stichting Zonnehuizen Veldheim/Stenia</t>
  </si>
  <si>
    <t>Stichting RIAGG Haagrand</t>
  </si>
  <si>
    <t>VOORBURG</t>
  </si>
  <si>
    <t>070-3001300</t>
  </si>
  <si>
    <t>Postbus 711</t>
  </si>
  <si>
    <t>*Rijngeest groep</t>
  </si>
  <si>
    <t>Stichting Rijngeest groep</t>
  </si>
  <si>
    <t>Albinusdreef 7</t>
  </si>
  <si>
    <t>2333ZB</t>
  </si>
  <si>
    <t>LEIDEN</t>
  </si>
  <si>
    <t>071-8907000</t>
  </si>
  <si>
    <t>Centraal Militair Hospitaal</t>
  </si>
  <si>
    <t>Heidelberglaan 100</t>
  </si>
  <si>
    <t>3584CX</t>
  </si>
  <si>
    <t>030-2502575</t>
  </si>
  <si>
    <t>Postbus 90000</t>
  </si>
  <si>
    <t>Stichting GGNet</t>
  </si>
  <si>
    <t>Vordenseweg 12</t>
  </si>
  <si>
    <t>7231PA</t>
  </si>
  <si>
    <t>0575-580819</t>
  </si>
  <si>
    <t>Wilhelmina Ziekenhuis</t>
  </si>
  <si>
    <t>*PAAZ Scheper Ziekenhuis</t>
  </si>
  <si>
    <t>Scheper Ziekenhuis</t>
  </si>
  <si>
    <t>EMMEN</t>
  </si>
  <si>
    <t>Protestants Ziekenhuis Nij Smellinghe</t>
  </si>
  <si>
    <t>DRACHTEN</t>
  </si>
  <si>
    <t>*PAAZ Bethesda Ziekenhuis</t>
  </si>
  <si>
    <t>Bethesda Ziekenhuis</t>
  </si>
  <si>
    <t>HOOGEVEEN</t>
  </si>
  <si>
    <t>Alg. Ziekenhuis De Tjongerschans</t>
  </si>
  <si>
    <t>Baronielaan 18</t>
  </si>
  <si>
    <t>4818RA</t>
  </si>
  <si>
    <t>*RIAGG Haagrand</t>
  </si>
  <si>
    <t>excl. geoormerkte gelden</t>
  </si>
  <si>
    <t>contr.getal</t>
  </si>
  <si>
    <t>budget kolom 1</t>
  </si>
  <si>
    <t>LIPA</t>
  </si>
  <si>
    <t>Er is op het voorblad (links boven) nog geen keuze gemaakt welk type formulier moet worden ingestuurd. Zie ook de toelichting.</t>
  </si>
  <si>
    <t>Op het voorblad van het formulier is geen datum ingevuld waarop de capaciteitsmutatie ingaat.</t>
  </si>
  <si>
    <t>Bij capaciteitswijzigingen kan uitsluitend intramurale productie worden opgevoerd. Ambulante productie dient op het afzonderlijke formulier mutaties ten laste van/ ten gunste van het regiokader te worden gebracht.</t>
  </si>
  <si>
    <t>ruimte voor toelichting (deze cel is niet geblokkerd)</t>
  </si>
  <si>
    <t>RIBW Drenthe</t>
  </si>
  <si>
    <t>RIBW Rijnmond</t>
  </si>
  <si>
    <t>RIBW Midden-Brabant</t>
  </si>
  <si>
    <t>RIBW Heuvelland en Maasvallei</t>
  </si>
  <si>
    <t>Rivierduinen</t>
  </si>
  <si>
    <t>GGZ Dijk en Duin</t>
  </si>
  <si>
    <t>Delta</t>
  </si>
  <si>
    <t>LAC</t>
  </si>
  <si>
    <t>Kleinschalig verblijf zwaar *)</t>
  </si>
  <si>
    <t>Kleinschalig wonen</t>
  </si>
  <si>
    <t>kasbasis</t>
  </si>
  <si>
    <t>Ten behoeve van kasbasisberekening</t>
  </si>
  <si>
    <t>datum is 1-1-(t+1)</t>
  </si>
  <si>
    <r>
      <t xml:space="preserve">Om vertraging in de verwerking te voorkomen is het van belang dat formulieren juist en volledig worden ingevuld. Ter ondersteuning is daarom op een aantal punten in dit formulier een controle ingebouwd. Onderstaand treft u de controlelijst aan. Indien er op een onderdeel een onjuistheid wordt gesignaleerd dan wordt dat in onderstaande lijst aangegeven met </t>
    </r>
    <r>
      <rPr>
        <b/>
        <sz val="10"/>
        <rFont val="Arial"/>
        <family val="2"/>
      </rPr>
      <t>fout</t>
    </r>
    <r>
      <rPr>
        <sz val="10"/>
        <rFont val="Arial"/>
        <family val="2"/>
      </rPr>
      <t>. Zolang er sprake is van een foutmelding wordt dat gemeld op het voorblad in het vak waar de ondertekening moet plaatsvinden.</t>
    </r>
  </si>
  <si>
    <t>2006-2-1</t>
  </si>
  <si>
    <t>Reguliere budgetaanvraag 2006 van een bestaande GGZ instelling t.l.v. het regiokader</t>
  </si>
  <si>
    <t>Wijziging van de budgetaanvraag 2006 ten gunste of ten laste van het regiokader</t>
  </si>
  <si>
    <t>3.  In dit formulier treft u de volgende werkbladen aan: het voorblad, foutmeldingen, instructie, het "reguliere" budgetformulier 0000, individuele prijsafspraken, sjabloon zorgvernieuwing en extramuraal.</t>
  </si>
  <si>
    <t xml:space="preserve"> -Op het voorblad dient ondertekening plaats te vinden door de  instelling en het zorgkantoor. De uitkomsten van zes belangrijke onderdelen van het formulier komen op het voorblad tot uitdrukking: budget 2006, sectoroverstijgende productie/extramuraal 2006, voorlopige nacalculatie productie 2005, budget contracteerruimte, individuele prijsafspraken en de door het zorgkantoor met de bevoorschotting te verrekenen bedragen.</t>
  </si>
  <si>
    <t>De vervaldatum van dit formulier is verstreken. Voor het doorgeven van gegevens verzoeken wij u een nieuw formulier van de website van CTG/ZAio te downloaden.</t>
  </si>
  <si>
    <t>Onder punt 7 regel 1101 e.v. moet u enkele totaal-bedragen overnemen van de rekenstaat 2006. In kolom I vanaf regel 501 moet u (uit de onderbouwing van de rekenstaat) de bedragen en aantallen die leiden tot die totalen specificeren. De uitkomst van deze twee onderdelen dienen uiteraard aan elkaar gelijk te zijn. Er is nu echter sprake van een verschil.</t>
  </si>
  <si>
    <t>RIBW Zwolle e.o.</t>
  </si>
  <si>
    <t>Burgemeester Roelenweg 9</t>
  </si>
  <si>
    <t>8021EV</t>
  </si>
  <si>
    <t>038-4269696</t>
  </si>
  <si>
    <t>Demmersweg 110</t>
  </si>
  <si>
    <t>7556BN</t>
  </si>
  <si>
    <t>074-2502329</t>
  </si>
  <si>
    <t>Deventerstraat 28</t>
  </si>
  <si>
    <t>7311LW</t>
  </si>
  <si>
    <t>055-5788831</t>
  </si>
  <si>
    <t>Postbus 10230</t>
  </si>
  <si>
    <t>RIBW Arnhem &amp; Veluwe Vallei</t>
  </si>
  <si>
    <t>Kloosterstraat 3</t>
  </si>
  <si>
    <t>6824RA</t>
  </si>
  <si>
    <t>026-4424236</t>
  </si>
  <si>
    <t>RIBW Nijmegen en Rivierenland</t>
  </si>
  <si>
    <t>Keizer Karelplein 32</t>
  </si>
  <si>
    <t>6511NH</t>
  </si>
  <si>
    <t>024-3820500</t>
  </si>
  <si>
    <t>Postbus 1437</t>
  </si>
  <si>
    <t>*RIBW Amersfoort e.o.</t>
  </si>
  <si>
    <t>RIBW Amersfoort e.o.</t>
  </si>
  <si>
    <t>Laan van Vollenhove 3213</t>
  </si>
  <si>
    <t>3706AR</t>
  </si>
  <si>
    <t>030-6956173</t>
  </si>
  <si>
    <t>Postbus 31</t>
  </si>
  <si>
    <t>SWBU</t>
  </si>
  <si>
    <t>Stichting Beschermende Woonvormen Utrecht</t>
  </si>
  <si>
    <t>Furkaplateau 15</t>
  </si>
  <si>
    <t>3524ZH</t>
  </si>
  <si>
    <t>030-2361070</t>
  </si>
  <si>
    <t>*RIBW Midden West-Utrecht</t>
  </si>
  <si>
    <t>RIBW Midden-West Utrecht</t>
  </si>
  <si>
    <t>RIBW Gooi en Vechtstreek</t>
  </si>
  <si>
    <t>Slochterenlaan 39</t>
  </si>
  <si>
    <t>1405AL</t>
  </si>
  <si>
    <t>BUSSUM</t>
  </si>
  <si>
    <t>035-6231549</t>
  </si>
  <si>
    <t>De Meent 2 b</t>
  </si>
  <si>
    <t>8224BR</t>
  </si>
  <si>
    <t>LELYSTAD</t>
  </si>
  <si>
    <t>0320-292000</t>
  </si>
  <si>
    <t>RIBW Kennemerland, Amstelland en de Meerlanden</t>
  </si>
  <si>
    <t>023-5178700</t>
  </si>
  <si>
    <t>Postbus 2257</t>
  </si>
  <si>
    <t>RIBW HVO-Querido</t>
  </si>
  <si>
    <t>Wibautstraat 133 D</t>
  </si>
  <si>
    <t>1097DN</t>
  </si>
  <si>
    <t>020-5619090</t>
  </si>
  <si>
    <t>RIBW PC Hooft</t>
  </si>
  <si>
    <t>Klaprozenweg 113</t>
  </si>
  <si>
    <t>1033NN</t>
  </si>
  <si>
    <t>020-6352888</t>
  </si>
  <si>
    <t>RIBW Zaanstr./Waterl.en W-Friesland</t>
  </si>
  <si>
    <t>1e tranche</t>
  </si>
  <si>
    <t>Veranderingsgericht/volledige begeleiding</t>
  </si>
  <si>
    <t>VZ24</t>
  </si>
  <si>
    <t>WVZ21</t>
  </si>
  <si>
    <t>WVZ22</t>
  </si>
  <si>
    <t>WVZ23</t>
  </si>
  <si>
    <t>WVZ24</t>
  </si>
  <si>
    <t>Opleidingskosten</t>
  </si>
  <si>
    <t>WQH129</t>
  </si>
  <si>
    <t>WQH130</t>
  </si>
  <si>
    <t>Gespecialiseerde beg.</t>
  </si>
  <si>
    <t>WQF123</t>
  </si>
  <si>
    <t>product</t>
  </si>
  <si>
    <t>Pers. verzorging</t>
  </si>
  <si>
    <t>Act. thuiszorg</t>
  </si>
  <si>
    <t>Huishoud. verz.</t>
  </si>
  <si>
    <t>tarief **)</t>
  </si>
  <si>
    <t>Nieuwe aanbieder</t>
  </si>
  <si>
    <t>024-3225170</t>
  </si>
  <si>
    <t>Zijlsingel 22</t>
  </si>
  <si>
    <t>2013DN</t>
  </si>
  <si>
    <t>Nieuwegracht 92</t>
  </si>
  <si>
    <t>3512LX</t>
  </si>
  <si>
    <t>FPP De Horst</t>
  </si>
  <si>
    <t>Stichting FPI de Rooyse Wissel</t>
  </si>
  <si>
    <t>Bongerdstraat 229</t>
  </si>
  <si>
    <t>5931NE</t>
  </si>
  <si>
    <t>TEGELEN</t>
  </si>
  <si>
    <t>0478-635200</t>
  </si>
  <si>
    <t>Volksbond Amsterdam</t>
  </si>
  <si>
    <t>Stichting Volksbond Amsterdam</t>
  </si>
  <si>
    <t>Sarphatistraat 104 B</t>
  </si>
  <si>
    <t>1018GV</t>
  </si>
  <si>
    <t>Onbekend</t>
  </si>
  <si>
    <t>Stichting Leger des Heils GGZ Flevoland</t>
  </si>
  <si>
    <t>Jol 2735</t>
  </si>
  <si>
    <t>8243GV</t>
  </si>
  <si>
    <t>Wooncentrum Lupinehof</t>
  </si>
  <si>
    <t>Lupinestraat 1</t>
  </si>
  <si>
    <t>2906CV</t>
  </si>
  <si>
    <t>RIBW Leger des Heils GGZ Zwolle</t>
  </si>
  <si>
    <t>Stichting RIBW Leger des Heils GGZ Zwolle</t>
  </si>
  <si>
    <t>Drostenstraat 2</t>
  </si>
  <si>
    <t>8011MT</t>
  </si>
  <si>
    <t>RIBW Leger des Heils GGZ Amstelland en de Meerland</t>
  </si>
  <si>
    <t>Het bestuur van de</t>
  </si>
  <si>
    <t>Psychiatrische Inrichting Groot Bronswijk</t>
  </si>
  <si>
    <t>Fam Bronsweg 17</t>
  </si>
  <si>
    <t>9945PN</t>
  </si>
  <si>
    <t>WAGENBORGEN</t>
  </si>
  <si>
    <t>0596-542205</t>
  </si>
  <si>
    <t>A</t>
  </si>
  <si>
    <t>*Dennenoord</t>
  </si>
  <si>
    <t>Psychiatrisch Ziekenhuis Dennenoord</t>
  </si>
  <si>
    <t>E 6</t>
  </si>
  <si>
    <t>9471KA</t>
  </si>
  <si>
    <t>ZUIDLAREN</t>
  </si>
  <si>
    <t>050-4097911</t>
  </si>
  <si>
    <t>CSCN</t>
  </si>
  <si>
    <t>Stichting GGZ Friesland</t>
  </si>
  <si>
    <t>FRANEKER</t>
  </si>
  <si>
    <t>0517-398600</t>
  </si>
  <si>
    <t>B</t>
  </si>
  <si>
    <t>Postbus 19</t>
  </si>
  <si>
    <t>Mediant GGZ</t>
  </si>
  <si>
    <t>Stichting Mediant GGZ</t>
  </si>
  <si>
    <t>ENSCHEDE</t>
  </si>
  <si>
    <t>053-4755755</t>
  </si>
  <si>
    <t>E</t>
  </si>
  <si>
    <t>Postbus 347</t>
  </si>
  <si>
    <t>ILOA</t>
  </si>
  <si>
    <t>Stichting Spatie Centrum voor GGZ</t>
  </si>
  <si>
    <t>Deventerstraat 459</t>
  </si>
  <si>
    <t>7323PT</t>
  </si>
  <si>
    <t>APELDOORN</t>
  </si>
  <si>
    <t>055-3686221</t>
  </si>
  <si>
    <t>G</t>
  </si>
  <si>
    <t>Stichting Adhesie</t>
  </si>
  <si>
    <t>DEVENTER</t>
  </si>
  <si>
    <t>0570-639600</t>
  </si>
  <si>
    <t>JBYR</t>
  </si>
  <si>
    <t>ZWOLSE POORT</t>
  </si>
  <si>
    <t>Schuttevaerkade 80 -88</t>
  </si>
  <si>
    <t>8021DB</t>
  </si>
  <si>
    <t>ZWOLLE</t>
  </si>
  <si>
    <t>0572-369369</t>
  </si>
  <si>
    <t>Postbus 110</t>
  </si>
  <si>
    <t>*Psychiatrisch Spectrum Gelderland Oost</t>
  </si>
  <si>
    <t>Het bestuur van van de</t>
  </si>
  <si>
    <t>Stichting Psychiatrisch Spectrum Gelderland Oost</t>
  </si>
  <si>
    <t>WARNSVELD</t>
  </si>
  <si>
    <t>0575-580808</t>
  </si>
  <si>
    <t>Postbus 2003</t>
  </si>
  <si>
    <t>Groot Batelaar</t>
  </si>
  <si>
    <t>Stichting Leger des Heils</t>
  </si>
  <si>
    <t>Postweg 249</t>
  </si>
  <si>
    <t>Afspraken in het kader van de Beleidsregel extramurale zorg 2006</t>
  </si>
  <si>
    <t>MVBG</t>
  </si>
  <si>
    <t>Zie onderbouwing regel 35 rekenstaat 'sectoroverstijgende productie'.</t>
  </si>
  <si>
    <t>(Instellingen toegelaten tot de functies als bedoeld in de artikelen 6 en 7 en voorzover van toepassing tot de functies 4,5,8 en 9, waarbij verblijf geldt voor verzekerden met een psychiatrische aandoening, van het Besluit Zorgaanspraken AWBZ)</t>
  </si>
  <si>
    <t>4.</t>
  </si>
  <si>
    <t>Niet bezette bedden verslavingszorg</t>
  </si>
  <si>
    <t>Niet bezette bedden kinderen en jeugd</t>
  </si>
  <si>
    <t>Niet bezette bedden volwassenen</t>
  </si>
  <si>
    <t>Plaatsen Klinisch psycholoog</t>
  </si>
  <si>
    <t>PKP</t>
  </si>
  <si>
    <t>M2NEMO</t>
  </si>
  <si>
    <t>INTRAMURAAL</t>
  </si>
  <si>
    <t>EXTRAMURAAL</t>
  </si>
  <si>
    <t>Verkeerd bed</t>
  </si>
  <si>
    <t>F126</t>
  </si>
  <si>
    <t>nw instelling</t>
  </si>
  <si>
    <t>als waarde is 1 dan is er sprake van</t>
  </si>
  <si>
    <t>GGZ-zorg mag afspreken op basis van</t>
  </si>
  <si>
    <t>integrale tarieven</t>
  </si>
  <si>
    <t xml:space="preserve">een nieuwe instelling die extramurale </t>
  </si>
  <si>
    <r>
      <t xml:space="preserve">Overige GGZ-prestaties gekoppeld aan andere functies (voor nieuwe toegelaten GGZ-instellingen </t>
    </r>
    <r>
      <rPr>
        <b/>
        <u val="single"/>
        <sz val="11"/>
        <rFont val="Arial"/>
        <family val="2"/>
      </rPr>
      <t>na</t>
    </r>
    <r>
      <rPr>
        <b/>
        <sz val="11"/>
        <rFont val="Arial"/>
        <family val="2"/>
      </rPr>
      <t xml:space="preserve"> 31 maart 2003, exclusief functie behandeling)</t>
    </r>
  </si>
  <si>
    <t>Prestaties gekoppeld aan de functie AB</t>
  </si>
  <si>
    <t>Uren inloop p. week (bedrag op jaarbasis)</t>
  </si>
  <si>
    <t>BFK</t>
  </si>
  <si>
    <t>Methadonverstrekking</t>
  </si>
  <si>
    <t>OPBRENGSTENREGISTRATIE</t>
  </si>
  <si>
    <t>F101..</t>
  </si>
  <si>
    <t>CVINST</t>
  </si>
  <si>
    <t>F102..</t>
  </si>
  <si>
    <t>CVINTT</t>
  </si>
  <si>
    <t>F103..</t>
  </si>
  <si>
    <t>CVONDT</t>
  </si>
  <si>
    <t>F104..</t>
  </si>
  <si>
    <t>CVPSYT</t>
  </si>
  <si>
    <t>F105..</t>
  </si>
  <si>
    <t>CVGPST</t>
  </si>
  <si>
    <t>F106..</t>
  </si>
  <si>
    <t>CVBEHT</t>
  </si>
  <si>
    <t>F221..</t>
  </si>
  <si>
    <t>CVTBHT</t>
  </si>
  <si>
    <t>F107..</t>
  </si>
  <si>
    <t>CVGBET</t>
  </si>
  <si>
    <t>F108..</t>
  </si>
  <si>
    <t>CVCBIT</t>
  </si>
  <si>
    <t>F109..</t>
  </si>
  <si>
    <t>CVCBUT</t>
  </si>
  <si>
    <t>F110..</t>
  </si>
  <si>
    <t>CVBUIT</t>
  </si>
  <si>
    <t xml:space="preserve">F124 </t>
  </si>
  <si>
    <t xml:space="preserve">F121 </t>
  </si>
  <si>
    <t xml:space="preserve">F122 </t>
  </si>
  <si>
    <t xml:space="preserve">F123 </t>
  </si>
  <si>
    <t>A003</t>
  </si>
  <si>
    <t>Op basis van de wijzigingen in de capaciteit wordt in dit onderdeel de mutatie van de normatieve oppervlakte voor de energie berekend.</t>
  </si>
  <si>
    <t>Landelijk gemiddelde prijs per bed en plaats</t>
  </si>
  <si>
    <t>Bedrag</t>
  </si>
  <si>
    <t xml:space="preserve">*) regel 1133 - regel 1156 t/m regel 1159. Mutaties in de intramurale capaciteit waaraan een </t>
  </si>
  <si>
    <t>nieuwe of gewijzigde toelatingsbeschikking van het CVZ ten grondslag ligt</t>
  </si>
  <si>
    <t>afspraken</t>
  </si>
  <si>
    <t>Onderbezetting capaciteitsmutatie</t>
  </si>
  <si>
    <t>bezetting</t>
  </si>
  <si>
    <t>dagen onder-</t>
  </si>
  <si>
    <t>dagen * gem.</t>
  </si>
  <si>
    <t>prijs per dag</t>
  </si>
  <si>
    <t>Onderbezetting (dagen) capaciteitsmutatie **)</t>
  </si>
  <si>
    <t>CCOB06</t>
  </si>
  <si>
    <t>F127</t>
  </si>
  <si>
    <t>F128</t>
  </si>
  <si>
    <t>F129</t>
  </si>
  <si>
    <t>F130</t>
  </si>
  <si>
    <t>Loonindex</t>
  </si>
  <si>
    <t>Mat. index</t>
  </si>
  <si>
    <t>Individ.afgerond!</t>
  </si>
  <si>
    <t>productiviteit</t>
  </si>
  <si>
    <t xml:space="preserve">*) Uren dienstverlening en preventie / (bruto werktijd * productiviteit) </t>
  </si>
  <si>
    <t>EWAE</t>
  </si>
  <si>
    <t>MO-instelling</t>
  </si>
  <si>
    <t>Utrecht</t>
  </si>
  <si>
    <t>Amsterdam</t>
  </si>
  <si>
    <t>Rotterdam</t>
  </si>
  <si>
    <t>Haaglanden</t>
  </si>
  <si>
    <t>MO-Zk</t>
  </si>
  <si>
    <t>instelling</t>
  </si>
  <si>
    <t xml:space="preserve">als waarde is 1 dan is er </t>
  </si>
  <si>
    <t>sprake van een MO-instelling</t>
  </si>
  <si>
    <t>Traverse</t>
  </si>
  <si>
    <t>Stichting Maatschappelijke Opvang Midden-Brabant Traverse</t>
  </si>
  <si>
    <t>Reitse Hoevenstraat 6</t>
  </si>
  <si>
    <t>5042EH</t>
  </si>
  <si>
    <t>Postbus 1314</t>
  </si>
  <si>
    <t>RIBW Leger des Heils GGZ Amsterdam</t>
  </si>
  <si>
    <t>Stichting RIBW Leger des Heils GGZ Amsterdam</t>
  </si>
  <si>
    <t>Echtenstein 1 t/m 6</t>
  </si>
  <si>
    <t>1103AA</t>
  </si>
  <si>
    <t>GGZ Groep Europoort</t>
  </si>
  <si>
    <t>Stichting GGZ Groep Europoort</t>
  </si>
  <si>
    <t>0180-643502</t>
  </si>
  <si>
    <t>LIMOR</t>
  </si>
  <si>
    <t>Stichting Landelijke Instelling voor Maatschappelijke Opvang en Resocialisatie (LIMOR)</t>
  </si>
  <si>
    <t>Curacaostraat 2 /1</t>
  </si>
  <si>
    <t>8931CV</t>
  </si>
  <si>
    <t>058-2151694</t>
  </si>
  <si>
    <t>Postbus 8008</t>
  </si>
  <si>
    <t>De Terp</t>
  </si>
  <si>
    <t>Stichting Maatschappelijke Opvang Fryslan De Terp</t>
  </si>
  <si>
    <t>Willemskade 23</t>
  </si>
  <si>
    <t>8911AX</t>
  </si>
  <si>
    <t>058-2932400</t>
  </si>
  <si>
    <t>Postbus 2579</t>
  </si>
  <si>
    <t>Verdihuis</t>
  </si>
  <si>
    <t>Stichting Maatschappelijke opvang Verdihuis</t>
  </si>
  <si>
    <t>Kardinaal de Jongstraat 17</t>
  </si>
  <si>
    <t>5348BG</t>
  </si>
  <si>
    <t>OSS</t>
  </si>
  <si>
    <t>0412-636251</t>
  </si>
  <si>
    <t>Prins Claus Centrum (PCC)</t>
  </si>
  <si>
    <t>Stichting Prins Claus Centrum</t>
  </si>
  <si>
    <t>Stationsplein 12</t>
  </si>
  <si>
    <t>6131AT</t>
  </si>
  <si>
    <t>Postbus 5500</t>
  </si>
  <si>
    <t>Woonzorgnet</t>
  </si>
  <si>
    <t>Woonzorgnet BV</t>
  </si>
  <si>
    <t>Hoofdstraat 38</t>
  </si>
  <si>
    <t>6994AH</t>
  </si>
  <si>
    <t>DE STEEG</t>
  </si>
  <si>
    <t>0317-398800</t>
  </si>
  <si>
    <t>Postbus 28</t>
  </si>
  <si>
    <t>Instituut Sint Marie</t>
  </si>
  <si>
    <t>Stichting Instituut Sint Marie</t>
  </si>
  <si>
    <t>040-2647026</t>
  </si>
  <si>
    <t>Lindenhout</t>
  </si>
  <si>
    <t>Gelderse Stichting voor Jeugdhulpverlening Lindenhout</t>
  </si>
  <si>
    <t>Heijenoordseweg 1</t>
  </si>
  <si>
    <t>6813GG</t>
  </si>
  <si>
    <t>026-3543333</t>
  </si>
  <si>
    <t>Postbus 322</t>
  </si>
  <si>
    <t>2.  CTG/ZAio wil een bijdrage leveren aan het verminderen van de administratieve lasten bij instellingen. CTG/ZAio streeft tevens naar een zo efficiënt mogelijke aanwending van middelen om ontwikkelingen in de gezondheidszorg in kaart te brengen. Daarom heeft CTG/ZAio met onder andere het CBS afspraken gemaakt over het niet vaker dan één keer stellen van dezelfde vragen aan instellingen. Genoemde partijen zijn in dat kader overeengekomen de door instellingen aangeleverde gegevens uit te wisselen. Daarbij is bepaald dat deze gegevens bij publicatie niet herleidbaar zijn op het niveau van de individuele instelling en dat de uitgewisselde gegevens niet verder aan andere personen of organisaties zullen worden doorgeleverd.
CTG/ZAio wil de door u op dit formulier ingevulde gegevens betrekken bij de hierboven genoemde gegevensuitwisseling. Bij toestemming levert u een bijdrage aan het verminderen van uw eigen administratieve lasten en ondersteunt u de lange termijn doelstellingen van de overheid. Op het voorblad van dit formulier kunt u aangeven of u met de doorlevering van gegevens instemt.</t>
  </si>
  <si>
    <t xml:space="preserve"> -Ten aanzien van het werkblad "individuele prijsafspraken" verwijzen wij u naar de toelichting onder punt 7 Budgetberekening 2006.</t>
  </si>
  <si>
    <t xml:space="preserve"> -In het werkblad "extramuraal" kunt u de productie opgeven die in het kader van de modernisering van de AWBZ is afgesproken. Voorwaarde is dat de instelling is toegelaten voor de betreffende functies. Voor dat u het werkblad invult wordt u daarom allereerst gevraagd aan te geven voor welke functies de instelling is toegelaten. Voor de gehele AWBZ-sector is er één formulier Extramuraal ontworpen. Om mogelijke vergissingen te voorkomen en u geen onnodige bladzijdes aan te bieden zijn de bladzijdes waarop de GGZ-zorg is vermeld uit het werkblad verwijderd. De GGZ-afspraken kunnen worden ingevuld in het reguliere deel van dit formulier.</t>
  </si>
  <si>
    <t>Beslag op Contracteerruimte 2006</t>
  </si>
  <si>
    <t>Werkelijke sectoroverstijgende productie 2005</t>
  </si>
  <si>
    <t>Nacalculatie productie 2005 en controle door zorgkantoor</t>
  </si>
  <si>
    <t xml:space="preserve"> -In kolom I wordt u gevraagd de aantallen op te geven conform de meest recente rekenstaat 2006. De productieafspraak 2006 wordt in kolom II ingevuld en de werkelijke productie over 2004 en 2005 wordt respectievelijk in kolom VI en VII ingevuld. In kolom V wordt het bedrag van de productieafspraak berekend. In kolom IX  wordt het bedrag van de werkelijke productie 2005 berekend. De productieafspraken, die in kolom II worden ingevuld,  moeten worden gebaseerd op de situatie per 1 januari 2006.  Op de regels 832 tot en met 837 kunt u individuele productiegebonden kosten vermelden, als deze in uw budget zijn opgenomen. </t>
  </si>
  <si>
    <t xml:space="preserve">       </t>
  </si>
  <si>
    <t xml:space="preserve">    </t>
  </si>
  <si>
    <t>Teneinde een berekening te kunnen maken van het nieuwe budget is het ook nodig de eventuele overige budgetcomponenten, die zijn opgenomen in de rekenstaat 2006 onder de overige loonkosten en de materiële kosten, te vermelden.</t>
  </si>
  <si>
    <t>6741MK</t>
  </si>
  <si>
    <t>LUNTEREN</t>
  </si>
  <si>
    <t>0342-455155</t>
  </si>
  <si>
    <t>Postbus 5</t>
  </si>
  <si>
    <t>*Veluweland</t>
  </si>
  <si>
    <t>Stichting Veluweland</t>
  </si>
  <si>
    <t>Klomperweg 175</t>
  </si>
  <si>
    <t>6741PH</t>
  </si>
  <si>
    <t>0318-572141</t>
  </si>
  <si>
    <t>*Wolfheze</t>
  </si>
  <si>
    <t>Psychiatrisch Ziekenhuis Wolfheze</t>
  </si>
  <si>
    <t>Wolfheze 2</t>
  </si>
  <si>
    <t>6874BE</t>
  </si>
  <si>
    <t>WOLFHEZE</t>
  </si>
  <si>
    <t>026-4833111</t>
  </si>
  <si>
    <t>Overwaal</t>
  </si>
  <si>
    <t>Stichting Overwaal</t>
  </si>
  <si>
    <t>Pastoor van Laakstraat 48</t>
  </si>
  <si>
    <t>6663CB</t>
  </si>
  <si>
    <t>LENT</t>
  </si>
  <si>
    <t>Contact buiten de instelling</t>
  </si>
  <si>
    <t>Nieuwe inschrijving</t>
  </si>
  <si>
    <t>Intakecontact</t>
  </si>
  <si>
    <t>Onderzoekscontact</t>
  </si>
  <si>
    <t>Psychotherapiecontact</t>
  </si>
  <si>
    <t>Groepscontact psychotherapie</t>
  </si>
  <si>
    <t>Groepscontact beh./begeleiding</t>
  </si>
  <si>
    <t>Eerste opnames</t>
  </si>
  <si>
    <t>rgl.</t>
  </si>
  <si>
    <t>For. psych. kliniek t/m 55 bedden</t>
  </si>
  <si>
    <t>For. psych. kliniek vanaf 56 bedden</t>
  </si>
  <si>
    <t>F002</t>
  </si>
  <si>
    <t>F001</t>
  </si>
  <si>
    <t>F003</t>
  </si>
  <si>
    <t>Alcohol- en drugsverslaafden</t>
  </si>
  <si>
    <t>BAD</t>
  </si>
  <si>
    <t>A.1.1</t>
  </si>
  <si>
    <t>VA11</t>
  </si>
  <si>
    <t>VA12</t>
  </si>
  <si>
    <t>VA13</t>
  </si>
  <si>
    <t>VA14</t>
  </si>
  <si>
    <t>VA15</t>
  </si>
  <si>
    <t>VA16</t>
  </si>
  <si>
    <t>VK12</t>
  </si>
  <si>
    <t>VK13</t>
  </si>
  <si>
    <t>VK14</t>
  </si>
  <si>
    <t>VK15</t>
  </si>
  <si>
    <t>VK16</t>
  </si>
  <si>
    <t>VK11</t>
  </si>
  <si>
    <t>V11</t>
  </si>
  <si>
    <t>V12</t>
  </si>
  <si>
    <t>V13</t>
  </si>
  <si>
    <t>V14</t>
  </si>
  <si>
    <t>V21</t>
  </si>
  <si>
    <t>V22</t>
  </si>
  <si>
    <t>V23</t>
  </si>
  <si>
    <t>V24</t>
  </si>
  <si>
    <t>V25</t>
  </si>
  <si>
    <t>VF12</t>
  </si>
  <si>
    <t>VF13</t>
  </si>
  <si>
    <t>VF14</t>
  </si>
  <si>
    <t>VF15</t>
  </si>
  <si>
    <t>VF16</t>
  </si>
  <si>
    <t>VF11</t>
  </si>
  <si>
    <t>Opname en observatie</t>
  </si>
  <si>
    <t>Groepsgewijs met beperkte begeleiding</t>
  </si>
  <si>
    <t>Groepsgewijs met volledige begeleiding</t>
  </si>
  <si>
    <t>Individueel met beperkte begeleiding</t>
  </si>
  <si>
    <t>De in te vullen velden zijn mintgroen gearceerd. Deze arcering kunt u in- en uitschakelen. Voor het uitprinten van gegevens wordt u geadviseerd de arcering uit te zetten</t>
  </si>
  <si>
    <t>Dagen kinderen en jeugd (landelijk gem. excl. BOPZ en ZIZ)</t>
  </si>
  <si>
    <t>WUGB</t>
  </si>
  <si>
    <t>Overige bedden k/j</t>
  </si>
  <si>
    <t>ZIZ-bedden k/j</t>
  </si>
  <si>
    <t>BOPZ-bedden k/j</t>
  </si>
  <si>
    <t>Bed volw. (overig)</t>
  </si>
  <si>
    <t>For. psych. afd.</t>
  </si>
  <si>
    <t>KIB</t>
  </si>
  <si>
    <t>bedden/plaatsen</t>
  </si>
  <si>
    <t>For. kliniek t/m 55 bed</t>
  </si>
  <si>
    <t>For. kliniek vanaf 56 bedden</t>
  </si>
  <si>
    <t>kapitaalslasten. Houdt daarmee rekening bij bedrag afspraak.</t>
  </si>
  <si>
    <r>
      <t xml:space="preserve">NB Het </t>
    </r>
    <r>
      <rPr>
        <b/>
        <u val="single"/>
        <sz val="9"/>
        <rFont val="Arial"/>
        <family val="2"/>
      </rPr>
      <t>budgetformulier</t>
    </r>
    <r>
      <rPr>
        <b/>
        <sz val="9"/>
        <rFont val="Arial"/>
        <family val="2"/>
      </rPr>
      <t xml:space="preserve"> wordt gebruikt om het </t>
    </r>
    <r>
      <rPr>
        <b/>
        <u val="single"/>
        <sz val="9"/>
        <rFont val="Arial"/>
        <family val="2"/>
      </rPr>
      <t>totale (productie)budget</t>
    </r>
    <r>
      <rPr>
        <b/>
        <sz val="9"/>
        <rFont val="Arial"/>
        <family val="2"/>
      </rPr>
      <t xml:space="preserve"> weer te geven en het </t>
    </r>
    <r>
      <rPr>
        <b/>
        <u val="single"/>
        <sz val="9"/>
        <rFont val="Arial"/>
        <family val="2"/>
      </rPr>
      <t>mutatieformulier</t>
    </r>
    <r>
      <rPr>
        <b/>
        <sz val="9"/>
        <rFont val="Arial"/>
        <family val="2"/>
      </rPr>
      <t xml:space="preserve"> wordt gebruikt om alleen de </t>
    </r>
    <r>
      <rPr>
        <b/>
        <u val="single"/>
        <sz val="9"/>
        <rFont val="Arial"/>
        <family val="2"/>
      </rPr>
      <t>mutaties</t>
    </r>
    <r>
      <rPr>
        <b/>
        <sz val="9"/>
        <rFont val="Arial"/>
        <family val="2"/>
      </rPr>
      <t xml:space="preserve"> weer te geven.</t>
    </r>
  </si>
  <si>
    <r>
      <t>NB</t>
    </r>
    <r>
      <rPr>
        <sz val="10"/>
        <rFont val="Arial"/>
        <family val="0"/>
      </rPr>
      <t xml:space="preserve"> Het tarief v/d beleidsregel extramurale zorg is inclusief </t>
    </r>
  </si>
  <si>
    <t>productie</t>
  </si>
  <si>
    <t>CVGBE</t>
  </si>
  <si>
    <t>CVCBI</t>
  </si>
  <si>
    <t>CVCBU</t>
  </si>
  <si>
    <t>CVBUI</t>
  </si>
  <si>
    <t>CVINS</t>
  </si>
  <si>
    <t>COINS</t>
  </si>
  <si>
    <t>COINT</t>
  </si>
  <si>
    <t>COOND</t>
  </si>
  <si>
    <t>COPSY</t>
  </si>
  <si>
    <t>COGPS</t>
  </si>
  <si>
    <t>COBEH</t>
  </si>
  <si>
    <t>COGBE</t>
  </si>
  <si>
    <t>COCBI</t>
  </si>
  <si>
    <t>COCBU</t>
  </si>
  <si>
    <t>COBUI</t>
  </si>
  <si>
    <t>CAINT</t>
  </si>
  <si>
    <t>CAOND</t>
  </si>
  <si>
    <t>CAPSY</t>
  </si>
  <si>
    <t>CAGPS</t>
  </si>
  <si>
    <t>CABEH</t>
  </si>
  <si>
    <t>CAGBE</t>
  </si>
  <si>
    <t>CACBI</t>
  </si>
  <si>
    <t>CACBU</t>
  </si>
  <si>
    <t>CABUI</t>
  </si>
  <si>
    <t>CAINS</t>
  </si>
  <si>
    <t>F207</t>
  </si>
  <si>
    <t>Cliënten zorgcoörd. i.c.m. casemanagement</t>
  </si>
  <si>
    <t>Kinderen en Jeugd</t>
  </si>
  <si>
    <t>Alcohol en drugs</t>
  </si>
  <si>
    <t>Volwassenen/oud.</t>
  </si>
  <si>
    <t>Contacten psychiatrische crisisinterventie thuis</t>
  </si>
  <si>
    <t>K.1.7</t>
  </si>
  <si>
    <t>VK17</t>
  </si>
  <si>
    <t>Logeerdagen</t>
  </si>
  <si>
    <t>Deeltijd kinderen en jeugd</t>
  </si>
  <si>
    <t>Deeltijd volwassenen en ouderen</t>
  </si>
  <si>
    <t>Deeltijd forensisch</t>
  </si>
  <si>
    <t>Ambulant kinderen en jeugd</t>
  </si>
  <si>
    <t>Ambulant volwassenen</t>
  </si>
  <si>
    <t>Ambulant ouderen</t>
  </si>
  <si>
    <t>Ambulant verslavingszorg</t>
  </si>
  <si>
    <t>WVA12</t>
  </si>
  <si>
    <t>WVA13</t>
  </si>
  <si>
    <t>WVA14</t>
  </si>
  <si>
    <t>WVA15</t>
  </si>
  <si>
    <t>WVA16</t>
  </si>
  <si>
    <t>WVK11</t>
  </si>
  <si>
    <t>WVK12</t>
  </si>
  <si>
    <t>WVK13</t>
  </si>
  <si>
    <t>WVK14</t>
  </si>
  <si>
    <t>WVK15</t>
  </si>
  <si>
    <t>WVK16</t>
  </si>
  <si>
    <t>WVK17</t>
  </si>
  <si>
    <t>WV11</t>
  </si>
  <si>
    <t>WV12</t>
  </si>
  <si>
    <t>WV13</t>
  </si>
  <si>
    <t>Verzorgingsdagen Beschermd Wonen</t>
  </si>
  <si>
    <t>WFBUI</t>
  </si>
  <si>
    <t>F208</t>
  </si>
  <si>
    <t>Uren activerende psychiatrisch thuiszorg</t>
  </si>
  <si>
    <t>Overschrijding contracteerruimte regio</t>
  </si>
  <si>
    <t>Overschrijding contract. ruimte voedingsvoorl.</t>
  </si>
  <si>
    <t>LACV</t>
  </si>
  <si>
    <t>incl. index</t>
  </si>
  <si>
    <t>*APZ-Drenthe, locatie Assen</t>
  </si>
  <si>
    <t>P</t>
  </si>
  <si>
    <t>Het bestuur van het</t>
  </si>
  <si>
    <t>APZ-Drenthe</t>
  </si>
  <si>
    <t>Dagen volwassenen en ouderen lang</t>
  </si>
  <si>
    <t>Totaal volwassenen en ouderen kort</t>
  </si>
  <si>
    <t>Totaal volwassenen en ouderen lang</t>
  </si>
  <si>
    <t>ZORGZWAARTE (vervolg)</t>
  </si>
  <si>
    <t>Totaal FPA</t>
  </si>
  <si>
    <t>Totaal FPK</t>
  </si>
  <si>
    <t>Totaal deeltijd verslavingszorg</t>
  </si>
  <si>
    <t>Totaal deeltijd kinderen en jeugd</t>
  </si>
  <si>
    <t>Deeltijd volwassenen en ouderen kort</t>
  </si>
  <si>
    <t>Totaal deeltijd volwassenen kort</t>
  </si>
  <si>
    <t>Deeltijd volwassenen en ouderen lang</t>
  </si>
  <si>
    <t>Totaal deeltijd volwassenen lang</t>
  </si>
  <si>
    <t>AANTAL CONTACTEN PER NIEUWE INSCHRIJVING</t>
  </si>
  <si>
    <t>AANTAL CONTACTEN PER NIEUWE INSCHRIJVING (vervolg)</t>
  </si>
  <si>
    <t>Toeslag contact buiten de instelling</t>
  </si>
  <si>
    <t>Budget</t>
  </si>
  <si>
    <t>o.b.v. prod.</t>
  </si>
  <si>
    <t>afspraken *)</t>
  </si>
  <si>
    <t>productie **)</t>
  </si>
  <si>
    <t>bez.</t>
  </si>
  <si>
    <t>gr.%</t>
  </si>
  <si>
    <t>gemiddelde bezettingsgraad.</t>
  </si>
  <si>
    <t>**) Gemiddelde werkelijke productie van</t>
  </si>
  <si>
    <t>en jeugdigen</t>
  </si>
  <si>
    <t>forensische psychiatrische kliniek</t>
  </si>
  <si>
    <t>Psychiatrische zorg thuis</t>
  </si>
  <si>
    <t>Psychiatrische crisisinterv. thuis</t>
  </si>
  <si>
    <t>Mutatieformulier regiokader</t>
  </si>
  <si>
    <t>GGZ Groningen</t>
  </si>
  <si>
    <t>GGZ Friesland</t>
  </si>
  <si>
    <t>Spatie</t>
  </si>
  <si>
    <t>GGNet</t>
  </si>
  <si>
    <t>De Gelderse Roos</t>
  </si>
  <si>
    <t>GGZ Nijmegen</t>
  </si>
  <si>
    <t>Symfora Groep</t>
  </si>
  <si>
    <t>Meerkanten</t>
  </si>
  <si>
    <t>Altrecht</t>
  </si>
  <si>
    <t>Eleos</t>
  </si>
  <si>
    <t>GGZ Noord-Holland-Noord</t>
  </si>
  <si>
    <t>Mentrum</t>
  </si>
  <si>
    <t>De Meren</t>
  </si>
  <si>
    <t>GGZ Delfland</t>
  </si>
  <si>
    <t>In onderstaande situaties wordt aangegeven welk formulier wanneer van toepassing is.</t>
  </si>
  <si>
    <t>prod. cap.</t>
  </si>
  <si>
    <t>verschil</t>
  </si>
  <si>
    <t xml:space="preserve">Verschil nieuw budget t.o.v. oud budget </t>
  </si>
  <si>
    <t>verslavingszorg</t>
  </si>
  <si>
    <t>kinderen en jeugd</t>
  </si>
  <si>
    <t>volwassenen ouderen</t>
  </si>
  <si>
    <t>forensisch</t>
  </si>
  <si>
    <t>klinisch intensief</t>
  </si>
  <si>
    <t>beschermd wonen</t>
  </si>
  <si>
    <t>deeltijd</t>
  </si>
  <si>
    <t>kinderen/jeugd</t>
  </si>
  <si>
    <t>volwassenen</t>
  </si>
  <si>
    <t>ouderen</t>
  </si>
</sst>
</file>

<file path=xl/styles.xml><?xml version="1.0" encoding="utf-8"?>
<styleSheet xmlns="http://schemas.openxmlformats.org/spreadsheetml/2006/main">
  <numFmts count="31">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quot;fl&quot;\ * #,##0_-;_-&quot;fl&quot;\ * #,##0\-;_-&quot;fl&quot;\ * &quot;-&quot;_-;_-@_-"/>
    <numFmt numFmtId="165" formatCode="_-&quot;fl&quot;\ * #,##0.00_-;_-&quot;fl&quot;\ * #,##0.00\-;_-&quot;fl&quot;\ * &quot;-&quot;??_-;_-@_-"/>
    <numFmt numFmtId="166" formatCode="\ \ƒ* #,##0_ \ ;\ \ƒ* ;\ \ƒ* "/>
    <numFmt numFmtId="167" formatCode="&quot;F&quot;\ #,##0_-;&quot;F&quot;\ #,##0\-"/>
    <numFmt numFmtId="168" formatCode="#,##0.0"/>
    <numFmt numFmtId="169" formatCode="0.0"/>
    <numFmt numFmtId="170" formatCode="0.0%"/>
    <numFmt numFmtId="171" formatCode="#,##0_ ;\(#,##0\);"/>
    <numFmt numFmtId="172" formatCode="#,###.00_ ;\(#,##0.00\);"/>
    <numFmt numFmtId="173" formatCode="\€* #,##0_ ;\€* \(#,##0\);\€* "/>
    <numFmt numFmtId="174" formatCode="\ƒ* #,##0_ ;\ƒ* \(#,##0\);\ƒ* #,##0_ "/>
    <numFmt numFmtId="175" formatCode="#,##0_ ;\(#,##0\);0_ "/>
    <numFmt numFmtId="176" formatCode="#,##0_ ;\(#,##0\);&quot;-/-&quot;* "/>
    <numFmt numFmtId="177" formatCode="#,##0.00_ ;\(#,##0.00\);"/>
    <numFmt numFmtId="178" formatCode="\ƒ* #,##0_ ;\ƒ* \(#,##0\);\ƒ* \ "/>
    <numFmt numFmtId="179" formatCode="#,##0.00_-"/>
    <numFmt numFmtId="180" formatCode=";;;"/>
    <numFmt numFmtId="181" formatCode="d/mm/yy;@"/>
    <numFmt numFmtId="182" formatCode="#,##0_ \ ;\(#,##0\)_ ;"/>
    <numFmt numFmtId="183" formatCode="d\ mmmm\ yyyy"/>
    <numFmt numFmtId="184" formatCode="dd/mm/yy;@"/>
    <numFmt numFmtId="185" formatCode="[$-413]dddd\ d\ mmmm\ yyyy"/>
    <numFmt numFmtId="186" formatCode="00.00.00.000"/>
  </numFmts>
  <fonts count="35">
    <font>
      <sz val="10"/>
      <name val="Arial"/>
      <family val="0"/>
    </font>
    <font>
      <b/>
      <sz val="10"/>
      <name val="Arial"/>
      <family val="2"/>
    </font>
    <font>
      <sz val="10"/>
      <color indexed="9"/>
      <name val="Arial"/>
      <family val="2"/>
    </font>
    <font>
      <sz val="8"/>
      <name val="Tahoma"/>
      <family val="2"/>
    </font>
    <font>
      <sz val="9"/>
      <name val="Arial"/>
      <family val="2"/>
    </font>
    <font>
      <b/>
      <sz val="9"/>
      <name val="Arial"/>
      <family val="2"/>
    </font>
    <font>
      <sz val="10"/>
      <name val="Courier"/>
      <family val="0"/>
    </font>
    <font>
      <sz val="8"/>
      <name val="Arial"/>
      <family val="2"/>
    </font>
    <font>
      <b/>
      <sz val="12"/>
      <name val="Arial"/>
      <family val="2"/>
    </font>
    <font>
      <sz val="8"/>
      <name val="Helv"/>
      <family val="0"/>
    </font>
    <font>
      <b/>
      <sz val="14"/>
      <name val="Helv"/>
      <family val="0"/>
    </font>
    <font>
      <sz val="24"/>
      <color indexed="13"/>
      <name val="Helv"/>
      <family val="0"/>
    </font>
    <font>
      <b/>
      <sz val="9"/>
      <color indexed="9"/>
      <name val="Arial"/>
      <family val="2"/>
    </font>
    <font>
      <sz val="9"/>
      <color indexed="9"/>
      <name val="Arial"/>
      <family val="2"/>
    </font>
    <font>
      <u val="single"/>
      <sz val="10"/>
      <color indexed="12"/>
      <name val="Arial"/>
      <family val="0"/>
    </font>
    <font>
      <sz val="9"/>
      <name val="Helv"/>
      <family val="0"/>
    </font>
    <font>
      <sz val="8"/>
      <color indexed="9"/>
      <name val="Arial"/>
      <family val="2"/>
    </font>
    <font>
      <b/>
      <sz val="10"/>
      <color indexed="9"/>
      <name val="Arial"/>
      <family val="2"/>
    </font>
    <font>
      <b/>
      <sz val="8"/>
      <name val="Arial"/>
      <family val="2"/>
    </font>
    <font>
      <sz val="12"/>
      <name val="Arial"/>
      <family val="2"/>
    </font>
    <font>
      <sz val="20"/>
      <name val="Arial"/>
      <family val="2"/>
    </font>
    <font>
      <b/>
      <sz val="14"/>
      <name val="Arial"/>
      <family val="2"/>
    </font>
    <font>
      <b/>
      <sz val="8"/>
      <color indexed="9"/>
      <name val="Arial"/>
      <family val="2"/>
    </font>
    <font>
      <u val="single"/>
      <sz val="10"/>
      <color indexed="36"/>
      <name val="Arial"/>
      <family val="0"/>
    </font>
    <font>
      <sz val="9"/>
      <color indexed="10"/>
      <name val="Arial"/>
      <family val="2"/>
    </font>
    <font>
      <b/>
      <sz val="11"/>
      <name val="Arial"/>
      <family val="2"/>
    </font>
    <font>
      <sz val="11"/>
      <name val="Arial"/>
      <family val="2"/>
    </font>
    <font>
      <b/>
      <vertAlign val="superscript"/>
      <sz val="10"/>
      <name val="Arial"/>
      <family val="2"/>
    </font>
    <font>
      <b/>
      <u val="single"/>
      <sz val="9"/>
      <name val="Arial"/>
      <family val="2"/>
    </font>
    <font>
      <b/>
      <i/>
      <sz val="10"/>
      <name val="Arial"/>
      <family val="2"/>
    </font>
    <font>
      <b/>
      <sz val="8.5"/>
      <name val="Arial"/>
      <family val="0"/>
    </font>
    <font>
      <b/>
      <sz val="9.25"/>
      <name val="Arial"/>
      <family val="0"/>
    </font>
    <font>
      <b/>
      <sz val="10"/>
      <color indexed="10"/>
      <name val="Arial"/>
      <family val="2"/>
    </font>
    <font>
      <u val="single"/>
      <sz val="9"/>
      <name val="Arial"/>
      <family val="2"/>
    </font>
    <font>
      <b/>
      <u val="single"/>
      <sz val="11"/>
      <name val="Arial"/>
      <family val="2"/>
    </font>
  </fonts>
  <fills count="13">
    <fill>
      <patternFill/>
    </fill>
    <fill>
      <patternFill patternType="gray125"/>
    </fill>
    <fill>
      <patternFill patternType="solid">
        <fgColor indexed="13"/>
        <bgColor indexed="64"/>
      </patternFill>
    </fill>
    <fill>
      <patternFill patternType="solid">
        <fgColor indexed="43"/>
        <bgColor indexed="64"/>
      </patternFill>
    </fill>
    <fill>
      <patternFill patternType="solid">
        <fgColor indexed="12"/>
        <bgColor indexed="64"/>
      </patternFill>
    </fill>
    <fill>
      <patternFill patternType="solid">
        <fgColor indexed="8"/>
        <bgColor indexed="64"/>
      </patternFill>
    </fill>
    <fill>
      <patternFill patternType="solid">
        <fgColor indexed="8"/>
        <bgColor indexed="64"/>
      </patternFill>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indexed="26"/>
        <bgColor indexed="64"/>
      </patternFill>
    </fill>
    <fill>
      <patternFill patternType="solid">
        <fgColor indexed="10"/>
        <bgColor indexed="64"/>
      </patternFill>
    </fill>
    <fill>
      <patternFill patternType="solid">
        <fgColor indexed="11"/>
        <bgColor indexed="64"/>
      </patternFill>
    </fill>
  </fills>
  <borders count="67">
    <border>
      <left/>
      <right/>
      <top/>
      <bottom/>
      <diagonal/>
    </border>
    <border>
      <left style="thin">
        <color indexed="8"/>
      </left>
      <right style="thin">
        <color indexed="8"/>
      </right>
      <top style="thin">
        <color indexed="8"/>
      </top>
      <bottom style="thin">
        <color indexed="8"/>
      </bottom>
    </border>
    <border>
      <left style="thin"/>
      <right style="thin"/>
      <top>
        <color indexed="63"/>
      </top>
      <bottom>
        <color indexed="63"/>
      </bottom>
    </border>
    <border>
      <left style="thin"/>
      <right style="thin"/>
      <top style="thin"/>
      <bottom style="thin"/>
    </border>
    <border>
      <left style="thin">
        <color indexed="8"/>
      </left>
      <right style="thin">
        <color indexed="8"/>
      </right>
      <top style="double">
        <color indexed="8"/>
      </top>
      <bottom style="thin">
        <color indexed="8"/>
      </bottom>
    </border>
    <border>
      <left style="hair"/>
      <right>
        <color indexed="63"/>
      </right>
      <top>
        <color indexed="63"/>
      </top>
      <bottom>
        <color indexed="63"/>
      </bottom>
    </border>
    <border>
      <left style="hair"/>
      <right style="hair"/>
      <top style="hair"/>
      <bottom style="hair"/>
    </border>
    <border>
      <left style="hair"/>
      <right style="hair"/>
      <top style="hair"/>
      <bottom>
        <color indexed="63"/>
      </bottom>
    </border>
    <border>
      <left style="hair"/>
      <right style="hair"/>
      <top>
        <color indexed="63"/>
      </top>
      <bottom style="hair"/>
    </border>
    <border>
      <left>
        <color indexed="63"/>
      </left>
      <right>
        <color indexed="63"/>
      </right>
      <top style="hair"/>
      <bottom style="hair"/>
    </border>
    <border>
      <left>
        <color indexed="63"/>
      </left>
      <right style="hair"/>
      <top style="hair"/>
      <bottom style="hair"/>
    </border>
    <border>
      <left>
        <color indexed="63"/>
      </left>
      <right>
        <color indexed="63"/>
      </right>
      <top style="hair"/>
      <bottom>
        <color indexed="63"/>
      </bottom>
    </border>
    <border>
      <left>
        <color indexed="63"/>
      </left>
      <right style="hair"/>
      <top style="hair"/>
      <bottom>
        <color indexed="63"/>
      </bottom>
    </border>
    <border>
      <left style="hair"/>
      <right>
        <color indexed="63"/>
      </right>
      <top style="hair"/>
      <bottom style="hair"/>
    </border>
    <border>
      <left>
        <color indexed="63"/>
      </left>
      <right style="hair"/>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hair"/>
    </border>
    <border>
      <left>
        <color indexed="63"/>
      </left>
      <right>
        <color indexed="63"/>
      </right>
      <top>
        <color indexed="63"/>
      </top>
      <bottom style="thin"/>
    </border>
    <border>
      <left style="thin"/>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color indexed="63"/>
      </bottom>
    </border>
    <border>
      <left style="thin"/>
      <right>
        <color indexed="63"/>
      </right>
      <top style="hair"/>
      <bottom style="thin"/>
    </border>
    <border>
      <left>
        <color indexed="63"/>
      </left>
      <right>
        <color indexed="63"/>
      </right>
      <top style="hair"/>
      <bottom style="thin"/>
    </border>
    <border>
      <left style="thin"/>
      <right>
        <color indexed="63"/>
      </right>
      <top style="hair"/>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thin"/>
      <top>
        <color indexed="63"/>
      </top>
      <bottom>
        <color indexed="63"/>
      </bottom>
    </border>
    <border>
      <left>
        <color indexed="63"/>
      </left>
      <right style="hair"/>
      <top style="hair"/>
      <bottom style="thin"/>
    </border>
    <border>
      <left>
        <color indexed="63"/>
      </left>
      <right style="thin"/>
      <top style="hair"/>
      <bottom style="thin"/>
    </border>
    <border>
      <left style="thin"/>
      <right>
        <color indexed="63"/>
      </right>
      <top>
        <color indexed="63"/>
      </top>
      <bottom style="thin"/>
    </border>
    <border>
      <left style="hair"/>
      <right>
        <color indexed="63"/>
      </right>
      <top style="hair"/>
      <bottom>
        <color indexed="63"/>
      </bottom>
    </border>
    <border>
      <left style="hair"/>
      <right>
        <color indexed="63"/>
      </right>
      <top>
        <color indexed="63"/>
      </top>
      <bottom style="hair"/>
    </border>
    <border>
      <left style="hair"/>
      <right style="hair"/>
      <top>
        <color indexed="63"/>
      </top>
      <bottom>
        <color indexed="63"/>
      </bottom>
    </border>
    <border>
      <left>
        <color indexed="63"/>
      </left>
      <right style="thin"/>
      <top style="thin"/>
      <bottom>
        <color indexed="63"/>
      </bottom>
    </border>
    <border>
      <left style="thin"/>
      <right>
        <color indexed="63"/>
      </right>
      <top style="hair"/>
      <bottom>
        <color indexed="63"/>
      </bottom>
    </border>
    <border>
      <left>
        <color indexed="63"/>
      </left>
      <right style="hair"/>
      <top>
        <color indexed="63"/>
      </top>
      <bottom style="hair"/>
    </border>
    <border>
      <left style="thin"/>
      <right style="thin"/>
      <top style="thin"/>
      <bottom>
        <color indexed="63"/>
      </bottom>
    </border>
    <border>
      <left style="hair"/>
      <right style="hair"/>
      <top style="thin"/>
      <bottom style="double"/>
    </border>
    <border>
      <left>
        <color indexed="63"/>
      </left>
      <right style="thin"/>
      <top>
        <color indexed="63"/>
      </top>
      <bottom style="hair"/>
    </border>
    <border>
      <left>
        <color indexed="63"/>
      </left>
      <right style="thin"/>
      <top>
        <color indexed="63"/>
      </top>
      <bottom style="thin"/>
    </border>
    <border>
      <left>
        <color indexed="63"/>
      </left>
      <right style="thin"/>
      <top style="hair"/>
      <bottom style="hair"/>
    </border>
    <border>
      <left style="thin"/>
      <right style="thin"/>
      <top>
        <color indexed="63"/>
      </top>
      <bottom style="thin"/>
    </border>
    <border>
      <left>
        <color indexed="63"/>
      </left>
      <right>
        <color indexed="63"/>
      </right>
      <top style="thin"/>
      <bottom style="double"/>
    </border>
    <border>
      <left style="dashed"/>
      <right style="dashed"/>
      <top style="dashed"/>
      <bottom style="dashed"/>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medium"/>
      <top style="medium"/>
      <bottom style="medium"/>
    </border>
    <border>
      <left style="medium"/>
      <right style="medium"/>
      <top style="hair"/>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hair"/>
      <top style="hair"/>
      <bottom style="hair"/>
    </border>
    <border>
      <left style="hair"/>
      <right>
        <color indexed="63"/>
      </right>
      <top style="thin"/>
      <bottom style="hair"/>
    </border>
    <border>
      <left style="hair"/>
      <right>
        <color indexed="63"/>
      </right>
      <top style="hair"/>
      <bottom style="thin"/>
    </border>
    <border>
      <left>
        <color indexed="63"/>
      </left>
      <right style="hair"/>
      <top style="thin"/>
      <bottom style="hair"/>
    </border>
  </borders>
  <cellStyleXfs count="4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lignment/>
      <protection/>
    </xf>
    <xf numFmtId="0" fontId="9" fillId="0" borderId="1">
      <alignment/>
      <protection/>
    </xf>
    <xf numFmtId="0" fontId="23" fillId="0" borderId="0" applyNumberFormat="0" applyFill="0" applyBorder="0" applyAlignment="0" applyProtection="0"/>
    <xf numFmtId="0" fontId="1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0" fillId="2" borderId="1">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9" fontId="0" fillId="0" borderId="0" applyFont="0" applyFill="0" applyBorder="0" applyAlignment="0" applyProtection="0"/>
    <xf numFmtId="0" fontId="9" fillId="0" borderId="0">
      <alignment/>
      <protection/>
    </xf>
    <xf numFmtId="0" fontId="6" fillId="0" borderId="0">
      <alignment/>
      <protection/>
    </xf>
    <xf numFmtId="0" fontId="0" fillId="0" borderId="0" applyFill="0" applyBorder="0">
      <alignment/>
      <protection/>
    </xf>
    <xf numFmtId="0" fontId="4" fillId="0" borderId="2" applyFill="0" applyBorder="0">
      <alignment/>
      <protection/>
    </xf>
    <xf numFmtId="166" fontId="4" fillId="0" borderId="2" applyFill="0" applyBorder="0">
      <alignment/>
      <protection/>
    </xf>
    <xf numFmtId="0" fontId="4" fillId="0" borderId="2" applyFill="0" applyBorder="0">
      <alignment/>
      <protection/>
    </xf>
    <xf numFmtId="0" fontId="5" fillId="3" borderId="3">
      <alignment/>
      <protection/>
    </xf>
    <xf numFmtId="167" fontId="0" fillId="3" borderId="3">
      <alignment/>
      <protection/>
    </xf>
    <xf numFmtId="182" fontId="5" fillId="3" borderId="3">
      <alignment/>
      <protection/>
    </xf>
    <xf numFmtId="182" fontId="4" fillId="0" borderId="2" applyFill="0" applyBorder="0">
      <alignment/>
      <protection/>
    </xf>
    <xf numFmtId="0" fontId="9" fillId="0" borderId="1">
      <alignment/>
      <protection/>
    </xf>
    <xf numFmtId="0" fontId="11" fillId="4" borderId="0">
      <alignment/>
      <protection/>
    </xf>
    <xf numFmtId="0" fontId="10" fillId="0" borderId="4">
      <alignment/>
      <protection/>
    </xf>
    <xf numFmtId="0" fontId="10" fillId="0" borderId="1">
      <alignment/>
      <protection/>
    </xf>
    <xf numFmtId="165" fontId="0" fillId="0" borderId="0" applyFont="0" applyFill="0" applyBorder="0" applyAlignment="0" applyProtection="0"/>
    <xf numFmtId="164" fontId="0" fillId="0" borderId="0" applyFont="0" applyFill="0" applyBorder="0" applyAlignment="0" applyProtection="0"/>
  </cellStyleXfs>
  <cellXfs count="1537">
    <xf numFmtId="0" fontId="0" fillId="0" borderId="0" xfId="0" applyAlignment="1">
      <alignment/>
    </xf>
    <xf numFmtId="0" fontId="2" fillId="0" borderId="0" xfId="0" applyFont="1" applyBorder="1" applyAlignment="1" applyProtection="1">
      <alignment vertical="top" wrapText="1"/>
      <protection hidden="1" locked="0"/>
    </xf>
    <xf numFmtId="171" fontId="7" fillId="0" borderId="5" xfId="34" applyNumberFormat="1" applyFont="1" applyFill="1" applyBorder="1" applyAlignment="1" applyProtection="1">
      <alignment/>
      <protection hidden="1"/>
    </xf>
    <xf numFmtId="171" fontId="7" fillId="0" borderId="0" xfId="34" applyNumberFormat="1" applyFont="1" applyFill="1" applyBorder="1" applyAlignment="1" applyProtection="1">
      <alignment/>
      <protection hidden="1"/>
    </xf>
    <xf numFmtId="172" fontId="4" fillId="0" borderId="6" xfId="0" applyNumberFormat="1" applyFont="1" applyFill="1" applyBorder="1" applyAlignment="1" applyProtection="1">
      <alignment/>
      <protection hidden="1"/>
    </xf>
    <xf numFmtId="0" fontId="4" fillId="0" borderId="0" xfId="0" applyFont="1" applyFill="1" applyAlignment="1" applyProtection="1">
      <alignment/>
      <protection hidden="1"/>
    </xf>
    <xf numFmtId="0" fontId="4" fillId="0" borderId="0" xfId="0" applyFont="1" applyFill="1" applyBorder="1" applyAlignment="1" applyProtection="1">
      <alignment/>
      <protection hidden="1"/>
    </xf>
    <xf numFmtId="0" fontId="4" fillId="0" borderId="0" xfId="0" applyFont="1" applyFill="1" applyAlignment="1" applyProtection="1">
      <alignment/>
      <protection hidden="1"/>
    </xf>
    <xf numFmtId="0" fontId="13" fillId="0" borderId="0" xfId="0" applyFont="1" applyFill="1" applyAlignment="1" applyProtection="1">
      <alignment/>
      <protection hidden="1"/>
    </xf>
    <xf numFmtId="0" fontId="7" fillId="0" borderId="0" xfId="0" applyFont="1" applyFill="1" applyBorder="1" applyAlignment="1" applyProtection="1">
      <alignment/>
      <protection hidden="1"/>
    </xf>
    <xf numFmtId="0" fontId="0" fillId="0" borderId="0" xfId="0" applyAlignment="1" applyProtection="1">
      <alignment/>
      <protection hidden="1"/>
    </xf>
    <xf numFmtId="0" fontId="5" fillId="0" borderId="0" xfId="0" applyFont="1" applyFill="1" applyBorder="1" applyAlignment="1" applyProtection="1">
      <alignment horizontal="left"/>
      <protection hidden="1"/>
    </xf>
    <xf numFmtId="0" fontId="1" fillId="0" borderId="0" xfId="0" applyFont="1" applyAlignment="1" applyProtection="1">
      <alignment/>
      <protection hidden="1"/>
    </xf>
    <xf numFmtId="0" fontId="0" fillId="0" borderId="0" xfId="0" applyBorder="1" applyAlignment="1" applyProtection="1">
      <alignment/>
      <protection hidden="1"/>
    </xf>
    <xf numFmtId="0" fontId="0" fillId="0" borderId="0" xfId="0" applyAlignment="1" applyProtection="1">
      <alignment/>
      <protection hidden="1"/>
    </xf>
    <xf numFmtId="0" fontId="4" fillId="0" borderId="0" xfId="0" applyFont="1" applyFill="1" applyAlignment="1" applyProtection="1">
      <alignment horizontal="right"/>
      <protection hidden="1"/>
    </xf>
    <xf numFmtId="0" fontId="0" fillId="0" borderId="0" xfId="0" applyFill="1" applyBorder="1" applyAlignment="1" applyProtection="1">
      <alignment/>
      <protection hidden="1"/>
    </xf>
    <xf numFmtId="0" fontId="13" fillId="0" borderId="0" xfId="0" applyFont="1" applyFill="1" applyBorder="1" applyAlignment="1" applyProtection="1">
      <alignment/>
      <protection hidden="1"/>
    </xf>
    <xf numFmtId="0" fontId="2" fillId="0" borderId="0" xfId="0" applyFont="1" applyAlignment="1" applyProtection="1">
      <alignment/>
      <protection hidden="1"/>
    </xf>
    <xf numFmtId="0" fontId="16" fillId="0" borderId="0" xfId="0" applyFont="1" applyAlignment="1" applyProtection="1">
      <alignment/>
      <protection hidden="1"/>
    </xf>
    <xf numFmtId="0" fontId="16" fillId="0" borderId="0" xfId="0" applyFont="1" applyFill="1" applyBorder="1" applyAlignment="1" applyProtection="1">
      <alignment/>
      <protection hidden="1"/>
    </xf>
    <xf numFmtId="0" fontId="2" fillId="0" borderId="0" xfId="0" applyFont="1" applyBorder="1" applyAlignment="1" applyProtection="1">
      <alignment/>
      <protection hidden="1"/>
    </xf>
    <xf numFmtId="0" fontId="5" fillId="0" borderId="0" xfId="0" applyFont="1" applyFill="1" applyAlignment="1" applyProtection="1">
      <alignment horizontal="left"/>
      <protection hidden="1"/>
    </xf>
    <xf numFmtId="0" fontId="5" fillId="0" borderId="0" xfId="0" applyFont="1" applyFill="1" applyAlignment="1" applyProtection="1">
      <alignment/>
      <protection hidden="1"/>
    </xf>
    <xf numFmtId="0" fontId="5" fillId="0" borderId="0" xfId="0" applyFont="1" applyFill="1" applyBorder="1" applyAlignment="1" applyProtection="1">
      <alignment/>
      <protection hidden="1"/>
    </xf>
    <xf numFmtId="0" fontId="5" fillId="0" borderId="0" xfId="0" applyFont="1" applyFill="1" applyBorder="1" applyAlignment="1" applyProtection="1">
      <alignment horizontal="center"/>
      <protection hidden="1"/>
    </xf>
    <xf numFmtId="0" fontId="5" fillId="3" borderId="7" xfId="0" applyFont="1" applyFill="1" applyBorder="1" applyAlignment="1" applyProtection="1">
      <alignment horizontal="center"/>
      <protection hidden="1"/>
    </xf>
    <xf numFmtId="0" fontId="5" fillId="0" borderId="0" xfId="0" applyFont="1" applyFill="1" applyAlignment="1" applyProtection="1">
      <alignment horizontal="center"/>
      <protection hidden="1"/>
    </xf>
    <xf numFmtId="0" fontId="5" fillId="0" borderId="0" xfId="0" applyFont="1" applyFill="1" applyAlignment="1" applyProtection="1">
      <alignment horizontal="left" wrapText="1"/>
      <protection hidden="1"/>
    </xf>
    <xf numFmtId="0" fontId="5" fillId="0" borderId="0" xfId="0" applyFont="1" applyFill="1" applyAlignment="1" applyProtection="1">
      <alignment horizontal="center" wrapText="1"/>
      <protection hidden="1"/>
    </xf>
    <xf numFmtId="0" fontId="5" fillId="0" borderId="0" xfId="0" applyFont="1" applyFill="1" applyBorder="1" applyAlignment="1" applyProtection="1">
      <alignment horizontal="center" wrapText="1"/>
      <protection hidden="1"/>
    </xf>
    <xf numFmtId="0" fontId="5" fillId="3" borderId="8" xfId="0" applyFont="1" applyFill="1" applyBorder="1" applyAlignment="1" applyProtection="1">
      <alignment horizontal="center" wrapText="1"/>
      <protection hidden="1"/>
    </xf>
    <xf numFmtId="0" fontId="5" fillId="3" borderId="8" xfId="0" applyFont="1" applyFill="1" applyBorder="1" applyAlignment="1" applyProtection="1">
      <alignment horizontal="center"/>
      <protection hidden="1"/>
    </xf>
    <xf numFmtId="0" fontId="5" fillId="3" borderId="6" xfId="0" applyFont="1" applyFill="1" applyBorder="1" applyAlignment="1" applyProtection="1">
      <alignment horizontal="center" wrapText="1"/>
      <protection hidden="1"/>
    </xf>
    <xf numFmtId="0" fontId="5" fillId="0" borderId="0" xfId="0" applyFont="1" applyFill="1" applyAlignment="1" applyProtection="1">
      <alignment/>
      <protection hidden="1"/>
    </xf>
    <xf numFmtId="171" fontId="5" fillId="0" borderId="0" xfId="0" applyNumberFormat="1" applyFont="1" applyFill="1" applyBorder="1" applyAlignment="1" applyProtection="1">
      <alignment/>
      <protection hidden="1"/>
    </xf>
    <xf numFmtId="0" fontId="5" fillId="3" borderId="6" xfId="0" applyFont="1" applyFill="1" applyBorder="1" applyAlignment="1" applyProtection="1">
      <alignment horizontal="left"/>
      <protection hidden="1"/>
    </xf>
    <xf numFmtId="0" fontId="4" fillId="0" borderId="9" xfId="0" applyFont="1" applyFill="1" applyBorder="1" applyAlignment="1" applyProtection="1">
      <alignment/>
      <protection hidden="1"/>
    </xf>
    <xf numFmtId="0" fontId="4" fillId="0" borderId="10" xfId="0" applyFont="1" applyFill="1" applyBorder="1" applyAlignment="1" applyProtection="1">
      <alignment/>
      <protection hidden="1"/>
    </xf>
    <xf numFmtId="0" fontId="5" fillId="3" borderId="7" xfId="0" applyFont="1" applyFill="1" applyBorder="1" applyAlignment="1" applyProtection="1">
      <alignment horizontal="left"/>
      <protection hidden="1"/>
    </xf>
    <xf numFmtId="0" fontId="4" fillId="0" borderId="11" xfId="0" applyFont="1" applyFill="1" applyBorder="1" applyAlignment="1" applyProtection="1">
      <alignment/>
      <protection hidden="1"/>
    </xf>
    <xf numFmtId="0" fontId="4" fillId="0" borderId="12" xfId="0" applyFont="1" applyFill="1" applyBorder="1" applyAlignment="1" applyProtection="1">
      <alignment/>
      <protection hidden="1"/>
    </xf>
    <xf numFmtId="0" fontId="5" fillId="3" borderId="9" xfId="0" applyFont="1" applyFill="1" applyBorder="1" applyAlignment="1" applyProtection="1">
      <alignment/>
      <protection hidden="1"/>
    </xf>
    <xf numFmtId="171" fontId="5" fillId="3" borderId="6" xfId="0" applyNumberFormat="1" applyFont="1" applyFill="1" applyBorder="1" applyAlignment="1" applyProtection="1">
      <alignment/>
      <protection hidden="1"/>
    </xf>
    <xf numFmtId="0" fontId="5" fillId="3" borderId="13" xfId="0" applyFont="1" applyFill="1" applyBorder="1" applyAlignment="1" applyProtection="1">
      <alignment/>
      <protection hidden="1"/>
    </xf>
    <xf numFmtId="0" fontId="5" fillId="3" borderId="10" xfId="0" applyFont="1" applyFill="1" applyBorder="1" applyAlignment="1" applyProtection="1">
      <alignment/>
      <protection hidden="1"/>
    </xf>
    <xf numFmtId="0" fontId="4" fillId="0" borderId="13" xfId="0" applyFont="1" applyFill="1" applyBorder="1" applyAlignment="1" applyProtection="1">
      <alignment/>
      <protection hidden="1"/>
    </xf>
    <xf numFmtId="0" fontId="4" fillId="0" borderId="10" xfId="0" applyFont="1" applyFill="1" applyBorder="1" applyAlignment="1" applyProtection="1">
      <alignment/>
      <protection hidden="1"/>
    </xf>
    <xf numFmtId="0" fontId="5" fillId="0" borderId="9" xfId="0" applyFont="1" applyFill="1" applyBorder="1" applyAlignment="1" applyProtection="1">
      <alignment horizontal="center" wrapText="1"/>
      <protection hidden="1"/>
    </xf>
    <xf numFmtId="0" fontId="5" fillId="0" borderId="10" xfId="0" applyFont="1" applyFill="1" applyBorder="1" applyAlignment="1" applyProtection="1">
      <alignment horizontal="center" wrapText="1"/>
      <protection hidden="1"/>
    </xf>
    <xf numFmtId="0" fontId="4" fillId="3" borderId="9" xfId="0" applyFont="1" applyFill="1" applyBorder="1" applyAlignment="1" applyProtection="1">
      <alignment/>
      <protection hidden="1"/>
    </xf>
    <xf numFmtId="0" fontId="4" fillId="3" borderId="10" xfId="0" applyFont="1" applyFill="1" applyBorder="1" applyAlignment="1" applyProtection="1">
      <alignment/>
      <protection hidden="1"/>
    </xf>
    <xf numFmtId="0" fontId="5" fillId="0" borderId="9" xfId="0" applyFont="1" applyFill="1" applyBorder="1" applyAlignment="1" applyProtection="1">
      <alignment/>
      <protection hidden="1"/>
    </xf>
    <xf numFmtId="0" fontId="13" fillId="0" borderId="0" xfId="0" applyFont="1" applyFill="1" applyAlignment="1" applyProtection="1">
      <alignment/>
      <protection hidden="1" locked="0"/>
    </xf>
    <xf numFmtId="0" fontId="5" fillId="0" borderId="0" xfId="0" applyFont="1" applyFill="1" applyBorder="1" applyAlignment="1" applyProtection="1">
      <alignment/>
      <protection/>
    </xf>
    <xf numFmtId="0" fontId="4" fillId="0" borderId="0" xfId="0" applyFont="1" applyFill="1" applyBorder="1" applyAlignment="1" applyProtection="1">
      <alignment/>
      <protection/>
    </xf>
    <xf numFmtId="0" fontId="4" fillId="0" borderId="0" xfId="0" applyFont="1" applyFill="1" applyBorder="1" applyAlignment="1" applyProtection="1">
      <alignment/>
      <protection/>
    </xf>
    <xf numFmtId="0" fontId="4" fillId="0" borderId="9" xfId="0" applyFont="1" applyFill="1" applyBorder="1" applyAlignment="1" applyProtection="1">
      <alignment/>
      <protection/>
    </xf>
    <xf numFmtId="0" fontId="5" fillId="0" borderId="0" xfId="0" applyFont="1" applyFill="1" applyAlignment="1" applyProtection="1">
      <alignment/>
      <protection/>
    </xf>
    <xf numFmtId="0" fontId="4" fillId="0" borderId="0" xfId="0" applyFont="1" applyFill="1" applyAlignment="1" applyProtection="1">
      <alignment/>
      <protection/>
    </xf>
    <xf numFmtId="171" fontId="4" fillId="0" borderId="6" xfId="0" applyNumberFormat="1" applyFont="1" applyBorder="1" applyAlignment="1" applyProtection="1">
      <alignment/>
      <protection locked="0"/>
    </xf>
    <xf numFmtId="171" fontId="4" fillId="0" borderId="7" xfId="34" applyNumberFormat="1" applyFont="1" applyFill="1" applyBorder="1" applyAlignment="1" applyProtection="1">
      <alignment/>
      <protection locked="0"/>
    </xf>
    <xf numFmtId="0" fontId="4" fillId="0" borderId="14" xfId="0" applyFont="1" applyFill="1" applyBorder="1" applyAlignment="1" applyProtection="1">
      <alignment/>
      <protection/>
    </xf>
    <xf numFmtId="171" fontId="5" fillId="3" borderId="6" xfId="0" applyNumberFormat="1" applyFont="1" applyFill="1" applyBorder="1" applyAlignment="1" applyProtection="1">
      <alignment/>
      <protection/>
    </xf>
    <xf numFmtId="171" fontId="5" fillId="3" borderId="10" xfId="0" applyNumberFormat="1" applyFont="1" applyFill="1" applyBorder="1" applyAlignment="1" applyProtection="1">
      <alignment/>
      <protection/>
    </xf>
    <xf numFmtId="0" fontId="5" fillId="0" borderId="0" xfId="0" applyFont="1" applyFill="1" applyAlignment="1" applyProtection="1">
      <alignment/>
      <protection/>
    </xf>
    <xf numFmtId="0" fontId="0" fillId="0" borderId="0" xfId="0" applyAlignment="1" applyProtection="1">
      <alignment/>
      <protection/>
    </xf>
    <xf numFmtId="171" fontId="7" fillId="0" borderId="0" xfId="34" applyNumberFormat="1" applyFont="1" applyFill="1" applyBorder="1" applyAlignment="1" applyProtection="1">
      <alignment/>
      <protection/>
    </xf>
    <xf numFmtId="0" fontId="0" fillId="0" borderId="0" xfId="0" applyBorder="1" applyAlignment="1" applyProtection="1">
      <alignment horizontal="center"/>
      <protection/>
    </xf>
    <xf numFmtId="0" fontId="12" fillId="0" borderId="0" xfId="0" applyFont="1" applyFill="1" applyBorder="1" applyAlignment="1" applyProtection="1">
      <alignment/>
      <protection/>
    </xf>
    <xf numFmtId="0" fontId="0" fillId="0" borderId="0" xfId="0" applyBorder="1" applyAlignment="1" applyProtection="1">
      <alignment/>
      <protection/>
    </xf>
    <xf numFmtId="171" fontId="4" fillId="0" borderId="0" xfId="0" applyNumberFormat="1" applyFont="1" applyFill="1" applyBorder="1" applyAlignment="1" applyProtection="1">
      <alignment/>
      <protection/>
    </xf>
    <xf numFmtId="171" fontId="5" fillId="0" borderId="0" xfId="0" applyNumberFormat="1" applyFont="1" applyFill="1" applyBorder="1" applyAlignment="1" applyProtection="1">
      <alignment/>
      <protection/>
    </xf>
    <xf numFmtId="0" fontId="1" fillId="3" borderId="15" xfId="0" applyFont="1" applyFill="1" applyBorder="1" applyAlignment="1" applyProtection="1">
      <alignment vertical="center"/>
      <protection hidden="1"/>
    </xf>
    <xf numFmtId="0" fontId="1" fillId="3" borderId="16" xfId="0" applyFont="1" applyFill="1" applyBorder="1" applyAlignment="1" applyProtection="1">
      <alignment vertical="center"/>
      <protection hidden="1"/>
    </xf>
    <xf numFmtId="0" fontId="4" fillId="0" borderId="0" xfId="0" applyFont="1" applyFill="1" applyBorder="1" applyAlignment="1" applyProtection="1">
      <alignment vertical="center"/>
      <protection hidden="1"/>
    </xf>
    <xf numFmtId="0" fontId="17" fillId="0" borderId="0" xfId="0" applyFont="1" applyFill="1" applyBorder="1" applyAlignment="1" applyProtection="1">
      <alignment vertical="center"/>
      <protection hidden="1"/>
    </xf>
    <xf numFmtId="0" fontId="8" fillId="0" borderId="0" xfId="0" applyFont="1" applyFill="1" applyAlignment="1" applyProtection="1">
      <alignment horizontal="left" vertical="center"/>
      <protection hidden="1"/>
    </xf>
    <xf numFmtId="0" fontId="5" fillId="0" borderId="0" xfId="0" applyFont="1" applyFill="1" applyBorder="1" applyAlignment="1" applyProtection="1">
      <alignment/>
      <protection/>
    </xf>
    <xf numFmtId="173" fontId="4" fillId="0" borderId="0" xfId="0" applyNumberFormat="1" applyFont="1" applyFill="1" applyBorder="1" applyAlignment="1" applyProtection="1">
      <alignment/>
      <protection/>
    </xf>
    <xf numFmtId="0" fontId="0" fillId="0" borderId="0" xfId="0" applyBorder="1" applyAlignment="1" applyProtection="1">
      <alignment/>
      <protection hidden="1"/>
    </xf>
    <xf numFmtId="1" fontId="4" fillId="0" borderId="0" xfId="0" applyNumberFormat="1" applyFont="1" applyAlignment="1" applyProtection="1">
      <alignment horizontal="center"/>
      <protection hidden="1"/>
    </xf>
    <xf numFmtId="1" fontId="13" fillId="0" borderId="0" xfId="0" applyNumberFormat="1" applyFont="1" applyFill="1" applyAlignment="1" applyProtection="1">
      <alignment horizontal="center"/>
      <protection hidden="1"/>
    </xf>
    <xf numFmtId="0" fontId="4" fillId="0" borderId="13" xfId="0" applyFont="1" applyFill="1" applyBorder="1" applyAlignment="1" applyProtection="1">
      <alignment horizontal="center"/>
      <protection hidden="1"/>
    </xf>
    <xf numFmtId="0" fontId="4" fillId="0" borderId="17" xfId="0" applyFont="1" applyFill="1" applyBorder="1" applyAlignment="1" applyProtection="1">
      <alignment/>
      <protection/>
    </xf>
    <xf numFmtId="0" fontId="5" fillId="0" borderId="0" xfId="0" applyFont="1" applyAlignment="1" applyProtection="1">
      <alignment/>
      <protection/>
    </xf>
    <xf numFmtId="0" fontId="0" fillId="0" borderId="0" xfId="0" applyFill="1" applyBorder="1" applyAlignment="1">
      <alignment/>
    </xf>
    <xf numFmtId="0" fontId="7" fillId="0" borderId="0" xfId="0" applyFont="1" applyFill="1" applyAlignment="1" applyProtection="1">
      <alignment horizontal="left"/>
      <protection hidden="1"/>
    </xf>
    <xf numFmtId="0" fontId="4" fillId="0" borderId="0" xfId="0" applyFont="1" applyBorder="1" applyAlignment="1" applyProtection="1">
      <alignment/>
      <protection/>
    </xf>
    <xf numFmtId="37" fontId="4" fillId="0" borderId="13" xfId="0" applyNumberFormat="1" applyFont="1" applyFill="1" applyBorder="1" applyAlignment="1" applyProtection="1">
      <alignment/>
      <protection locked="0"/>
    </xf>
    <xf numFmtId="171" fontId="4" fillId="0" borderId="0" xfId="0" applyNumberFormat="1" applyFont="1" applyFill="1" applyBorder="1" applyAlignment="1" applyProtection="1">
      <alignment/>
      <protection/>
    </xf>
    <xf numFmtId="0" fontId="4" fillId="0" borderId="10" xfId="0" applyFont="1" applyFill="1" applyBorder="1" applyAlignment="1" applyProtection="1">
      <alignment/>
      <protection/>
    </xf>
    <xf numFmtId="0" fontId="4" fillId="3" borderId="9" xfId="0" applyFont="1" applyFill="1" applyBorder="1" applyAlignment="1" applyProtection="1">
      <alignment/>
      <protection/>
    </xf>
    <xf numFmtId="37" fontId="4" fillId="0" borderId="9" xfId="0" applyNumberFormat="1" applyFont="1" applyFill="1" applyBorder="1" applyAlignment="1" applyProtection="1">
      <alignment/>
      <protection hidden="1"/>
    </xf>
    <xf numFmtId="0" fontId="4" fillId="0" borderId="9" xfId="0" applyFont="1" applyFill="1" applyBorder="1" applyAlignment="1" applyProtection="1">
      <alignment horizontal="center"/>
      <protection/>
    </xf>
    <xf numFmtId="0" fontId="0" fillId="0" borderId="9" xfId="0" applyBorder="1" applyAlignment="1" applyProtection="1">
      <alignment/>
      <protection/>
    </xf>
    <xf numFmtId="0" fontId="0" fillId="3" borderId="9" xfId="0" applyFill="1" applyBorder="1" applyAlignment="1" applyProtection="1">
      <alignment/>
      <protection/>
    </xf>
    <xf numFmtId="0" fontId="4" fillId="3" borderId="10" xfId="0" applyFont="1" applyFill="1" applyBorder="1" applyAlignment="1" applyProtection="1">
      <alignment/>
      <protection/>
    </xf>
    <xf numFmtId="0" fontId="4" fillId="3" borderId="10" xfId="34" applyFill="1" applyBorder="1" applyAlignment="1" applyProtection="1">
      <alignment/>
      <protection hidden="1"/>
    </xf>
    <xf numFmtId="0" fontId="4" fillId="0" borderId="0" xfId="0" applyFont="1" applyAlignment="1">
      <alignment/>
    </xf>
    <xf numFmtId="171" fontId="4" fillId="0" borderId="6" xfId="34" applyNumberFormat="1" applyFill="1" applyBorder="1" applyProtection="1">
      <alignment/>
      <protection/>
    </xf>
    <xf numFmtId="171" fontId="0" fillId="0" borderId="0" xfId="0" applyNumberFormat="1" applyAlignment="1" applyProtection="1">
      <alignment/>
      <protection/>
    </xf>
    <xf numFmtId="171" fontId="5" fillId="3" borderId="6" xfId="34" applyNumberFormat="1" applyFont="1" applyFill="1" applyBorder="1" applyAlignment="1" applyProtection="1">
      <alignment/>
      <protection/>
    </xf>
    <xf numFmtId="177" fontId="4" fillId="0" borderId="6" xfId="0" applyNumberFormat="1" applyFont="1" applyFill="1" applyBorder="1" applyAlignment="1" applyProtection="1">
      <alignment/>
      <protection hidden="1"/>
    </xf>
    <xf numFmtId="177" fontId="4" fillId="0" borderId="6" xfId="0" applyNumberFormat="1" applyFont="1" applyBorder="1" applyAlignment="1" applyProtection="1">
      <alignment/>
      <protection hidden="1"/>
    </xf>
    <xf numFmtId="0" fontId="1" fillId="3" borderId="15" xfId="0" applyFont="1" applyFill="1" applyBorder="1" applyAlignment="1" applyProtection="1">
      <alignment vertical="center"/>
      <protection hidden="1" locked="0"/>
    </xf>
    <xf numFmtId="0" fontId="4" fillId="0" borderId="10" xfId="0" applyFont="1" applyFill="1" applyBorder="1" applyAlignment="1" applyProtection="1">
      <alignment horizontal="center"/>
      <protection/>
    </xf>
    <xf numFmtId="37" fontId="4" fillId="0" borderId="13" xfId="0" applyNumberFormat="1" applyFont="1" applyFill="1" applyBorder="1" applyAlignment="1" applyProtection="1">
      <alignment/>
      <protection hidden="1"/>
    </xf>
    <xf numFmtId="171" fontId="4" fillId="0" borderId="10" xfId="0" applyNumberFormat="1" applyFont="1" applyFill="1" applyBorder="1" applyAlignment="1" applyProtection="1">
      <alignment/>
      <protection locked="0"/>
    </xf>
    <xf numFmtId="177" fontId="4" fillId="3" borderId="9" xfId="0" applyNumberFormat="1" applyFont="1" applyFill="1" applyBorder="1" applyAlignment="1" applyProtection="1">
      <alignment/>
      <protection hidden="1"/>
    </xf>
    <xf numFmtId="0" fontId="5" fillId="3" borderId="9" xfId="0" applyFont="1" applyFill="1" applyBorder="1" applyAlignment="1" applyProtection="1">
      <alignment horizontal="center"/>
      <protection hidden="1"/>
    </xf>
    <xf numFmtId="0" fontId="4" fillId="0" borderId="10" xfId="0" applyFont="1" applyFill="1" applyBorder="1" applyAlignment="1" applyProtection="1">
      <alignment horizontal="center"/>
      <protection hidden="1"/>
    </xf>
    <xf numFmtId="0" fontId="5" fillId="3" borderId="10" xfId="0" applyFont="1" applyFill="1" applyBorder="1" applyAlignment="1" applyProtection="1">
      <alignment horizontal="center"/>
      <protection hidden="1"/>
    </xf>
    <xf numFmtId="0" fontId="4" fillId="0" borderId="10" xfId="0" applyFont="1" applyFill="1" applyBorder="1" applyAlignment="1" applyProtection="1">
      <alignment horizontal="right"/>
      <protection hidden="1"/>
    </xf>
    <xf numFmtId="171" fontId="5" fillId="0" borderId="11" xfId="0" applyNumberFormat="1" applyFont="1" applyFill="1" applyBorder="1" applyAlignment="1" applyProtection="1">
      <alignment/>
      <protection/>
    </xf>
    <xf numFmtId="171" fontId="5" fillId="0" borderId="11" xfId="0" applyNumberFormat="1" applyFont="1" applyFill="1" applyBorder="1" applyAlignment="1" applyProtection="1">
      <alignment/>
      <protection/>
    </xf>
    <xf numFmtId="0" fontId="0" fillId="0" borderId="11" xfId="0" applyFill="1" applyBorder="1" applyAlignment="1">
      <alignment/>
    </xf>
    <xf numFmtId="171" fontId="5" fillId="0" borderId="11" xfId="0" applyNumberFormat="1" applyFont="1" applyFill="1" applyBorder="1" applyAlignment="1" applyProtection="1">
      <alignment/>
      <protection hidden="1"/>
    </xf>
    <xf numFmtId="0" fontId="0" fillId="0" borderId="11" xfId="0" applyFill="1" applyBorder="1" applyAlignment="1" applyProtection="1">
      <alignment/>
      <protection/>
    </xf>
    <xf numFmtId="0" fontId="5" fillId="0" borderId="10" xfId="0" applyFont="1" applyFill="1" applyBorder="1" applyAlignment="1" applyProtection="1">
      <alignment/>
      <protection hidden="1"/>
    </xf>
    <xf numFmtId="0" fontId="5" fillId="0" borderId="5" xfId="0" applyFont="1" applyFill="1" applyBorder="1" applyAlignment="1" applyProtection="1">
      <alignment horizontal="center"/>
      <protection hidden="1"/>
    </xf>
    <xf numFmtId="0" fontId="5" fillId="0" borderId="5" xfId="0" applyFont="1" applyFill="1" applyBorder="1" applyAlignment="1" applyProtection="1">
      <alignment horizontal="center" wrapText="1"/>
      <protection hidden="1"/>
    </xf>
    <xf numFmtId="171" fontId="5" fillId="0" borderId="0" xfId="0" applyNumberFormat="1" applyFont="1" applyFill="1" applyBorder="1" applyAlignment="1" applyProtection="1">
      <alignment/>
      <protection/>
    </xf>
    <xf numFmtId="171" fontId="5" fillId="3" borderId="13" xfId="0" applyNumberFormat="1" applyFont="1" applyFill="1" applyBorder="1" applyAlignment="1" applyProtection="1">
      <alignment/>
      <protection/>
    </xf>
    <xf numFmtId="0" fontId="5" fillId="0" borderId="0" xfId="0" applyFont="1" applyFill="1" applyBorder="1" applyAlignment="1" applyProtection="1">
      <alignment/>
      <protection hidden="1"/>
    </xf>
    <xf numFmtId="0" fontId="0" fillId="0" borderId="0" xfId="0" applyFill="1" applyAlignment="1">
      <alignment/>
    </xf>
    <xf numFmtId="0" fontId="0" fillId="0" borderId="10" xfId="0" applyBorder="1" applyAlignment="1">
      <alignment/>
    </xf>
    <xf numFmtId="0" fontId="4" fillId="0" borderId="13" xfId="0" applyFont="1" applyFill="1" applyBorder="1" applyAlignment="1" applyProtection="1">
      <alignment/>
      <protection hidden="1"/>
    </xf>
    <xf numFmtId="0" fontId="0" fillId="0" borderId="9" xfId="0" applyBorder="1" applyAlignment="1">
      <alignment/>
    </xf>
    <xf numFmtId="0" fontId="5" fillId="3" borderId="13" xfId="0" applyFont="1" applyFill="1" applyBorder="1" applyAlignment="1" applyProtection="1">
      <alignment/>
      <protection hidden="1"/>
    </xf>
    <xf numFmtId="171" fontId="4" fillId="0" borderId="6" xfId="34" applyNumberFormat="1" applyFont="1" applyFill="1" applyBorder="1" applyAlignment="1" applyProtection="1">
      <alignment/>
      <protection/>
    </xf>
    <xf numFmtId="171" fontId="4" fillId="0" borderId="6" xfId="34" applyNumberFormat="1" applyFont="1" applyFill="1" applyBorder="1" applyAlignment="1" applyProtection="1">
      <alignment/>
      <protection locked="0"/>
    </xf>
    <xf numFmtId="171" fontId="4" fillId="0" borderId="7" xfId="34" applyNumberFormat="1" applyFont="1" applyFill="1" applyBorder="1" applyAlignment="1" applyProtection="1">
      <alignment/>
      <protection/>
    </xf>
    <xf numFmtId="0" fontId="0" fillId="0" borderId="0" xfId="0" applyBorder="1" applyAlignment="1">
      <alignment/>
    </xf>
    <xf numFmtId="0" fontId="12" fillId="0" borderId="0" xfId="0" applyFont="1" applyFill="1" applyBorder="1" applyAlignment="1" applyProtection="1">
      <alignment/>
      <protection/>
    </xf>
    <xf numFmtId="0" fontId="0" fillId="0" borderId="0" xfId="0" applyBorder="1" applyAlignment="1">
      <alignment/>
    </xf>
    <xf numFmtId="0" fontId="4" fillId="5" borderId="0" xfId="0" applyFont="1" applyFill="1" applyAlignment="1" applyProtection="1">
      <alignment/>
      <protection hidden="1"/>
    </xf>
    <xf numFmtId="0" fontId="13" fillId="5" borderId="0" xfId="0" applyFont="1" applyFill="1" applyAlignment="1" applyProtection="1">
      <alignment/>
      <protection hidden="1"/>
    </xf>
    <xf numFmtId="0" fontId="4" fillId="5" borderId="0" xfId="0" applyFont="1" applyFill="1" applyBorder="1" applyAlignment="1" applyProtection="1">
      <alignment vertical="center"/>
      <protection hidden="1"/>
    </xf>
    <xf numFmtId="0" fontId="13" fillId="5" borderId="0" xfId="0" applyFont="1" applyFill="1" applyBorder="1" applyAlignment="1" applyProtection="1">
      <alignment/>
      <protection hidden="1"/>
    </xf>
    <xf numFmtId="0" fontId="0" fillId="5" borderId="0" xfId="0" applyFill="1" applyBorder="1" applyAlignment="1" applyProtection="1">
      <alignment/>
      <protection hidden="1"/>
    </xf>
    <xf numFmtId="0" fontId="0" fillId="5" borderId="0" xfId="0" applyFill="1" applyBorder="1" applyAlignment="1">
      <alignment horizontal="center"/>
    </xf>
    <xf numFmtId="0" fontId="0" fillId="5" borderId="0" xfId="0" applyFill="1" applyBorder="1" applyAlignment="1">
      <alignment horizontal="center" wrapText="1"/>
    </xf>
    <xf numFmtId="173" fontId="4" fillId="5" borderId="0" xfId="0" applyNumberFormat="1" applyFont="1" applyFill="1" applyBorder="1" applyAlignment="1" applyProtection="1">
      <alignment/>
      <protection/>
    </xf>
    <xf numFmtId="0" fontId="4" fillId="5" borderId="0" xfId="0" applyFont="1" applyFill="1" applyBorder="1" applyAlignment="1" applyProtection="1">
      <alignment/>
      <protection/>
    </xf>
    <xf numFmtId="178" fontId="4" fillId="5" borderId="0" xfId="0" applyNumberFormat="1" applyFont="1" applyFill="1" applyBorder="1" applyAlignment="1" applyProtection="1">
      <alignment/>
      <protection/>
    </xf>
    <xf numFmtId="171" fontId="4" fillId="5" borderId="0" xfId="0" applyNumberFormat="1" applyFont="1" applyFill="1" applyBorder="1" applyAlignment="1" applyProtection="1">
      <alignment/>
      <protection/>
    </xf>
    <xf numFmtId="0" fontId="0" fillId="5" borderId="0" xfId="0" applyFill="1" applyBorder="1" applyAlignment="1">
      <alignment/>
    </xf>
    <xf numFmtId="0" fontId="5" fillId="5" borderId="0" xfId="0" applyFont="1" applyFill="1" applyBorder="1" applyAlignment="1" applyProtection="1">
      <alignment horizontal="center"/>
      <protection hidden="1"/>
    </xf>
    <xf numFmtId="0" fontId="5" fillId="5" borderId="0" xfId="0" applyFont="1" applyFill="1" applyBorder="1" applyAlignment="1" applyProtection="1">
      <alignment horizontal="center" wrapText="1"/>
      <protection hidden="1"/>
    </xf>
    <xf numFmtId="178" fontId="5" fillId="6" borderId="0" xfId="0" applyNumberFormat="1" applyFont="1" applyFill="1" applyBorder="1" applyAlignment="1" applyProtection="1">
      <alignment/>
      <protection/>
    </xf>
    <xf numFmtId="0" fontId="4" fillId="5" borderId="0" xfId="0" applyFont="1" applyFill="1" applyBorder="1" applyAlignment="1" applyProtection="1">
      <alignment/>
      <protection hidden="1"/>
    </xf>
    <xf numFmtId="0" fontId="0" fillId="5" borderId="0" xfId="0" applyFill="1" applyBorder="1" applyAlignment="1">
      <alignment/>
    </xf>
    <xf numFmtId="173" fontId="4" fillId="5" borderId="0" xfId="0" applyNumberFormat="1" applyFont="1" applyFill="1" applyBorder="1" applyAlignment="1" applyProtection="1">
      <alignment/>
      <protection locked="0"/>
    </xf>
    <xf numFmtId="171" fontId="4" fillId="5" borderId="0" xfId="0" applyNumberFormat="1" applyFont="1" applyFill="1" applyBorder="1" applyAlignment="1" applyProtection="1">
      <alignment/>
      <protection locked="0"/>
    </xf>
    <xf numFmtId="178" fontId="0" fillId="5" borderId="0" xfId="0" applyNumberFormat="1" applyFill="1" applyBorder="1" applyAlignment="1">
      <alignment/>
    </xf>
    <xf numFmtId="0" fontId="0" fillId="5" borderId="0" xfId="0" applyFont="1" applyFill="1" applyBorder="1" applyAlignment="1">
      <alignment/>
    </xf>
    <xf numFmtId="174" fontId="4" fillId="5" borderId="0" xfId="0" applyNumberFormat="1" applyFont="1" applyFill="1" applyBorder="1" applyAlignment="1" applyProtection="1">
      <alignment horizontal="right"/>
      <protection/>
    </xf>
    <xf numFmtId="171" fontId="0" fillId="5" borderId="0" xfId="0" applyNumberFormat="1" applyFill="1" applyBorder="1" applyAlignment="1">
      <alignment/>
    </xf>
    <xf numFmtId="0" fontId="0" fillId="5" borderId="0" xfId="0" applyNumberFormat="1" applyFill="1" applyBorder="1" applyAlignment="1">
      <alignment/>
    </xf>
    <xf numFmtId="171" fontId="1" fillId="5" borderId="0" xfId="0" applyNumberFormat="1" applyFont="1" applyFill="1" applyBorder="1" applyAlignment="1">
      <alignment/>
    </xf>
    <xf numFmtId="0" fontId="4" fillId="5" borderId="0" xfId="0" applyFont="1" applyFill="1" applyBorder="1" applyAlignment="1">
      <alignment horizontal="center"/>
    </xf>
    <xf numFmtId="178" fontId="4" fillId="5" borderId="0" xfId="34" applyNumberFormat="1" applyFill="1" applyBorder="1" applyAlignment="1" applyProtection="1">
      <alignment/>
      <protection/>
    </xf>
    <xf numFmtId="171" fontId="5" fillId="5" borderId="0" xfId="34" applyNumberFormat="1" applyFont="1" applyFill="1" applyBorder="1" applyAlignment="1" applyProtection="1">
      <alignment/>
      <protection/>
    </xf>
    <xf numFmtId="0" fontId="4" fillId="5" borderId="0" xfId="0" applyFont="1" applyFill="1" applyBorder="1" applyAlignment="1" applyProtection="1">
      <alignment/>
      <protection/>
    </xf>
    <xf numFmtId="0" fontId="5" fillId="3" borderId="6" xfId="0" applyFont="1" applyFill="1" applyBorder="1" applyAlignment="1" applyProtection="1">
      <alignment horizontal="left" shrinkToFit="1"/>
      <protection hidden="1"/>
    </xf>
    <xf numFmtId="0" fontId="4" fillId="0" borderId="0" xfId="0" applyFont="1" applyFill="1" applyAlignment="1" applyProtection="1">
      <alignment shrinkToFit="1"/>
      <protection/>
    </xf>
    <xf numFmtId="0" fontId="4" fillId="0" borderId="0" xfId="0" applyFont="1" applyFill="1" applyBorder="1" applyAlignment="1" applyProtection="1">
      <alignment/>
      <protection hidden="1"/>
    </xf>
    <xf numFmtId="171" fontId="4" fillId="0" borderId="10" xfId="0" applyNumberFormat="1" applyFont="1" applyBorder="1" applyAlignment="1" applyProtection="1">
      <alignment/>
      <protection/>
    </xf>
    <xf numFmtId="0" fontId="5" fillId="3" borderId="13" xfId="0" applyFont="1" applyFill="1" applyBorder="1" applyAlignment="1" applyProtection="1">
      <alignment horizontal="left"/>
      <protection hidden="1"/>
    </xf>
    <xf numFmtId="0" fontId="5" fillId="3" borderId="9" xfId="0" applyFont="1" applyFill="1" applyBorder="1" applyAlignment="1" applyProtection="1">
      <alignment horizontal="left"/>
      <protection hidden="1"/>
    </xf>
    <xf numFmtId="0" fontId="4" fillId="0" borderId="9" xfId="0" applyFont="1" applyFill="1" applyBorder="1" applyAlignment="1" applyProtection="1">
      <alignment/>
      <protection locked="0"/>
    </xf>
    <xf numFmtId="171" fontId="4" fillId="0" borderId="0" xfId="0" applyNumberFormat="1" applyFont="1" applyFill="1" applyAlignment="1" applyProtection="1">
      <alignment/>
      <protection hidden="1"/>
    </xf>
    <xf numFmtId="0" fontId="18" fillId="0" borderId="0" xfId="0" applyFont="1" applyBorder="1" applyAlignment="1" applyProtection="1">
      <alignment/>
      <protection/>
    </xf>
    <xf numFmtId="0" fontId="18" fillId="0" borderId="0" xfId="0" applyFont="1" applyAlignment="1" applyProtection="1">
      <alignment/>
      <protection/>
    </xf>
    <xf numFmtId="0" fontId="18" fillId="0" borderId="0" xfId="0" applyFont="1" applyAlignment="1" applyProtection="1">
      <alignment/>
      <protection/>
    </xf>
    <xf numFmtId="0" fontId="19" fillId="0" borderId="0" xfId="0" applyFont="1" applyAlignment="1" applyProtection="1">
      <alignment/>
      <protection/>
    </xf>
    <xf numFmtId="0" fontId="19" fillId="0" borderId="0" xfId="0" applyFont="1" applyAlignment="1" applyProtection="1">
      <alignment/>
      <protection/>
    </xf>
    <xf numFmtId="0" fontId="0" fillId="0" borderId="18" xfId="0" applyBorder="1" applyAlignment="1" applyProtection="1">
      <alignment/>
      <protection/>
    </xf>
    <xf numFmtId="0" fontId="0" fillId="0" borderId="0" xfId="0" applyAlignment="1" applyProtection="1">
      <alignment/>
      <protection/>
    </xf>
    <xf numFmtId="0" fontId="0" fillId="0" borderId="0" xfId="0" applyBorder="1" applyAlignment="1" applyProtection="1">
      <alignment/>
      <protection/>
    </xf>
    <xf numFmtId="0" fontId="5" fillId="0" borderId="19" xfId="0" applyFont="1" applyBorder="1" applyAlignment="1" applyProtection="1">
      <alignment/>
      <protection/>
    </xf>
    <xf numFmtId="0" fontId="4" fillId="0" borderId="0" xfId="0" applyFont="1" applyBorder="1" applyAlignment="1" applyProtection="1">
      <alignment/>
      <protection/>
    </xf>
    <xf numFmtId="0" fontId="5" fillId="0" borderId="0" xfId="0" applyFont="1" applyBorder="1" applyAlignment="1" applyProtection="1">
      <alignment horizontal="center" wrapText="1"/>
      <protection/>
    </xf>
    <xf numFmtId="0" fontId="21" fillId="0" borderId="0" xfId="0" applyFont="1" applyBorder="1" applyAlignment="1" applyProtection="1">
      <alignment vertical="center"/>
      <protection/>
    </xf>
    <xf numFmtId="0" fontId="0" fillId="0" borderId="0" xfId="0" applyAlignment="1" applyProtection="1">
      <alignment horizontal="justify" wrapText="1"/>
      <protection/>
    </xf>
    <xf numFmtId="0" fontId="0" fillId="0" borderId="20" xfId="0" applyBorder="1" applyAlignment="1" applyProtection="1">
      <alignment/>
      <protection/>
    </xf>
    <xf numFmtId="0" fontId="1" fillId="0" borderId="21" xfId="0" applyFont="1" applyBorder="1" applyAlignment="1" applyProtection="1">
      <alignment/>
      <protection/>
    </xf>
    <xf numFmtId="0" fontId="0" fillId="0" borderId="21" xfId="0" applyBorder="1" applyAlignment="1" applyProtection="1">
      <alignment/>
      <protection/>
    </xf>
    <xf numFmtId="0" fontId="0" fillId="0" borderId="21" xfId="0" applyBorder="1" applyAlignment="1" applyProtection="1">
      <alignment/>
      <protection/>
    </xf>
    <xf numFmtId="0" fontId="0" fillId="0" borderId="22" xfId="0" applyBorder="1" applyAlignment="1" applyProtection="1">
      <alignment/>
      <protection/>
    </xf>
    <xf numFmtId="0" fontId="0" fillId="0" borderId="23" xfId="0" applyBorder="1" applyAlignment="1" applyProtection="1">
      <alignment/>
      <protection/>
    </xf>
    <xf numFmtId="0" fontId="0" fillId="0" borderId="24" xfId="0" applyBorder="1" applyAlignment="1" applyProtection="1">
      <alignment/>
      <protection/>
    </xf>
    <xf numFmtId="0" fontId="0" fillId="0" borderId="0" xfId="0" applyBorder="1" applyAlignment="1" applyProtection="1">
      <alignment vertical="top" wrapText="1"/>
      <protection/>
    </xf>
    <xf numFmtId="0" fontId="0" fillId="0" borderId="24" xfId="0" applyBorder="1" applyAlignment="1" applyProtection="1">
      <alignment/>
      <protection/>
    </xf>
    <xf numFmtId="0" fontId="0" fillId="0" borderId="0" xfId="0" applyFill="1" applyAlignment="1" applyProtection="1">
      <alignment/>
      <protection/>
    </xf>
    <xf numFmtId="0" fontId="0" fillId="0" borderId="25" xfId="0" applyFill="1" applyBorder="1" applyAlignment="1" applyProtection="1">
      <alignment/>
      <protection/>
    </xf>
    <xf numFmtId="0" fontId="0" fillId="0" borderId="26" xfId="0" applyFill="1" applyBorder="1" applyAlignment="1" applyProtection="1">
      <alignment/>
      <protection/>
    </xf>
    <xf numFmtId="0" fontId="2" fillId="0" borderId="26" xfId="0" applyFont="1" applyBorder="1" applyAlignment="1" applyProtection="1">
      <alignment vertical="top" wrapText="1"/>
      <protection locked="0"/>
    </xf>
    <xf numFmtId="0" fontId="0" fillId="0" borderId="26" xfId="0" applyFill="1" applyBorder="1" applyAlignment="1" applyProtection="1">
      <alignment vertical="top" wrapText="1"/>
      <protection/>
    </xf>
    <xf numFmtId="0" fontId="0" fillId="0" borderId="26" xfId="0" applyFill="1" applyBorder="1" applyAlignment="1" applyProtection="1">
      <alignment vertical="top"/>
      <protection/>
    </xf>
    <xf numFmtId="0" fontId="0" fillId="0" borderId="27" xfId="0" applyFill="1" applyBorder="1" applyAlignment="1" applyProtection="1">
      <alignment/>
      <protection/>
    </xf>
    <xf numFmtId="0" fontId="4" fillId="0" borderId="0" xfId="0" applyFont="1" applyAlignment="1" applyProtection="1">
      <alignment/>
      <protection/>
    </xf>
    <xf numFmtId="0" fontId="5" fillId="0" borderId="19" xfId="0" applyFont="1" applyBorder="1" applyAlignment="1" applyProtection="1">
      <alignment vertical="center"/>
      <protection/>
    </xf>
    <xf numFmtId="0" fontId="4" fillId="0" borderId="15" xfId="0" applyFont="1" applyBorder="1" applyAlignment="1" applyProtection="1">
      <alignment vertical="center"/>
      <protection/>
    </xf>
    <xf numFmtId="37" fontId="4" fillId="0" borderId="19" xfId="0" applyNumberFormat="1" applyFont="1" applyFill="1" applyBorder="1" applyAlignment="1" applyProtection="1">
      <alignment vertical="center"/>
      <protection locked="0"/>
    </xf>
    <xf numFmtId="37" fontId="4" fillId="0" borderId="16" xfId="0" applyNumberFormat="1" applyFont="1" applyFill="1" applyBorder="1" applyAlignment="1" applyProtection="1">
      <alignment vertical="center"/>
      <protection locked="0"/>
    </xf>
    <xf numFmtId="0" fontId="0" fillId="0" borderId="0" xfId="0" applyBorder="1" applyAlignment="1" applyProtection="1">
      <alignment vertical="center"/>
      <protection/>
    </xf>
    <xf numFmtId="0" fontId="4" fillId="0" borderId="0" xfId="0" applyFont="1" applyBorder="1" applyAlignment="1" applyProtection="1">
      <alignment vertical="center"/>
      <protection/>
    </xf>
    <xf numFmtId="0" fontId="5" fillId="0" borderId="28" xfId="0" applyFont="1" applyBorder="1" applyAlignment="1" applyProtection="1">
      <alignment vertical="center"/>
      <protection/>
    </xf>
    <xf numFmtId="0" fontId="4" fillId="0" borderId="28" xfId="0" applyFont="1" applyBorder="1" applyAlignment="1" applyProtection="1">
      <alignment vertical="center"/>
      <protection/>
    </xf>
    <xf numFmtId="37" fontId="4" fillId="0" borderId="19" xfId="0" applyNumberFormat="1" applyFont="1" applyFill="1" applyBorder="1" applyAlignment="1" applyProtection="1">
      <alignment horizontal="right" vertical="center"/>
      <protection locked="0"/>
    </xf>
    <xf numFmtId="0" fontId="4" fillId="0" borderId="18" xfId="0" applyFont="1" applyBorder="1" applyAlignment="1" applyProtection="1">
      <alignment vertical="center"/>
      <protection/>
    </xf>
    <xf numFmtId="0" fontId="5" fillId="0" borderId="29" xfId="0" applyFont="1" applyBorder="1" applyAlignment="1" applyProtection="1">
      <alignment vertical="center"/>
      <protection/>
    </xf>
    <xf numFmtId="0" fontId="5" fillId="0" borderId="0" xfId="0" applyFont="1" applyBorder="1" applyAlignment="1" applyProtection="1">
      <alignment vertical="center"/>
      <protection/>
    </xf>
    <xf numFmtId="0" fontId="4" fillId="0" borderId="0" xfId="0" applyFont="1" applyAlignment="1" applyProtection="1">
      <alignment vertical="center"/>
      <protection/>
    </xf>
    <xf numFmtId="0" fontId="5" fillId="0" borderId="30" xfId="0" applyFont="1" applyBorder="1" applyAlignment="1" applyProtection="1">
      <alignment vertical="center"/>
      <protection/>
    </xf>
    <xf numFmtId="0" fontId="4" fillId="0" borderId="31" xfId="0" applyFont="1" applyBorder="1" applyAlignment="1" applyProtection="1">
      <alignment vertical="center"/>
      <protection/>
    </xf>
    <xf numFmtId="0" fontId="4" fillId="0" borderId="32" xfId="0" applyFont="1" applyBorder="1" applyAlignment="1" applyProtection="1">
      <alignment vertical="center"/>
      <protection/>
    </xf>
    <xf numFmtId="0" fontId="4" fillId="0" borderId="33" xfId="0" applyFont="1" applyBorder="1" applyAlignment="1" applyProtection="1">
      <alignment vertical="center"/>
      <protection/>
    </xf>
    <xf numFmtId="0" fontId="4" fillId="0" borderId="9" xfId="0" applyFont="1" applyBorder="1" applyAlignment="1" applyProtection="1">
      <alignment vertical="center"/>
      <protection/>
    </xf>
    <xf numFmtId="0" fontId="5" fillId="0" borderId="34" xfId="0" applyFont="1" applyBorder="1" applyAlignment="1" applyProtection="1">
      <alignment vertical="center"/>
      <protection/>
    </xf>
    <xf numFmtId="0" fontId="4" fillId="0" borderId="35" xfId="0" applyFont="1" applyBorder="1" applyAlignment="1" applyProtection="1">
      <alignment vertical="center"/>
      <protection/>
    </xf>
    <xf numFmtId="0" fontId="4" fillId="0" borderId="36" xfId="0" applyFont="1" applyBorder="1" applyAlignment="1" applyProtection="1">
      <alignment vertical="center"/>
      <protection/>
    </xf>
    <xf numFmtId="37" fontId="4" fillId="0" borderId="0" xfId="0" applyNumberFormat="1" applyFont="1" applyFill="1" applyBorder="1" applyAlignment="1" applyProtection="1">
      <alignment vertical="center"/>
      <protection/>
    </xf>
    <xf numFmtId="37" fontId="4" fillId="0" borderId="37" xfId="0" applyNumberFormat="1" applyFont="1" applyFill="1" applyBorder="1" applyAlignment="1" applyProtection="1">
      <alignment vertical="center"/>
      <protection/>
    </xf>
    <xf numFmtId="37" fontId="4" fillId="0" borderId="37" xfId="0" applyNumberFormat="1" applyFont="1" applyFill="1" applyBorder="1" applyAlignment="1" applyProtection="1">
      <alignment horizontal="right" vertical="center"/>
      <protection/>
    </xf>
    <xf numFmtId="37" fontId="4" fillId="0" borderId="38" xfId="0" applyNumberFormat="1" applyFont="1" applyFill="1" applyBorder="1" applyAlignment="1" applyProtection="1">
      <alignment vertical="center"/>
      <protection/>
    </xf>
    <xf numFmtId="37" fontId="4" fillId="0" borderId="39" xfId="0" applyNumberFormat="1" applyFont="1" applyFill="1" applyBorder="1" applyAlignment="1" applyProtection="1">
      <alignment vertical="center"/>
      <protection/>
    </xf>
    <xf numFmtId="0" fontId="1" fillId="0" borderId="0" xfId="0" applyNumberFormat="1" applyFont="1" applyAlignment="1" applyProtection="1">
      <alignment/>
      <protection/>
    </xf>
    <xf numFmtId="0" fontId="0" fillId="0" borderId="0" xfId="0" applyFont="1" applyAlignment="1" applyProtection="1">
      <alignment/>
      <protection/>
    </xf>
    <xf numFmtId="0" fontId="0" fillId="0" borderId="0" xfId="0" applyFont="1" applyAlignment="1" applyProtection="1">
      <alignment horizontal="left"/>
      <protection/>
    </xf>
    <xf numFmtId="0" fontId="1" fillId="0" borderId="0" xfId="0" applyFont="1" applyBorder="1" applyAlignment="1" applyProtection="1">
      <alignment/>
      <protection/>
    </xf>
    <xf numFmtId="0" fontId="0" fillId="0" borderId="0" xfId="0" applyFont="1" applyBorder="1" applyAlignment="1" applyProtection="1">
      <alignment/>
      <protection/>
    </xf>
    <xf numFmtId="0" fontId="0" fillId="0" borderId="0" xfId="0" applyFont="1" applyAlignment="1" applyProtection="1">
      <alignment/>
      <protection/>
    </xf>
    <xf numFmtId="0" fontId="7" fillId="0" borderId="15" xfId="0" applyNumberFormat="1" applyFont="1" applyBorder="1" applyAlignment="1" applyProtection="1">
      <alignment vertical="center"/>
      <protection/>
    </xf>
    <xf numFmtId="0" fontId="7" fillId="0" borderId="15" xfId="0" applyFont="1" applyBorder="1" applyAlignment="1" applyProtection="1">
      <alignment vertical="center"/>
      <protection/>
    </xf>
    <xf numFmtId="0" fontId="7" fillId="0" borderId="15" xfId="0" applyFont="1" applyBorder="1" applyAlignment="1" applyProtection="1">
      <alignment horizontal="left" vertical="center"/>
      <protection/>
    </xf>
    <xf numFmtId="0" fontId="18" fillId="0" borderId="15" xfId="0" applyNumberFormat="1" applyFont="1" applyBorder="1" applyAlignment="1" applyProtection="1">
      <alignment vertical="center"/>
      <protection/>
    </xf>
    <xf numFmtId="0" fontId="22" fillId="0" borderId="15" xfId="0" applyNumberFormat="1" applyFont="1" applyBorder="1" applyAlignment="1" applyProtection="1">
      <alignment vertical="center"/>
      <protection/>
    </xf>
    <xf numFmtId="0" fontId="1" fillId="0" borderId="0" xfId="0" applyNumberFormat="1" applyFont="1" applyAlignment="1" applyProtection="1">
      <alignment horizontal="justify"/>
      <protection/>
    </xf>
    <xf numFmtId="0" fontId="0" fillId="0" borderId="0" xfId="0" applyFont="1" applyAlignment="1" applyProtection="1">
      <alignment horizontal="justify"/>
      <protection/>
    </xf>
    <xf numFmtId="0" fontId="1" fillId="0" borderId="0" xfId="0" applyFont="1" applyBorder="1" applyAlignment="1" applyProtection="1">
      <alignment horizontal="justify"/>
      <protection/>
    </xf>
    <xf numFmtId="0" fontId="0" fillId="0" borderId="0" xfId="0" applyFont="1" applyBorder="1" applyAlignment="1" applyProtection="1">
      <alignment horizontal="justify"/>
      <protection/>
    </xf>
    <xf numFmtId="0" fontId="5" fillId="0" borderId="0" xfId="0" applyNumberFormat="1" applyFont="1" applyAlignment="1" applyProtection="1">
      <alignment/>
      <protection/>
    </xf>
    <xf numFmtId="168" fontId="4" fillId="0" borderId="0" xfId="0" applyNumberFormat="1" applyFont="1" applyAlignment="1" applyProtection="1">
      <alignment/>
      <protection/>
    </xf>
    <xf numFmtId="0" fontId="4" fillId="0" borderId="0" xfId="0" applyNumberFormat="1" applyFont="1" applyAlignment="1" applyProtection="1">
      <alignment/>
      <protection/>
    </xf>
    <xf numFmtId="0" fontId="4" fillId="0" borderId="0" xfId="0" applyNumberFormat="1" applyFont="1" applyAlignment="1" applyProtection="1">
      <alignment horizontal="right"/>
      <protection/>
    </xf>
    <xf numFmtId="37" fontId="4" fillId="0" borderId="0" xfId="0" applyNumberFormat="1" applyFont="1" applyAlignment="1" applyProtection="1">
      <alignment/>
      <protection/>
    </xf>
    <xf numFmtId="168" fontId="4" fillId="0" borderId="0" xfId="0" applyNumberFormat="1" applyFont="1" applyAlignment="1" applyProtection="1">
      <alignment horizontal="justify"/>
      <protection/>
    </xf>
    <xf numFmtId="0" fontId="4" fillId="0" borderId="0" xfId="0" applyFont="1" applyAlignment="1" applyProtection="1">
      <alignment horizontal="justify"/>
      <protection/>
    </xf>
    <xf numFmtId="0" fontId="4" fillId="0" borderId="0" xfId="0" applyFont="1" applyAlignment="1" applyProtection="1">
      <alignment wrapText="1"/>
      <protection/>
    </xf>
    <xf numFmtId="0" fontId="0" fillId="0" borderId="16" xfId="0" applyBorder="1" applyAlignment="1">
      <alignment/>
    </xf>
    <xf numFmtId="171" fontId="4" fillId="0" borderId="6" xfId="0" applyNumberFormat="1" applyFont="1" applyBorder="1" applyAlignment="1">
      <alignment/>
    </xf>
    <xf numFmtId="171" fontId="4" fillId="0" borderId="6" xfId="0" applyNumberFormat="1" applyFont="1" applyBorder="1" applyAlignment="1" applyProtection="1">
      <alignment/>
      <protection/>
    </xf>
    <xf numFmtId="37" fontId="4" fillId="0" borderId="9" xfId="0" applyNumberFormat="1" applyFont="1" applyFill="1" applyBorder="1" applyAlignment="1" applyProtection="1">
      <alignment/>
      <protection locked="0"/>
    </xf>
    <xf numFmtId="37" fontId="4" fillId="0" borderId="10" xfId="0" applyNumberFormat="1" applyFont="1" applyFill="1" applyBorder="1" applyAlignment="1" applyProtection="1">
      <alignment/>
      <protection locked="0"/>
    </xf>
    <xf numFmtId="0" fontId="1" fillId="3" borderId="19" xfId="0" applyFont="1" applyFill="1" applyBorder="1" applyAlignment="1" applyProtection="1">
      <alignment vertical="center"/>
      <protection hidden="1"/>
    </xf>
    <xf numFmtId="37" fontId="5" fillId="3" borderId="13" xfId="0" applyNumberFormat="1" applyFont="1" applyFill="1" applyBorder="1" applyAlignment="1" applyProtection="1">
      <alignment horizontal="center"/>
      <protection hidden="1"/>
    </xf>
    <xf numFmtId="3" fontId="4" fillId="0" borderId="13" xfId="0" applyNumberFormat="1" applyFont="1" applyBorder="1" applyAlignment="1" applyProtection="1">
      <alignment/>
      <protection hidden="1"/>
    </xf>
    <xf numFmtId="37" fontId="5" fillId="3" borderId="13" xfId="0" applyNumberFormat="1" applyFont="1" applyFill="1" applyBorder="1" applyAlignment="1" applyProtection="1">
      <alignment/>
      <protection hidden="1"/>
    </xf>
    <xf numFmtId="0" fontId="5" fillId="3" borderId="6" xfId="0" applyNumberFormat="1" applyFont="1" applyFill="1" applyBorder="1" applyAlignment="1" applyProtection="1">
      <alignment horizontal="left" shrinkToFit="1"/>
      <protection hidden="1"/>
    </xf>
    <xf numFmtId="37" fontId="5" fillId="0" borderId="0" xfId="0" applyNumberFormat="1" applyFont="1" applyBorder="1" applyAlignment="1" applyProtection="1">
      <alignment/>
      <protection hidden="1"/>
    </xf>
    <xf numFmtId="0" fontId="4" fillId="3" borderId="13" xfId="0" applyFont="1" applyFill="1" applyBorder="1" applyAlignment="1" applyProtection="1">
      <alignment/>
      <protection hidden="1"/>
    </xf>
    <xf numFmtId="0" fontId="0" fillId="0" borderId="9" xfId="0" applyBorder="1" applyAlignment="1" applyProtection="1">
      <alignment/>
      <protection hidden="1"/>
    </xf>
    <xf numFmtId="0" fontId="5" fillId="0" borderId="0" xfId="0" applyFont="1" applyAlignment="1" applyProtection="1">
      <alignment/>
      <protection hidden="1"/>
    </xf>
    <xf numFmtId="0" fontId="0" fillId="3" borderId="9" xfId="0" applyFill="1" applyBorder="1" applyAlignment="1" applyProtection="1">
      <alignment/>
      <protection hidden="1"/>
    </xf>
    <xf numFmtId="0" fontId="4" fillId="0" borderId="9" xfId="0" applyFont="1" applyFill="1" applyBorder="1" applyAlignment="1" applyProtection="1">
      <alignment horizontal="center"/>
      <protection hidden="1"/>
    </xf>
    <xf numFmtId="0" fontId="0" fillId="0" borderId="0" xfId="0" applyBorder="1" applyAlignment="1" applyProtection="1">
      <alignment horizontal="center"/>
      <protection hidden="1"/>
    </xf>
    <xf numFmtId="37" fontId="5" fillId="3" borderId="6" xfId="0" applyNumberFormat="1" applyFont="1" applyFill="1" applyBorder="1" applyAlignment="1" applyProtection="1">
      <alignment horizontal="center"/>
      <protection hidden="1"/>
    </xf>
    <xf numFmtId="0" fontId="4" fillId="0" borderId="0" xfId="0" applyFont="1" applyAlignment="1" applyProtection="1">
      <alignment/>
      <protection hidden="1"/>
    </xf>
    <xf numFmtId="0" fontId="5" fillId="0" borderId="0" xfId="0" applyFont="1" applyBorder="1" applyAlignment="1" applyProtection="1">
      <alignment horizontal="right" vertical="top"/>
      <protection hidden="1"/>
    </xf>
    <xf numFmtId="0" fontId="4" fillId="0" borderId="0" xfId="0" applyFont="1" applyBorder="1" applyAlignment="1" applyProtection="1">
      <alignment/>
      <protection hidden="1"/>
    </xf>
    <xf numFmtId="0" fontId="4" fillId="0" borderId="0" xfId="0" applyFont="1" applyFill="1" applyAlignment="1" applyProtection="1">
      <alignment shrinkToFit="1"/>
      <protection hidden="1"/>
    </xf>
    <xf numFmtId="0" fontId="5" fillId="0" borderId="0" xfId="0" applyNumberFormat="1" applyFont="1" applyBorder="1" applyAlignment="1" applyProtection="1">
      <alignment shrinkToFit="1"/>
      <protection hidden="1"/>
    </xf>
    <xf numFmtId="0" fontId="5" fillId="0" borderId="0" xfId="0" applyNumberFormat="1" applyFont="1" applyFill="1" applyBorder="1" applyAlignment="1" applyProtection="1">
      <alignment shrinkToFit="1"/>
      <protection hidden="1"/>
    </xf>
    <xf numFmtId="0" fontId="5" fillId="3" borderId="7" xfId="0" applyNumberFormat="1" applyFont="1" applyFill="1" applyBorder="1" applyAlignment="1" applyProtection="1">
      <alignment horizontal="left" shrinkToFit="1"/>
      <protection hidden="1"/>
    </xf>
    <xf numFmtId="0" fontId="5" fillId="3" borderId="8" xfId="0" applyNumberFormat="1" applyFont="1" applyFill="1" applyBorder="1" applyAlignment="1" applyProtection="1">
      <alignment horizontal="left" shrinkToFit="1"/>
      <protection hidden="1"/>
    </xf>
    <xf numFmtId="0" fontId="4" fillId="0" borderId="6" xfId="0" applyFont="1" applyFill="1" applyBorder="1" applyAlignment="1" applyProtection="1">
      <alignment/>
      <protection hidden="1"/>
    </xf>
    <xf numFmtId="0" fontId="12" fillId="7" borderId="0" xfId="32" applyFont="1" applyFill="1" applyBorder="1" applyAlignment="1" applyProtection="1">
      <alignment horizontal="left"/>
      <protection hidden="1"/>
    </xf>
    <xf numFmtId="0" fontId="13" fillId="7" borderId="0" xfId="32" applyFont="1" applyFill="1" applyBorder="1" applyAlignment="1" applyProtection="1">
      <alignment horizontal="left"/>
      <protection hidden="1"/>
    </xf>
    <xf numFmtId="0" fontId="4" fillId="0" borderId="0" xfId="0" applyFont="1" applyAlignment="1" applyProtection="1">
      <alignment horizontal="justify" vertical="top" wrapText="1"/>
      <protection/>
    </xf>
    <xf numFmtId="0" fontId="5" fillId="0" borderId="18" xfId="0" applyFont="1" applyBorder="1" applyAlignment="1" applyProtection="1">
      <alignment vertical="center"/>
      <protection/>
    </xf>
    <xf numFmtId="0" fontId="5" fillId="0" borderId="18" xfId="0" applyFont="1" applyBorder="1" applyAlignment="1" applyProtection="1">
      <alignment/>
      <protection/>
    </xf>
    <xf numFmtId="0" fontId="5" fillId="0" borderId="15" xfId="0" applyFont="1" applyBorder="1" applyAlignment="1" applyProtection="1">
      <alignment vertical="center"/>
      <protection/>
    </xf>
    <xf numFmtId="0" fontId="19" fillId="0" borderId="0" xfId="0" applyFont="1" applyBorder="1" applyAlignment="1" applyProtection="1">
      <alignment/>
      <protection/>
    </xf>
    <xf numFmtId="0" fontId="0" fillId="0" borderId="18" xfId="0" applyBorder="1" applyAlignment="1" applyProtection="1">
      <alignment vertical="center"/>
      <protection/>
    </xf>
    <xf numFmtId="37" fontId="0" fillId="0" borderId="18" xfId="0" applyNumberFormat="1" applyBorder="1" applyAlignment="1" applyProtection="1">
      <alignment/>
      <protection/>
    </xf>
    <xf numFmtId="0" fontId="2" fillId="0" borderId="0" xfId="0" applyFont="1" applyBorder="1" applyAlignment="1" applyProtection="1">
      <alignment/>
      <protection/>
    </xf>
    <xf numFmtId="0" fontId="4" fillId="0" borderId="40" xfId="0" applyFont="1" applyBorder="1" applyAlignment="1" applyProtection="1">
      <alignment vertical="center"/>
      <protection/>
    </xf>
    <xf numFmtId="0" fontId="4" fillId="0" borderId="37" xfId="0" applyFont="1" applyBorder="1" applyAlignment="1" applyProtection="1">
      <alignment vertical="center"/>
      <protection/>
    </xf>
    <xf numFmtId="0" fontId="5" fillId="0" borderId="0" xfId="0" applyFont="1" applyAlignment="1">
      <alignment/>
    </xf>
    <xf numFmtId="0" fontId="13" fillId="0" borderId="0" xfId="0" applyFont="1" applyFill="1" applyAlignment="1" applyProtection="1">
      <alignment horizontal="right" vertical="top"/>
      <protection hidden="1"/>
    </xf>
    <xf numFmtId="0" fontId="14" fillId="0" borderId="0" xfId="18" applyBorder="1" applyAlignment="1" applyProtection="1">
      <alignment/>
      <protection/>
    </xf>
    <xf numFmtId="0" fontId="14" fillId="0" borderId="0" xfId="18" applyAlignment="1" applyProtection="1">
      <alignment/>
      <protection/>
    </xf>
    <xf numFmtId="0" fontId="14" fillId="0" borderId="0" xfId="18" applyAlignment="1">
      <alignment/>
    </xf>
    <xf numFmtId="0" fontId="1" fillId="0" borderId="0" xfId="0" applyFont="1" applyAlignment="1">
      <alignment/>
    </xf>
    <xf numFmtId="3" fontId="1" fillId="0" borderId="0" xfId="0" applyNumberFormat="1" applyFont="1" applyAlignment="1">
      <alignment horizontal="left"/>
    </xf>
    <xf numFmtId="4" fontId="5" fillId="0" borderId="0" xfId="0" applyNumberFormat="1" applyFont="1" applyFill="1" applyAlignment="1" applyProtection="1">
      <alignment/>
      <protection hidden="1"/>
    </xf>
    <xf numFmtId="4" fontId="4" fillId="0" borderId="0" xfId="0" applyNumberFormat="1" applyFont="1" applyFill="1" applyAlignment="1" applyProtection="1">
      <alignment/>
      <protection hidden="1"/>
    </xf>
    <xf numFmtId="4" fontId="2" fillId="0" borderId="0" xfId="0" applyNumberFormat="1" applyFont="1" applyAlignment="1" applyProtection="1">
      <alignment/>
      <protection hidden="1"/>
    </xf>
    <xf numFmtId="4" fontId="0" fillId="0" borderId="0" xfId="0" applyNumberFormat="1" applyAlignment="1" applyProtection="1">
      <alignment/>
      <protection hidden="1"/>
    </xf>
    <xf numFmtId="4" fontId="5" fillId="3" borderId="8" xfId="0" applyNumberFormat="1" applyFont="1" applyFill="1" applyBorder="1" applyAlignment="1" applyProtection="1">
      <alignment horizontal="center"/>
      <protection hidden="1"/>
    </xf>
    <xf numFmtId="4" fontId="5" fillId="0" borderId="0" xfId="0" applyNumberFormat="1" applyFont="1" applyFill="1" applyAlignment="1" applyProtection="1">
      <alignment horizontal="center"/>
      <protection hidden="1"/>
    </xf>
    <xf numFmtId="4" fontId="4" fillId="0" borderId="6" xfId="0" applyNumberFormat="1" applyFont="1" applyFill="1" applyBorder="1" applyAlignment="1" applyProtection="1">
      <alignment/>
      <protection hidden="1"/>
    </xf>
    <xf numFmtId="4" fontId="5" fillId="3" borderId="6" xfId="0" applyNumberFormat="1" applyFont="1" applyFill="1" applyBorder="1" applyAlignment="1" applyProtection="1">
      <alignment/>
      <protection hidden="1"/>
    </xf>
    <xf numFmtId="4" fontId="5" fillId="0" borderId="0" xfId="0" applyNumberFormat="1" applyFont="1" applyFill="1" applyAlignment="1" applyProtection="1">
      <alignment/>
      <protection/>
    </xf>
    <xf numFmtId="4" fontId="5" fillId="0" borderId="0" xfId="0" applyNumberFormat="1" applyFont="1" applyFill="1" applyBorder="1" applyAlignment="1" applyProtection="1">
      <alignment/>
      <protection hidden="1"/>
    </xf>
    <xf numFmtId="4" fontId="5" fillId="0" borderId="11" xfId="0" applyNumberFormat="1" applyFont="1" applyFill="1" applyBorder="1" applyAlignment="1" applyProtection="1">
      <alignment/>
      <protection hidden="1"/>
    </xf>
    <xf numFmtId="4" fontId="0" fillId="0" borderId="0" xfId="0" applyNumberFormat="1" applyBorder="1" applyAlignment="1" applyProtection="1">
      <alignment horizontal="center"/>
      <protection/>
    </xf>
    <xf numFmtId="4" fontId="1" fillId="0" borderId="0" xfId="0" applyNumberFormat="1" applyFont="1" applyFill="1" applyAlignment="1" applyProtection="1">
      <alignment horizontal="left"/>
      <protection hidden="1"/>
    </xf>
    <xf numFmtId="4" fontId="5" fillId="0" borderId="0" xfId="0" applyNumberFormat="1" applyFont="1" applyFill="1" applyAlignment="1" applyProtection="1">
      <alignment horizontal="center" wrapText="1"/>
      <protection hidden="1"/>
    </xf>
    <xf numFmtId="4" fontId="0" fillId="0" borderId="0" xfId="0" applyNumberFormat="1" applyAlignment="1">
      <alignment/>
    </xf>
    <xf numFmtId="4" fontId="4" fillId="0" borderId="0" xfId="0" applyNumberFormat="1" applyFont="1" applyFill="1" applyAlignment="1" applyProtection="1">
      <alignment/>
      <protection/>
    </xf>
    <xf numFmtId="4" fontId="4" fillId="0" borderId="0" xfId="0" applyNumberFormat="1" applyFont="1" applyFill="1" applyBorder="1" applyAlignment="1" applyProtection="1">
      <alignment/>
      <protection hidden="1"/>
    </xf>
    <xf numFmtId="4" fontId="5" fillId="0" borderId="0" xfId="0" applyNumberFormat="1" applyFont="1" applyFill="1" applyAlignment="1" applyProtection="1">
      <alignment/>
      <protection hidden="1"/>
    </xf>
    <xf numFmtId="4" fontId="5" fillId="3" borderId="8" xfId="0" applyNumberFormat="1" applyFont="1" applyFill="1" applyBorder="1" applyAlignment="1" applyProtection="1">
      <alignment horizontal="center" wrapText="1"/>
      <protection hidden="1"/>
    </xf>
    <xf numFmtId="4" fontId="4" fillId="0" borderId="0" xfId="0" applyNumberFormat="1" applyFont="1" applyFill="1" applyBorder="1" applyAlignment="1" applyProtection="1">
      <alignment/>
      <protection/>
    </xf>
    <xf numFmtId="4" fontId="4" fillId="0" borderId="0" xfId="0" applyNumberFormat="1" applyFont="1" applyAlignment="1" applyProtection="1">
      <alignment/>
      <protection hidden="1"/>
    </xf>
    <xf numFmtId="4" fontId="13" fillId="0" borderId="0" xfId="0" applyNumberFormat="1" applyFont="1" applyFill="1" applyAlignment="1" applyProtection="1">
      <alignment/>
      <protection/>
    </xf>
    <xf numFmtId="171" fontId="4" fillId="0" borderId="0" xfId="34" applyNumberFormat="1" applyFont="1" applyFill="1" applyBorder="1" applyAlignment="1" applyProtection="1">
      <alignment/>
      <protection/>
    </xf>
    <xf numFmtId="9" fontId="4" fillId="0" borderId="13" xfId="34"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5" fillId="8" borderId="0" xfId="0" applyFont="1" applyFill="1" applyBorder="1" applyAlignment="1" applyProtection="1">
      <alignment/>
      <protection hidden="1"/>
    </xf>
    <xf numFmtId="0" fontId="0" fillId="8" borderId="0" xfId="0" applyFill="1" applyAlignment="1">
      <alignment/>
    </xf>
    <xf numFmtId="9" fontId="4" fillId="0" borderId="6" xfId="34" applyNumberFormat="1" applyFont="1" applyFill="1" applyBorder="1" applyAlignment="1" applyProtection="1">
      <alignment/>
      <protection/>
    </xf>
    <xf numFmtId="0" fontId="0" fillId="8" borderId="0" xfId="0" applyFill="1" applyBorder="1" applyAlignment="1" applyProtection="1">
      <alignment/>
      <protection hidden="1"/>
    </xf>
    <xf numFmtId="0" fontId="4" fillId="0" borderId="13" xfId="0" applyFont="1" applyFill="1" applyBorder="1" applyAlignment="1" applyProtection="1">
      <alignment/>
      <protection/>
    </xf>
    <xf numFmtId="0" fontId="4" fillId="0" borderId="13" xfId="0" applyFont="1" applyFill="1" applyBorder="1" applyAlignment="1" applyProtection="1">
      <alignment horizontal="left"/>
      <protection hidden="1"/>
    </xf>
    <xf numFmtId="0" fontId="4" fillId="0" borderId="13" xfId="0" applyFont="1" applyFill="1" applyBorder="1" applyAlignment="1" applyProtection="1" quotePrefix="1">
      <alignment horizontal="left"/>
      <protection hidden="1"/>
    </xf>
    <xf numFmtId="9" fontId="4" fillId="0" borderId="6" xfId="0" applyNumberFormat="1" applyFont="1" applyFill="1" applyBorder="1" applyAlignment="1" applyProtection="1">
      <alignment/>
      <protection hidden="1"/>
    </xf>
    <xf numFmtId="10" fontId="5" fillId="0" borderId="0" xfId="0" applyNumberFormat="1" applyFont="1" applyFill="1" applyBorder="1" applyAlignment="1" applyProtection="1">
      <alignment horizontal="center" wrapText="1"/>
      <protection hidden="1"/>
    </xf>
    <xf numFmtId="2" fontId="0" fillId="0" borderId="0" xfId="0" applyNumberFormat="1" applyFont="1" applyBorder="1" applyAlignment="1" applyProtection="1">
      <alignment horizontal="center"/>
      <protection hidden="1"/>
    </xf>
    <xf numFmtId="2" fontId="4" fillId="0" borderId="0" xfId="0" applyNumberFormat="1" applyFont="1" applyFill="1" applyBorder="1" applyAlignment="1" applyProtection="1">
      <alignment horizontal="center"/>
      <protection hidden="1"/>
    </xf>
    <xf numFmtId="2" fontId="4" fillId="0" borderId="0" xfId="0" applyNumberFormat="1" applyFont="1" applyBorder="1" applyAlignment="1" applyProtection="1">
      <alignment horizontal="center"/>
      <protection hidden="1"/>
    </xf>
    <xf numFmtId="0" fontId="4" fillId="0" borderId="41" xfId="0" applyFont="1" applyFill="1" applyBorder="1" applyAlignment="1" applyProtection="1">
      <alignment horizontal="left"/>
      <protection locked="0"/>
    </xf>
    <xf numFmtId="0" fontId="4" fillId="0" borderId="11" xfId="0" applyFont="1" applyFill="1" applyBorder="1" applyAlignment="1" applyProtection="1">
      <alignment horizontal="left"/>
      <protection locked="0"/>
    </xf>
    <xf numFmtId="0" fontId="4" fillId="0" borderId="12" xfId="0" applyFont="1" applyFill="1" applyBorder="1" applyAlignment="1" applyProtection="1">
      <alignment horizontal="left"/>
      <protection locked="0"/>
    </xf>
    <xf numFmtId="0" fontId="24" fillId="0" borderId="0" xfId="0" applyFont="1" applyFill="1" applyAlignment="1" applyProtection="1">
      <alignment/>
      <protection hidden="1"/>
    </xf>
    <xf numFmtId="0" fontId="0" fillId="0" borderId="9" xfId="0" applyBorder="1" applyAlignment="1">
      <alignment/>
    </xf>
    <xf numFmtId="0" fontId="5" fillId="0" borderId="11" xfId="0" applyFont="1" applyFill="1" applyBorder="1" applyAlignment="1" applyProtection="1">
      <alignment/>
      <protection hidden="1"/>
    </xf>
    <xf numFmtId="171" fontId="7" fillId="8" borderId="5" xfId="34" applyNumberFormat="1" applyFont="1" applyFill="1" applyBorder="1" applyAlignment="1" applyProtection="1">
      <alignment/>
      <protection hidden="1"/>
    </xf>
    <xf numFmtId="0" fontId="0" fillId="0" borderId="0" xfId="0" applyAlignment="1">
      <alignment/>
    </xf>
    <xf numFmtId="0" fontId="4" fillId="8" borderId="0" xfId="0" applyFont="1" applyFill="1" applyBorder="1" applyAlignment="1" applyProtection="1">
      <alignment horizontal="center"/>
      <protection hidden="1"/>
    </xf>
    <xf numFmtId="1" fontId="4" fillId="8" borderId="0" xfId="0" applyNumberFormat="1" applyFont="1" applyFill="1" applyAlignment="1" applyProtection="1">
      <alignment horizontal="center"/>
      <protection hidden="1"/>
    </xf>
    <xf numFmtId="0" fontId="4" fillId="8" borderId="0" xfId="0" applyFont="1" applyFill="1" applyBorder="1" applyAlignment="1" applyProtection="1">
      <alignment horizontal="center" wrapText="1"/>
      <protection hidden="1"/>
    </xf>
    <xf numFmtId="0" fontId="7" fillId="8" borderId="0" xfId="0" applyFont="1" applyFill="1" applyBorder="1" applyAlignment="1" applyProtection="1">
      <alignment/>
      <protection hidden="1"/>
    </xf>
    <xf numFmtId="171" fontId="7" fillId="8" borderId="0" xfId="34" applyNumberFormat="1" applyFont="1" applyFill="1" applyBorder="1" applyAlignment="1" applyProtection="1">
      <alignment/>
      <protection hidden="1"/>
    </xf>
    <xf numFmtId="171" fontId="7" fillId="8" borderId="0" xfId="0" applyNumberFormat="1" applyFont="1" applyFill="1" applyBorder="1" applyAlignment="1" applyProtection="1">
      <alignment/>
      <protection hidden="1"/>
    </xf>
    <xf numFmtId="0" fontId="7" fillId="8" borderId="0" xfId="0" applyFont="1" applyFill="1" applyBorder="1" applyAlignment="1" applyProtection="1">
      <alignment horizontal="center" wrapText="1"/>
      <protection hidden="1"/>
    </xf>
    <xf numFmtId="0" fontId="5" fillId="8" borderId="0" xfId="0" applyFont="1" applyFill="1" applyAlignment="1" applyProtection="1">
      <alignment horizontal="center" wrapText="1"/>
      <protection hidden="1"/>
    </xf>
    <xf numFmtId="0" fontId="4" fillId="8" borderId="0" xfId="0" applyFont="1" applyFill="1" applyAlignment="1" applyProtection="1">
      <alignment/>
      <protection hidden="1"/>
    </xf>
    <xf numFmtId="0" fontId="7" fillId="8" borderId="0" xfId="0" applyFont="1" applyFill="1" applyBorder="1" applyAlignment="1" applyProtection="1">
      <alignment/>
      <protection hidden="1"/>
    </xf>
    <xf numFmtId="0" fontId="5" fillId="8" borderId="0" xfId="0" applyFont="1" applyFill="1" applyAlignment="1" applyProtection="1">
      <alignment/>
      <protection hidden="1"/>
    </xf>
    <xf numFmtId="0" fontId="0" fillId="8" borderId="0" xfId="0" applyFill="1" applyAlignment="1" applyProtection="1">
      <alignment/>
      <protection hidden="1"/>
    </xf>
    <xf numFmtId="0" fontId="0" fillId="8" borderId="0" xfId="0" applyFill="1" applyAlignment="1">
      <alignment/>
    </xf>
    <xf numFmtId="0" fontId="5" fillId="8" borderId="0" xfId="0" applyFont="1" applyFill="1" applyBorder="1" applyAlignment="1" applyProtection="1">
      <alignment/>
      <protection hidden="1"/>
    </xf>
    <xf numFmtId="0" fontId="5" fillId="8" borderId="0" xfId="0" applyFont="1" applyFill="1" applyBorder="1" applyAlignment="1" applyProtection="1">
      <alignment horizontal="center" wrapText="1"/>
      <protection hidden="1"/>
    </xf>
    <xf numFmtId="0" fontId="4" fillId="8" borderId="0" xfId="0" applyFont="1" applyFill="1" applyBorder="1" applyAlignment="1" applyProtection="1">
      <alignment/>
      <protection hidden="1"/>
    </xf>
    <xf numFmtId="0" fontId="0" fillId="8" borderId="14" xfId="0" applyFill="1" applyBorder="1" applyAlignment="1">
      <alignment/>
    </xf>
    <xf numFmtId="0" fontId="4" fillId="8" borderId="0" xfId="0" applyFont="1" applyFill="1" applyBorder="1" applyAlignment="1" applyProtection="1">
      <alignment/>
      <protection/>
    </xf>
    <xf numFmtId="0" fontId="0" fillId="8" borderId="0" xfId="0" applyFill="1" applyBorder="1" applyAlignment="1">
      <alignment/>
    </xf>
    <xf numFmtId="9" fontId="4" fillId="0" borderId="11" xfId="34" applyNumberFormat="1" applyFont="1" applyFill="1" applyBorder="1" applyAlignment="1" applyProtection="1">
      <alignment/>
      <protection/>
    </xf>
    <xf numFmtId="10" fontId="4" fillId="0" borderId="11" xfId="0" applyNumberFormat="1" applyFont="1" applyBorder="1" applyAlignment="1" applyProtection="1">
      <alignment/>
      <protection/>
    </xf>
    <xf numFmtId="9" fontId="4" fillId="0" borderId="17" xfId="34" applyNumberFormat="1" applyFont="1" applyFill="1" applyBorder="1" applyAlignment="1" applyProtection="1">
      <alignment/>
      <protection/>
    </xf>
    <xf numFmtId="10" fontId="4" fillId="0" borderId="17" xfId="0" applyNumberFormat="1" applyFont="1" applyBorder="1" applyAlignment="1" applyProtection="1">
      <alignment/>
      <protection/>
    </xf>
    <xf numFmtId="10" fontId="4" fillId="0" borderId="0" xfId="0" applyNumberFormat="1" applyFont="1" applyBorder="1" applyAlignment="1" applyProtection="1">
      <alignment/>
      <protection/>
    </xf>
    <xf numFmtId="171" fontId="4" fillId="0" borderId="5" xfId="0" applyNumberFormat="1" applyFont="1" applyFill="1" applyBorder="1" applyAlignment="1" applyProtection="1">
      <alignment/>
      <protection/>
    </xf>
    <xf numFmtId="0" fontId="5" fillId="0" borderId="0" xfId="0" applyFont="1" applyFill="1" applyBorder="1" applyAlignment="1" applyProtection="1">
      <alignment horizontal="center" vertical="top"/>
      <protection hidden="1"/>
    </xf>
    <xf numFmtId="0" fontId="0" fillId="0" borderId="0" xfId="0" applyFill="1" applyBorder="1" applyAlignment="1">
      <alignment/>
    </xf>
    <xf numFmtId="0" fontId="5" fillId="3" borderId="13" xfId="0" applyNumberFormat="1" applyFont="1" applyFill="1" applyBorder="1" applyAlignment="1" applyProtection="1">
      <alignment horizontal="left"/>
      <protection hidden="1"/>
    </xf>
    <xf numFmtId="0" fontId="5" fillId="3" borderId="11" xfId="0" applyFont="1" applyFill="1" applyBorder="1" applyAlignment="1" applyProtection="1">
      <alignment/>
      <protection hidden="1"/>
    </xf>
    <xf numFmtId="9" fontId="4" fillId="0" borderId="0" xfId="0" applyNumberFormat="1" applyFont="1" applyFill="1" applyBorder="1" applyAlignment="1" applyProtection="1">
      <alignment/>
      <protection hidden="1"/>
    </xf>
    <xf numFmtId="9" fontId="4" fillId="0" borderId="0" xfId="0" applyNumberFormat="1" applyFont="1" applyFill="1" applyBorder="1" applyAlignment="1" applyProtection="1">
      <alignment/>
      <protection hidden="1"/>
    </xf>
    <xf numFmtId="10" fontId="4" fillId="0" borderId="0" xfId="0" applyNumberFormat="1" applyFont="1" applyFill="1" applyBorder="1" applyAlignment="1" applyProtection="1">
      <alignment/>
      <protection/>
    </xf>
    <xf numFmtId="0" fontId="4" fillId="0" borderId="6" xfId="0" applyNumberFormat="1" applyFont="1" applyFill="1" applyBorder="1" applyAlignment="1" applyProtection="1">
      <alignment/>
      <protection hidden="1"/>
    </xf>
    <xf numFmtId="0" fontId="5" fillId="8" borderId="0" xfId="0" applyNumberFormat="1" applyFont="1" applyFill="1" applyBorder="1" applyAlignment="1" applyProtection="1">
      <alignment/>
      <protection hidden="1"/>
    </xf>
    <xf numFmtId="0" fontId="0" fillId="8" borderId="0" xfId="0" applyNumberFormat="1" applyFill="1" applyAlignment="1">
      <alignment/>
    </xf>
    <xf numFmtId="0" fontId="4" fillId="0" borderId="0" xfId="0" applyNumberFormat="1" applyFont="1" applyFill="1" applyBorder="1" applyAlignment="1" applyProtection="1">
      <alignment/>
      <protection/>
    </xf>
    <xf numFmtId="0" fontId="5" fillId="0" borderId="11" xfId="0" applyFont="1" applyFill="1" applyBorder="1" applyAlignment="1" applyProtection="1">
      <alignment horizontal="left"/>
      <protection hidden="1"/>
    </xf>
    <xf numFmtId="9" fontId="4" fillId="0" borderId="11" xfId="0" applyNumberFormat="1" applyFont="1" applyFill="1" applyBorder="1" applyAlignment="1" applyProtection="1">
      <alignment/>
      <protection hidden="1"/>
    </xf>
    <xf numFmtId="0" fontId="0" fillId="0" borderId="0" xfId="0" applyAlignment="1">
      <alignment horizontal="left"/>
    </xf>
    <xf numFmtId="4" fontId="5" fillId="0" borderId="0" xfId="0" applyNumberFormat="1" applyFont="1"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pplyProtection="1">
      <alignment/>
      <protection/>
    </xf>
    <xf numFmtId="171" fontId="0" fillId="0" borderId="0" xfId="0" applyNumberFormat="1" applyFill="1" applyBorder="1" applyAlignment="1">
      <alignment/>
    </xf>
    <xf numFmtId="171" fontId="4" fillId="0" borderId="42" xfId="0" applyNumberFormat="1" applyFont="1" applyBorder="1" applyAlignment="1" applyProtection="1">
      <alignment/>
      <protection locked="0"/>
    </xf>
    <xf numFmtId="0" fontId="0" fillId="0" borderId="10" xfId="0" applyBorder="1" applyAlignment="1">
      <alignment/>
    </xf>
    <xf numFmtId="0" fontId="0" fillId="3" borderId="10" xfId="0" applyFill="1" applyBorder="1" applyAlignment="1">
      <alignment/>
    </xf>
    <xf numFmtId="0" fontId="5" fillId="0" borderId="13" xfId="0" applyFont="1" applyFill="1" applyBorder="1" applyAlignment="1" applyProtection="1">
      <alignment/>
      <protection hidden="1"/>
    </xf>
    <xf numFmtId="171" fontId="4" fillId="8" borderId="5" xfId="34" applyNumberFormat="1" applyFont="1" applyFill="1" applyBorder="1" applyAlignment="1" applyProtection="1">
      <alignment/>
      <protection hidden="1"/>
    </xf>
    <xf numFmtId="0" fontId="4" fillId="0" borderId="0" xfId="34" applyFont="1" applyFill="1" applyBorder="1" applyAlignment="1" applyProtection="1">
      <alignment/>
      <protection/>
    </xf>
    <xf numFmtId="4" fontId="4" fillId="0" borderId="0" xfId="0" applyNumberFormat="1" applyFont="1" applyAlignment="1">
      <alignment/>
    </xf>
    <xf numFmtId="0" fontId="4" fillId="0" borderId="0" xfId="0" applyFont="1" applyBorder="1" applyAlignment="1">
      <alignment/>
    </xf>
    <xf numFmtId="171" fontId="4" fillId="8" borderId="0" xfId="34" applyNumberFormat="1" applyFont="1" applyFill="1" applyBorder="1" applyAlignment="1" applyProtection="1">
      <alignment/>
      <protection hidden="1"/>
    </xf>
    <xf numFmtId="0" fontId="4" fillId="0" borderId="0" xfId="0" applyFont="1" applyBorder="1" applyAlignment="1" applyProtection="1">
      <alignment/>
      <protection hidden="1"/>
    </xf>
    <xf numFmtId="0" fontId="4" fillId="0" borderId="0" xfId="0" applyFont="1" applyFill="1" applyAlignment="1" applyProtection="1">
      <alignment horizontal="left" wrapText="1"/>
      <protection hidden="1"/>
    </xf>
    <xf numFmtId="0" fontId="4" fillId="0" borderId="0" xfId="0" applyFont="1" applyFill="1" applyAlignment="1" applyProtection="1">
      <alignment horizontal="left"/>
      <protection hidden="1"/>
    </xf>
    <xf numFmtId="4" fontId="4" fillId="0" borderId="43" xfId="0" applyNumberFormat="1" applyFont="1" applyFill="1" applyBorder="1" applyAlignment="1" applyProtection="1">
      <alignment/>
      <protection hidden="1"/>
    </xf>
    <xf numFmtId="4" fontId="5" fillId="0" borderId="7" xfId="0" applyNumberFormat="1" applyFont="1" applyFill="1" applyBorder="1" applyAlignment="1" applyProtection="1">
      <alignment/>
      <protection hidden="1"/>
    </xf>
    <xf numFmtId="0" fontId="4" fillId="0" borderId="0" xfId="0" applyFont="1" applyFill="1" applyBorder="1" applyAlignment="1" applyProtection="1" quotePrefix="1">
      <alignment horizontal="left"/>
      <protection hidden="1"/>
    </xf>
    <xf numFmtId="171" fontId="4" fillId="0" borderId="12" xfId="0" applyNumberFormat="1" applyFont="1" applyBorder="1" applyAlignment="1" applyProtection="1">
      <alignment/>
      <protection/>
    </xf>
    <xf numFmtId="4" fontId="5" fillId="0" borderId="12" xfId="0" applyNumberFormat="1" applyFont="1" applyFill="1" applyBorder="1" applyAlignment="1" applyProtection="1">
      <alignment/>
      <protection hidden="1"/>
    </xf>
    <xf numFmtId="171" fontId="4" fillId="0" borderId="17" xfId="0" applyNumberFormat="1" applyFont="1" applyFill="1" applyBorder="1" applyAlignment="1" applyProtection="1">
      <alignment/>
      <protection/>
    </xf>
    <xf numFmtId="0" fontId="4" fillId="0" borderId="10" xfId="0" applyFont="1" applyFill="1" applyBorder="1" applyAlignment="1" applyProtection="1">
      <alignment/>
      <protection/>
    </xf>
    <xf numFmtId="4" fontId="4" fillId="0" borderId="41" xfId="0" applyNumberFormat="1" applyFont="1" applyFill="1" applyBorder="1" applyAlignment="1" applyProtection="1">
      <alignment/>
      <protection hidden="1"/>
    </xf>
    <xf numFmtId="4" fontId="4" fillId="0" borderId="5" xfId="0" applyNumberFormat="1" applyFont="1" applyFill="1" applyBorder="1" applyAlignment="1" applyProtection="1">
      <alignment/>
      <protection hidden="1"/>
    </xf>
    <xf numFmtId="0" fontId="5" fillId="0" borderId="0" xfId="0" applyFont="1" applyAlignment="1" applyProtection="1">
      <alignment shrinkToFit="1"/>
      <protection hidden="1"/>
    </xf>
    <xf numFmtId="0" fontId="5" fillId="0" borderId="0" xfId="0" applyFont="1" applyFill="1" applyAlignment="1" applyProtection="1">
      <alignment shrinkToFit="1"/>
      <protection hidden="1"/>
    </xf>
    <xf numFmtId="4" fontId="4" fillId="0" borderId="7" xfId="0" applyNumberFormat="1" applyFont="1" applyBorder="1" applyAlignment="1">
      <alignment/>
    </xf>
    <xf numFmtId="4" fontId="4" fillId="0" borderId="43" xfId="0" applyNumberFormat="1" applyFont="1" applyBorder="1" applyAlignment="1">
      <alignment/>
    </xf>
    <xf numFmtId="9" fontId="0" fillId="0" borderId="17" xfId="0" applyNumberFormat="1" applyBorder="1" applyAlignment="1">
      <alignment/>
    </xf>
    <xf numFmtId="9" fontId="4" fillId="0" borderId="6" xfId="0" applyNumberFormat="1" applyFont="1" applyBorder="1" applyAlignment="1">
      <alignment/>
    </xf>
    <xf numFmtId="9" fontId="4" fillId="0" borderId="7" xfId="0" applyNumberFormat="1" applyFont="1" applyBorder="1" applyAlignment="1">
      <alignment/>
    </xf>
    <xf numFmtId="2" fontId="4" fillId="0" borderId="6" xfId="34" applyNumberFormat="1" applyFont="1" applyFill="1" applyBorder="1" applyAlignment="1" applyProtection="1">
      <alignment/>
      <protection/>
    </xf>
    <xf numFmtId="2" fontId="4" fillId="0" borderId="8" xfId="0" applyNumberFormat="1" applyFont="1" applyFill="1" applyBorder="1" applyAlignment="1" applyProtection="1">
      <alignment/>
      <protection hidden="1"/>
    </xf>
    <xf numFmtId="2" fontId="4" fillId="0" borderId="6" xfId="0" applyNumberFormat="1" applyFont="1" applyFill="1" applyBorder="1" applyAlignment="1" applyProtection="1">
      <alignment/>
      <protection hidden="1"/>
    </xf>
    <xf numFmtId="2" fontId="4" fillId="0" borderId="6" xfId="0" applyNumberFormat="1" applyFont="1" applyFill="1" applyBorder="1" applyAlignment="1" applyProtection="1" quotePrefix="1">
      <alignment/>
      <protection hidden="1"/>
    </xf>
    <xf numFmtId="0" fontId="4" fillId="3" borderId="13" xfId="0" applyFont="1" applyFill="1" applyBorder="1" applyAlignment="1" applyProtection="1" quotePrefix="1">
      <alignment horizontal="left"/>
      <protection hidden="1"/>
    </xf>
    <xf numFmtId="9" fontId="4" fillId="3" borderId="6" xfId="0" applyNumberFormat="1" applyFont="1" applyFill="1" applyBorder="1" applyAlignment="1" applyProtection="1">
      <alignment/>
      <protection hidden="1"/>
    </xf>
    <xf numFmtId="1" fontId="5" fillId="3" borderId="7" xfId="0" applyNumberFormat="1" applyFont="1" applyFill="1" applyBorder="1" applyAlignment="1" applyProtection="1">
      <alignment horizontal="center" wrapText="1"/>
      <protection hidden="1"/>
    </xf>
    <xf numFmtId="0" fontId="5" fillId="0" borderId="11" xfId="0" applyNumberFormat="1" applyFont="1" applyFill="1" applyBorder="1" applyAlignment="1" applyProtection="1">
      <alignment horizontal="left"/>
      <protection hidden="1"/>
    </xf>
    <xf numFmtId="0" fontId="4" fillId="0" borderId="11" xfId="0" applyFont="1" applyFill="1" applyBorder="1" applyAlignment="1" applyProtection="1" quotePrefix="1">
      <alignment horizontal="left"/>
      <protection hidden="1"/>
    </xf>
    <xf numFmtId="9" fontId="4" fillId="0" borderId="11" xfId="0" applyNumberFormat="1" applyFont="1" applyFill="1" applyBorder="1" applyAlignment="1" applyProtection="1">
      <alignment/>
      <protection hidden="1"/>
    </xf>
    <xf numFmtId="0" fontId="4" fillId="0" borderId="17" xfId="0" applyFont="1" applyFill="1" applyBorder="1" applyAlignment="1" applyProtection="1">
      <alignment/>
      <protection hidden="1"/>
    </xf>
    <xf numFmtId="0" fontId="4" fillId="0" borderId="17" xfId="0" applyFont="1" applyFill="1" applyBorder="1" applyAlignment="1" applyProtection="1">
      <alignment horizontal="right"/>
      <protection hidden="1"/>
    </xf>
    <xf numFmtId="9" fontId="4" fillId="3" borderId="6" xfId="0" applyNumberFormat="1" applyFont="1" applyFill="1" applyBorder="1" applyAlignment="1" applyProtection="1">
      <alignment/>
      <protection hidden="1"/>
    </xf>
    <xf numFmtId="9" fontId="4" fillId="0" borderId="0" xfId="34" applyNumberFormat="1" applyFont="1" applyFill="1" applyBorder="1" applyAlignment="1" applyProtection="1">
      <alignment/>
      <protection/>
    </xf>
    <xf numFmtId="9" fontId="4" fillId="0" borderId="5" xfId="34" applyNumberFormat="1" applyFont="1" applyFill="1" applyBorder="1" applyAlignment="1" applyProtection="1">
      <alignment/>
      <protection/>
    </xf>
    <xf numFmtId="9" fontId="4" fillId="0" borderId="5" xfId="0" applyNumberFormat="1" applyFont="1" applyFill="1" applyBorder="1" applyAlignment="1" applyProtection="1">
      <alignment/>
      <protection hidden="1"/>
    </xf>
    <xf numFmtId="169" fontId="4" fillId="0" borderId="6" xfId="34" applyNumberFormat="1" applyFont="1" applyFill="1" applyBorder="1" applyAlignment="1" applyProtection="1">
      <alignment/>
      <protection/>
    </xf>
    <xf numFmtId="169" fontId="4" fillId="0" borderId="13" xfId="34" applyNumberFormat="1" applyFont="1" applyFill="1" applyBorder="1" applyAlignment="1" applyProtection="1">
      <alignment/>
      <protection/>
    </xf>
    <xf numFmtId="169" fontId="5" fillId="8" borderId="0" xfId="0" applyNumberFormat="1" applyFont="1" applyFill="1" applyBorder="1" applyAlignment="1" applyProtection="1">
      <alignment/>
      <protection hidden="1"/>
    </xf>
    <xf numFmtId="169" fontId="0" fillId="8" borderId="0" xfId="0" applyNumberFormat="1" applyFill="1" applyAlignment="1">
      <alignment/>
    </xf>
    <xf numFmtId="169" fontId="4" fillId="0" borderId="41" xfId="34" applyNumberFormat="1" applyFont="1" applyFill="1" applyBorder="1" applyAlignment="1" applyProtection="1">
      <alignment/>
      <protection/>
    </xf>
    <xf numFmtId="169" fontId="4" fillId="0" borderId="11" xfId="0" applyNumberFormat="1" applyFont="1" applyFill="1" applyBorder="1" applyAlignment="1" applyProtection="1">
      <alignment/>
      <protection hidden="1"/>
    </xf>
    <xf numFmtId="169" fontId="4" fillId="0" borderId="11" xfId="0" applyNumberFormat="1" applyFont="1" applyFill="1" applyBorder="1" applyAlignment="1" applyProtection="1">
      <alignment/>
      <protection hidden="1"/>
    </xf>
    <xf numFmtId="169" fontId="4" fillId="0" borderId="0" xfId="0" applyNumberFormat="1" applyFont="1" applyFill="1" applyBorder="1" applyAlignment="1" applyProtection="1">
      <alignment/>
      <protection hidden="1"/>
    </xf>
    <xf numFmtId="169" fontId="4" fillId="0" borderId="7" xfId="34" applyNumberFormat="1" applyFont="1" applyFill="1" applyBorder="1" applyAlignment="1" applyProtection="1">
      <alignment/>
      <protection/>
    </xf>
    <xf numFmtId="169" fontId="4" fillId="3" borderId="6" xfId="0" applyNumberFormat="1" applyFont="1" applyFill="1" applyBorder="1" applyAlignment="1" applyProtection="1">
      <alignment/>
      <protection hidden="1"/>
    </xf>
    <xf numFmtId="170" fontId="5" fillId="3" borderId="6" xfId="0" applyNumberFormat="1" applyFont="1" applyFill="1" applyBorder="1" applyAlignment="1" applyProtection="1">
      <alignment/>
      <protection/>
    </xf>
    <xf numFmtId="171" fontId="5" fillId="3" borderId="6" xfId="0" applyNumberFormat="1" applyFont="1" applyFill="1" applyBorder="1" applyAlignment="1" applyProtection="1">
      <alignment/>
      <protection/>
    </xf>
    <xf numFmtId="0" fontId="4" fillId="3" borderId="7" xfId="0" applyFont="1" applyFill="1" applyBorder="1" applyAlignment="1" applyProtection="1">
      <alignment horizontal="center"/>
      <protection hidden="1"/>
    </xf>
    <xf numFmtId="0" fontId="4" fillId="3" borderId="8" xfId="0" applyFont="1" applyFill="1" applyBorder="1" applyAlignment="1" applyProtection="1">
      <alignment horizontal="center"/>
      <protection hidden="1"/>
    </xf>
    <xf numFmtId="169" fontId="4" fillId="0" borderId="13" xfId="0" applyNumberFormat="1" applyFont="1" applyFill="1" applyBorder="1" applyAlignment="1" applyProtection="1">
      <alignment horizontal="center"/>
      <protection locked="0"/>
    </xf>
    <xf numFmtId="0" fontId="4" fillId="0" borderId="0" xfId="0" applyFont="1" applyFill="1" applyAlignment="1" applyProtection="1">
      <alignment/>
      <protection/>
    </xf>
    <xf numFmtId="0" fontId="5" fillId="0" borderId="0" xfId="0" applyNumberFormat="1" applyFont="1" applyFill="1" applyBorder="1" applyAlignment="1" applyProtection="1">
      <alignment horizontal="left" shrinkToFit="1"/>
      <protection hidden="1"/>
    </xf>
    <xf numFmtId="37" fontId="5" fillId="0" borderId="0" xfId="0" applyNumberFormat="1" applyFont="1" applyFill="1" applyBorder="1" applyAlignment="1" applyProtection="1">
      <alignment/>
      <protection hidden="1"/>
    </xf>
    <xf numFmtId="171" fontId="5" fillId="0" borderId="0" xfId="34" applyNumberFormat="1" applyFont="1" applyFill="1" applyBorder="1" applyAlignment="1" applyProtection="1">
      <alignment/>
      <protection/>
    </xf>
    <xf numFmtId="1" fontId="4" fillId="0" borderId="6" xfId="0" applyNumberFormat="1" applyFont="1" applyBorder="1" applyAlignment="1" applyProtection="1">
      <alignment/>
      <protection hidden="1"/>
    </xf>
    <xf numFmtId="4" fontId="5" fillId="0" borderId="9" xfId="0" applyNumberFormat="1" applyFont="1" applyFill="1" applyBorder="1" applyAlignment="1" applyProtection="1">
      <alignment horizontal="center" wrapText="1"/>
      <protection hidden="1"/>
    </xf>
    <xf numFmtId="0" fontId="4" fillId="0" borderId="9" xfId="0" applyFont="1" applyBorder="1" applyAlignment="1" applyProtection="1">
      <alignment/>
      <protection hidden="1"/>
    </xf>
    <xf numFmtId="4" fontId="5" fillId="3" borderId="9" xfId="0" applyNumberFormat="1" applyFont="1" applyFill="1" applyBorder="1" applyAlignment="1" applyProtection="1">
      <alignment horizontal="center" wrapText="1"/>
      <protection hidden="1"/>
    </xf>
    <xf numFmtId="0" fontId="5" fillId="3" borderId="9" xfId="0" applyFont="1" applyFill="1" applyBorder="1" applyAlignment="1" applyProtection="1">
      <alignment horizontal="center" wrapText="1"/>
      <protection hidden="1"/>
    </xf>
    <xf numFmtId="0" fontId="0" fillId="3" borderId="9" xfId="0" applyFill="1" applyBorder="1" applyAlignment="1" applyProtection="1">
      <alignment/>
      <protection hidden="1"/>
    </xf>
    <xf numFmtId="0" fontId="0" fillId="0" borderId="0" xfId="0" applyFill="1" applyAlignment="1" applyProtection="1">
      <alignment/>
      <protection hidden="1"/>
    </xf>
    <xf numFmtId="0" fontId="0" fillId="0" borderId="0" xfId="0" applyFont="1" applyAlignment="1" applyProtection="1">
      <alignment/>
      <protection hidden="1"/>
    </xf>
    <xf numFmtId="0" fontId="0" fillId="0" borderId="0" xfId="0" applyFont="1" applyFill="1" applyAlignment="1" applyProtection="1">
      <alignment/>
      <protection hidden="1"/>
    </xf>
    <xf numFmtId="171" fontId="0" fillId="0" borderId="0" xfId="0" applyNumberFormat="1" applyAlignment="1">
      <alignment/>
    </xf>
    <xf numFmtId="0" fontId="0" fillId="0" borderId="19" xfId="0" applyBorder="1" applyAlignment="1">
      <alignment/>
    </xf>
    <xf numFmtId="0" fontId="0" fillId="0" borderId="15" xfId="0" applyBorder="1" applyAlignment="1">
      <alignment/>
    </xf>
    <xf numFmtId="171" fontId="0" fillId="0" borderId="10" xfId="0" applyNumberFormat="1" applyBorder="1" applyAlignment="1">
      <alignment/>
    </xf>
    <xf numFmtId="168" fontId="5" fillId="0" borderId="0" xfId="0" applyNumberFormat="1" applyFont="1" applyAlignment="1" applyProtection="1">
      <alignment/>
      <protection/>
    </xf>
    <xf numFmtId="0" fontId="4" fillId="0" borderId="0" xfId="0" applyFont="1" applyAlignment="1" applyProtection="1">
      <alignment vertical="top" wrapText="1"/>
      <protection/>
    </xf>
    <xf numFmtId="0" fontId="4" fillId="0" borderId="0" xfId="0" applyFont="1" applyAlignment="1" applyProtection="1">
      <alignment vertical="top"/>
      <protection/>
    </xf>
    <xf numFmtId="0" fontId="5" fillId="0" borderId="0" xfId="0" applyNumberFormat="1" applyFont="1" applyAlignment="1" applyProtection="1">
      <alignment horizontal="left"/>
      <protection/>
    </xf>
    <xf numFmtId="0" fontId="5" fillId="0" borderId="0" xfId="0" applyFont="1" applyAlignment="1" applyProtection="1">
      <alignment horizontal="left" vertical="top" wrapText="1"/>
      <protection/>
    </xf>
    <xf numFmtId="0" fontId="5" fillId="0" borderId="0" xfId="0" applyFont="1" applyAlignment="1" applyProtection="1">
      <alignment horizontal="left"/>
      <protection/>
    </xf>
    <xf numFmtId="0" fontId="4" fillId="0" borderId="0" xfId="0" applyFont="1" applyBorder="1" applyAlignment="1">
      <alignment/>
    </xf>
    <xf numFmtId="0" fontId="0" fillId="0" borderId="19" xfId="0" applyFont="1" applyBorder="1" applyAlignment="1">
      <alignment/>
    </xf>
    <xf numFmtId="0" fontId="0" fillId="0" borderId="15" xfId="0" applyBorder="1" applyAlignment="1">
      <alignment/>
    </xf>
    <xf numFmtId="0" fontId="2" fillId="0" borderId="0" xfId="0" applyFont="1" applyBorder="1" applyAlignment="1" applyProtection="1">
      <alignment vertical="top" wrapText="1"/>
      <protection locked="0"/>
    </xf>
    <xf numFmtId="0" fontId="0" fillId="0" borderId="0" xfId="0" applyFill="1" applyBorder="1" applyAlignment="1" applyProtection="1">
      <alignment vertical="top" wrapText="1"/>
      <protection/>
    </xf>
    <xf numFmtId="0" fontId="0" fillId="0" borderId="0" xfId="0" applyFill="1" applyBorder="1" applyAlignment="1" applyProtection="1">
      <alignment vertical="top"/>
      <protection/>
    </xf>
    <xf numFmtId="0" fontId="5" fillId="0" borderId="34" xfId="0" applyFont="1" applyBorder="1" applyAlignment="1" applyProtection="1">
      <alignment/>
      <protection/>
    </xf>
    <xf numFmtId="0" fontId="0" fillId="0" borderId="44" xfId="0" applyBorder="1" applyAlignment="1">
      <alignment/>
    </xf>
    <xf numFmtId="0" fontId="4" fillId="0" borderId="45" xfId="0" applyFont="1" applyBorder="1" applyAlignment="1" applyProtection="1">
      <alignment/>
      <protection/>
    </xf>
    <xf numFmtId="0" fontId="0" fillId="0" borderId="39" xfId="0" applyBorder="1" applyAlignment="1">
      <alignment/>
    </xf>
    <xf numFmtId="0" fontId="4" fillId="0" borderId="29" xfId="0" applyFont="1" applyBorder="1" applyAlignment="1" applyProtection="1">
      <alignment horizontal="center" wrapText="1"/>
      <protection/>
    </xf>
    <xf numFmtId="0" fontId="5" fillId="0" borderId="29" xfId="0" applyFont="1" applyBorder="1" applyAlignment="1" applyProtection="1">
      <alignment horizontal="center" wrapText="1"/>
      <protection/>
    </xf>
    <xf numFmtId="0" fontId="0" fillId="0" borderId="19" xfId="0" applyFont="1" applyBorder="1" applyAlignment="1">
      <alignment/>
    </xf>
    <xf numFmtId="171" fontId="5" fillId="3" borderId="10" xfId="0" applyNumberFormat="1" applyFont="1" applyFill="1" applyBorder="1" applyAlignment="1" applyProtection="1">
      <alignment/>
      <protection/>
    </xf>
    <xf numFmtId="0" fontId="0" fillId="0" borderId="0" xfId="0" applyFont="1" applyFill="1" applyAlignment="1" applyProtection="1">
      <alignment horizontal="right"/>
      <protection hidden="1"/>
    </xf>
    <xf numFmtId="14" fontId="0" fillId="0" borderId="0" xfId="0" applyNumberFormat="1" applyFont="1" applyFill="1" applyAlignment="1" applyProtection="1">
      <alignment horizontal="left"/>
      <protection hidden="1"/>
    </xf>
    <xf numFmtId="171" fontId="7" fillId="8" borderId="14" xfId="34" applyNumberFormat="1" applyFont="1" applyFill="1" applyBorder="1" applyAlignment="1" applyProtection="1">
      <alignment/>
      <protection hidden="1"/>
    </xf>
    <xf numFmtId="171" fontId="4" fillId="0" borderId="13" xfId="0" applyNumberFormat="1" applyFont="1" applyFill="1" applyBorder="1" applyAlignment="1" applyProtection="1">
      <alignment/>
      <protection/>
    </xf>
    <xf numFmtId="171" fontId="4" fillId="0" borderId="10" xfId="0" applyNumberFormat="1" applyFont="1" applyFill="1" applyBorder="1" applyAlignment="1" applyProtection="1">
      <alignment/>
      <protection/>
    </xf>
    <xf numFmtId="0" fontId="1" fillId="0" borderId="0" xfId="18" applyFont="1" applyFill="1" applyAlignment="1" applyProtection="1">
      <alignment/>
      <protection hidden="1"/>
    </xf>
    <xf numFmtId="0" fontId="5" fillId="0" borderId="0" xfId="0" applyNumberFormat="1" applyFont="1" applyAlignment="1" applyProtection="1">
      <alignment horizontal="left" vertical="top"/>
      <protection/>
    </xf>
    <xf numFmtId="171" fontId="5" fillId="0" borderId="0" xfId="34" applyNumberFormat="1" applyFont="1" applyFill="1" applyBorder="1" applyAlignment="1" applyProtection="1">
      <alignment/>
      <protection hidden="1"/>
    </xf>
    <xf numFmtId="4" fontId="5" fillId="0" borderId="0" xfId="34" applyNumberFormat="1" applyFont="1" applyFill="1" applyBorder="1" applyAlignment="1" applyProtection="1">
      <alignment/>
      <protection hidden="1"/>
    </xf>
    <xf numFmtId="0" fontId="1" fillId="0" borderId="0" xfId="0" applyFont="1" applyAlignment="1">
      <alignment/>
    </xf>
    <xf numFmtId="3" fontId="4" fillId="0" borderId="7" xfId="34" applyNumberFormat="1" applyFont="1" applyFill="1" applyBorder="1" applyAlignment="1" applyProtection="1">
      <alignment/>
      <protection locked="0"/>
    </xf>
    <xf numFmtId="0" fontId="0" fillId="3" borderId="9" xfId="0" applyFill="1" applyBorder="1" applyAlignment="1">
      <alignment/>
    </xf>
    <xf numFmtId="0" fontId="5" fillId="0" borderId="18" xfId="0" applyFont="1" applyFill="1" applyBorder="1" applyAlignment="1" applyProtection="1">
      <alignment horizontal="center"/>
      <protection hidden="1"/>
    </xf>
    <xf numFmtId="0" fontId="0" fillId="0" borderId="0" xfId="0" applyBorder="1" applyAlignment="1">
      <alignment horizontal="center"/>
    </xf>
    <xf numFmtId="171" fontId="4" fillId="0" borderId="13" xfId="0" applyNumberFormat="1" applyFont="1" applyFill="1" applyBorder="1" applyAlignment="1" applyProtection="1">
      <alignment/>
      <protection locked="0"/>
    </xf>
    <xf numFmtId="9" fontId="0" fillId="0" borderId="0" xfId="0" applyNumberFormat="1" applyBorder="1" applyAlignment="1">
      <alignment/>
    </xf>
    <xf numFmtId="0" fontId="0" fillId="3" borderId="46" xfId="0" applyFill="1" applyBorder="1" applyAlignment="1">
      <alignment horizontal="center"/>
    </xf>
    <xf numFmtId="0" fontId="0" fillId="3" borderId="42" xfId="0" applyFill="1" applyBorder="1" applyAlignment="1">
      <alignment horizontal="center"/>
    </xf>
    <xf numFmtId="0" fontId="5" fillId="3" borderId="6" xfId="0" applyFont="1" applyFill="1" applyBorder="1" applyAlignment="1" applyProtection="1">
      <alignment horizontal="center"/>
      <protection hidden="1"/>
    </xf>
    <xf numFmtId="171" fontId="4" fillId="0" borderId="13" xfId="0" applyNumberFormat="1" applyFont="1" applyFill="1" applyBorder="1" applyAlignment="1" applyProtection="1">
      <alignment horizontal="center"/>
      <protection/>
    </xf>
    <xf numFmtId="176" fontId="4" fillId="0" borderId="9" xfId="0" applyNumberFormat="1" applyFont="1" applyBorder="1" applyAlignment="1" applyProtection="1">
      <alignment horizontal="right"/>
      <protection locked="0"/>
    </xf>
    <xf numFmtId="0" fontId="0" fillId="3" borderId="7" xfId="0" applyFill="1" applyBorder="1" applyAlignment="1">
      <alignment/>
    </xf>
    <xf numFmtId="0" fontId="0" fillId="3" borderId="8" xfId="0" applyFill="1" applyBorder="1" applyAlignment="1">
      <alignment/>
    </xf>
    <xf numFmtId="0" fontId="0" fillId="0" borderId="0" xfId="0" applyAlignment="1">
      <alignment horizontal="center"/>
    </xf>
    <xf numFmtId="0" fontId="0" fillId="3" borderId="7" xfId="0" applyFill="1" applyBorder="1" applyAlignment="1">
      <alignment horizontal="center"/>
    </xf>
    <xf numFmtId="0" fontId="0" fillId="3" borderId="8" xfId="0" applyFill="1" applyBorder="1" applyAlignment="1">
      <alignment horizontal="center"/>
    </xf>
    <xf numFmtId="0" fontId="0" fillId="0" borderId="6" xfId="0" applyBorder="1" applyAlignment="1">
      <alignment/>
    </xf>
    <xf numFmtId="3" fontId="0" fillId="0" borderId="6" xfId="0" applyNumberFormat="1" applyBorder="1" applyAlignment="1">
      <alignment/>
    </xf>
    <xf numFmtId="0" fontId="4" fillId="0" borderId="0" xfId="0" applyFont="1" applyAlignment="1">
      <alignment/>
    </xf>
    <xf numFmtId="0" fontId="4" fillId="8" borderId="5" xfId="0" applyFont="1" applyFill="1" applyBorder="1" applyAlignment="1" applyProtection="1">
      <alignment/>
      <protection hidden="1"/>
    </xf>
    <xf numFmtId="0" fontId="4" fillId="8" borderId="0" xfId="0" applyFont="1" applyFill="1" applyBorder="1" applyAlignment="1" applyProtection="1">
      <alignment/>
      <protection hidden="1"/>
    </xf>
    <xf numFmtId="0" fontId="4" fillId="8" borderId="0" xfId="0" applyFont="1" applyFill="1" applyBorder="1" applyAlignment="1" applyProtection="1">
      <alignment/>
      <protection hidden="1"/>
    </xf>
    <xf numFmtId="171" fontId="4" fillId="0" borderId="0" xfId="0" applyNumberFormat="1" applyFont="1" applyFill="1" applyBorder="1" applyAlignment="1" applyProtection="1">
      <alignment/>
      <protection locked="0"/>
    </xf>
    <xf numFmtId="4" fontId="5" fillId="0" borderId="17" xfId="0" applyNumberFormat="1" applyFont="1" applyFill="1" applyBorder="1" applyAlignment="1" applyProtection="1">
      <alignment horizontal="center" wrapText="1"/>
      <protection hidden="1"/>
    </xf>
    <xf numFmtId="0" fontId="4" fillId="0" borderId="11" xfId="0" applyFont="1" applyBorder="1" applyAlignment="1">
      <alignment/>
    </xf>
    <xf numFmtId="0" fontId="5" fillId="0" borderId="12" xfId="0" applyFont="1" applyFill="1" applyBorder="1" applyAlignment="1" applyProtection="1">
      <alignment horizontal="center" wrapText="1"/>
      <protection hidden="1"/>
    </xf>
    <xf numFmtId="0" fontId="5" fillId="0" borderId="14" xfId="0" applyFont="1" applyFill="1" applyBorder="1" applyAlignment="1" applyProtection="1">
      <alignment horizontal="center" wrapText="1"/>
      <protection hidden="1"/>
    </xf>
    <xf numFmtId="0" fontId="4" fillId="0" borderId="17" xfId="0" applyFont="1" applyBorder="1" applyAlignment="1">
      <alignment/>
    </xf>
    <xf numFmtId="0" fontId="5" fillId="0" borderId="46" xfId="0" applyFont="1" applyFill="1" applyBorder="1" applyAlignment="1" applyProtection="1">
      <alignment horizontal="center" wrapText="1"/>
      <protection hidden="1"/>
    </xf>
    <xf numFmtId="0" fontId="5" fillId="0" borderId="17" xfId="0" applyFont="1" applyFill="1" applyBorder="1" applyAlignment="1" applyProtection="1">
      <alignment horizontal="center" wrapText="1"/>
      <protection hidden="1"/>
    </xf>
    <xf numFmtId="0" fontId="0" fillId="0" borderId="17" xfId="0" applyBorder="1" applyAlignment="1" applyProtection="1">
      <alignment/>
      <protection hidden="1"/>
    </xf>
    <xf numFmtId="171" fontId="5" fillId="8" borderId="6" xfId="0" applyNumberFormat="1" applyFont="1" applyFill="1" applyBorder="1" applyAlignment="1" applyProtection="1">
      <alignment/>
      <protection/>
    </xf>
    <xf numFmtId="0" fontId="4" fillId="0" borderId="46" xfId="0" applyFont="1" applyFill="1" applyBorder="1" applyAlignment="1" applyProtection="1">
      <alignment/>
      <protection hidden="1"/>
    </xf>
    <xf numFmtId="4" fontId="0" fillId="0" borderId="6" xfId="0" applyNumberFormat="1" applyBorder="1" applyAlignment="1">
      <alignment/>
    </xf>
    <xf numFmtId="4" fontId="4" fillId="0" borderId="6" xfId="0" applyNumberFormat="1" applyFont="1" applyFill="1" applyBorder="1" applyAlignment="1" applyProtection="1">
      <alignment/>
      <protection hidden="1"/>
    </xf>
    <xf numFmtId="0" fontId="0" fillId="0" borderId="0" xfId="0" applyFont="1" applyAlignment="1">
      <alignment/>
    </xf>
    <xf numFmtId="0" fontId="4" fillId="0" borderId="12" xfId="0" applyFont="1" applyFill="1" applyBorder="1" applyAlignment="1" applyProtection="1">
      <alignment horizontal="right"/>
      <protection hidden="1"/>
    </xf>
    <xf numFmtId="0" fontId="4" fillId="3" borderId="9" xfId="0" applyFont="1" applyFill="1" applyBorder="1" applyAlignment="1" applyProtection="1">
      <alignment horizontal="right"/>
      <protection hidden="1"/>
    </xf>
    <xf numFmtId="4" fontId="0" fillId="0" borderId="0" xfId="0" applyNumberFormat="1" applyBorder="1" applyAlignment="1">
      <alignment/>
    </xf>
    <xf numFmtId="0" fontId="4" fillId="0" borderId="41" xfId="0" applyFont="1" applyFill="1" applyBorder="1" applyAlignment="1" applyProtection="1">
      <alignment/>
      <protection hidden="1"/>
    </xf>
    <xf numFmtId="0" fontId="0" fillId="0" borderId="11" xfId="0" applyBorder="1" applyAlignment="1">
      <alignment/>
    </xf>
    <xf numFmtId="0" fontId="4" fillId="0" borderId="42" xfId="0" applyFont="1" applyFill="1" applyBorder="1" applyAlignment="1" applyProtection="1">
      <alignment/>
      <protection/>
    </xf>
    <xf numFmtId="0" fontId="0" fillId="0" borderId="17" xfId="0" applyBorder="1" applyAlignment="1">
      <alignment/>
    </xf>
    <xf numFmtId="0" fontId="0" fillId="0" borderId="46" xfId="0" applyBorder="1" applyAlignment="1">
      <alignment/>
    </xf>
    <xf numFmtId="0" fontId="0" fillId="3" borderId="9" xfId="0" applyFill="1" applyBorder="1" applyAlignment="1">
      <alignment/>
    </xf>
    <xf numFmtId="0" fontId="0" fillId="0" borderId="0" xfId="0" applyFont="1" applyAlignment="1">
      <alignment/>
    </xf>
    <xf numFmtId="0" fontId="0" fillId="0" borderId="0" xfId="0" applyFont="1" applyBorder="1" applyAlignment="1" applyProtection="1">
      <alignment/>
      <protection hidden="1"/>
    </xf>
    <xf numFmtId="0" fontId="5" fillId="0" borderId="0" xfId="0" applyFont="1" applyAlignment="1" applyProtection="1">
      <alignment horizontal="justify" vertical="top" wrapText="1"/>
      <protection/>
    </xf>
    <xf numFmtId="0" fontId="5" fillId="0" borderId="10" xfId="0" applyFont="1" applyFill="1" applyBorder="1" applyAlignment="1" applyProtection="1">
      <alignment horizontal="center"/>
      <protection hidden="1"/>
    </xf>
    <xf numFmtId="0" fontId="4" fillId="0" borderId="10" xfId="0" applyFont="1" applyFill="1" applyBorder="1" applyAlignment="1" applyProtection="1">
      <alignment horizontal="left"/>
      <protection hidden="1"/>
    </xf>
    <xf numFmtId="0" fontId="4" fillId="0" borderId="12" xfId="0" applyFont="1" applyFill="1" applyBorder="1" applyAlignment="1" applyProtection="1">
      <alignment horizontal="left"/>
      <protection hidden="1"/>
    </xf>
    <xf numFmtId="0" fontId="4" fillId="0" borderId="29" xfId="0" applyFont="1" applyBorder="1" applyAlignment="1" applyProtection="1">
      <alignment vertical="center"/>
      <protection/>
    </xf>
    <xf numFmtId="0" fontId="8" fillId="0" borderId="0" xfId="0" applyFont="1" applyAlignment="1">
      <alignment/>
    </xf>
    <xf numFmtId="0" fontId="0" fillId="3" borderId="47" xfId="0" applyFill="1" applyBorder="1" applyAlignment="1">
      <alignment/>
    </xf>
    <xf numFmtId="0" fontId="0" fillId="3" borderId="2" xfId="0" applyFill="1" applyBorder="1" applyAlignment="1">
      <alignment/>
    </xf>
    <xf numFmtId="0" fontId="0" fillId="7" borderId="6" xfId="0" applyFill="1" applyBorder="1" applyAlignment="1">
      <alignment/>
    </xf>
    <xf numFmtId="0" fontId="4" fillId="0" borderId="9" xfId="0" applyFont="1" applyFill="1" applyBorder="1" applyAlignment="1" applyProtection="1">
      <alignment horizontal="right"/>
      <protection hidden="1"/>
    </xf>
    <xf numFmtId="0" fontId="4" fillId="0" borderId="10" xfId="0" applyFont="1" applyBorder="1" applyAlignment="1">
      <alignment/>
    </xf>
    <xf numFmtId="0" fontId="5" fillId="7" borderId="13" xfId="0" applyFont="1" applyFill="1" applyBorder="1" applyAlignment="1" applyProtection="1">
      <alignment/>
      <protection hidden="1"/>
    </xf>
    <xf numFmtId="0" fontId="5" fillId="7" borderId="9" xfId="0" applyFont="1" applyFill="1" applyBorder="1" applyAlignment="1" applyProtection="1">
      <alignment/>
      <protection hidden="1"/>
    </xf>
    <xf numFmtId="0" fontId="21" fillId="0" borderId="0" xfId="0" applyFont="1" applyBorder="1" applyAlignment="1">
      <alignment horizontal="left"/>
    </xf>
    <xf numFmtId="0" fontId="0" fillId="0" borderId="0" xfId="0" applyBorder="1" applyAlignment="1" applyProtection="1">
      <alignment/>
      <protection locked="0"/>
    </xf>
    <xf numFmtId="0" fontId="0" fillId="0" borderId="0" xfId="0" applyNumberFormat="1" applyFont="1" applyFill="1" applyBorder="1" applyAlignment="1">
      <alignment/>
    </xf>
    <xf numFmtId="0" fontId="5" fillId="0" borderId="3" xfId="0" applyNumberFormat="1" applyFont="1" applyFill="1" applyBorder="1" applyAlignment="1" applyProtection="1">
      <alignment horizontal="center" vertical="top"/>
      <protection locked="0"/>
    </xf>
    <xf numFmtId="0" fontId="4" fillId="0" borderId="15" xfId="0" applyNumberFormat="1" applyFont="1" applyBorder="1" applyAlignment="1" applyProtection="1">
      <alignment horizontal="left" vertical="center"/>
      <protection/>
    </xf>
    <xf numFmtId="0" fontId="4" fillId="0" borderId="15" xfId="0" applyFont="1" applyBorder="1" applyAlignment="1" applyProtection="1">
      <alignment horizontal="left" vertical="center"/>
      <protection/>
    </xf>
    <xf numFmtId="0" fontId="5" fillId="0" borderId="15" xfId="0" applyNumberFormat="1" applyFont="1" applyBorder="1" applyAlignment="1" applyProtection="1">
      <alignment vertical="center"/>
      <protection/>
    </xf>
    <xf numFmtId="0" fontId="4" fillId="0" borderId="15" xfId="0" applyNumberFormat="1" applyFont="1" applyBorder="1" applyAlignment="1" applyProtection="1">
      <alignment horizontal="center" vertical="center"/>
      <protection/>
    </xf>
    <xf numFmtId="0" fontId="4" fillId="0" borderId="0" xfId="0" applyNumberFormat="1" applyFont="1" applyBorder="1" applyAlignment="1" applyProtection="1">
      <alignment vertical="center"/>
      <protection/>
    </xf>
    <xf numFmtId="0" fontId="4" fillId="0" borderId="0" xfId="0" applyFont="1" applyFill="1" applyBorder="1" applyAlignment="1" applyProtection="1">
      <alignment vertical="center"/>
      <protection/>
    </xf>
    <xf numFmtId="0" fontId="13" fillId="0" borderId="0" xfId="0" applyFont="1" applyFill="1" applyBorder="1" applyAlignment="1" applyProtection="1">
      <alignment horizontal="left"/>
      <protection hidden="1"/>
    </xf>
    <xf numFmtId="0" fontId="0" fillId="0" borderId="0" xfId="0" applyNumberFormat="1" applyFont="1" applyBorder="1" applyAlignment="1">
      <alignment/>
    </xf>
    <xf numFmtId="0" fontId="8" fillId="0" borderId="0" xfId="0" applyFont="1" applyFill="1" applyBorder="1" applyAlignment="1" applyProtection="1">
      <alignment horizontal="left" vertical="center"/>
      <protection hidden="1"/>
    </xf>
    <xf numFmtId="0" fontId="4" fillId="0" borderId="0" xfId="0" applyFont="1" applyFill="1" applyBorder="1" applyAlignment="1" applyProtection="1">
      <alignment horizontal="left"/>
      <protection hidden="1"/>
    </xf>
    <xf numFmtId="180" fontId="4" fillId="0" borderId="0" xfId="0" applyNumberFormat="1" applyFont="1" applyFill="1" applyBorder="1" applyAlignment="1" applyProtection="1">
      <alignment horizontal="left" vertical="center"/>
      <protection hidden="1"/>
    </xf>
    <xf numFmtId="0" fontId="7" fillId="0" borderId="0" xfId="0" applyFont="1" applyFill="1" applyBorder="1" applyAlignment="1" applyProtection="1">
      <alignment vertical="center"/>
      <protection hidden="1"/>
    </xf>
    <xf numFmtId="4" fontId="7" fillId="0" borderId="0" xfId="0" applyNumberFormat="1" applyFont="1" applyFill="1" applyBorder="1" applyAlignment="1" applyProtection="1">
      <alignment/>
      <protection hidden="1"/>
    </xf>
    <xf numFmtId="0" fontId="2" fillId="0" borderId="0" xfId="0" applyNumberFormat="1" applyFont="1" applyFill="1" applyBorder="1" applyAlignment="1" applyProtection="1">
      <alignment vertical="center"/>
      <protection hidden="1"/>
    </xf>
    <xf numFmtId="0" fontId="1" fillId="0" borderId="0" xfId="0" applyFont="1" applyBorder="1" applyAlignment="1">
      <alignment horizontal="left"/>
    </xf>
    <xf numFmtId="0" fontId="2" fillId="0" borderId="0" xfId="0" applyFont="1" applyBorder="1" applyAlignment="1" applyProtection="1">
      <alignment horizontal="left" vertical="top" wrapText="1"/>
      <protection hidden="1" locked="0"/>
    </xf>
    <xf numFmtId="0" fontId="2" fillId="0" borderId="19" xfId="0" applyFont="1" applyBorder="1" applyAlignment="1" applyProtection="1">
      <alignment horizontal="left" vertical="top" wrapText="1"/>
      <protection hidden="1" locked="0"/>
    </xf>
    <xf numFmtId="0" fontId="0" fillId="0" borderId="15" xfId="0" applyFont="1" applyBorder="1" applyAlignment="1" applyProtection="1">
      <alignment vertical="top"/>
      <protection hidden="1"/>
    </xf>
    <xf numFmtId="0" fontId="1" fillId="0" borderId="15" xfId="0" applyFont="1" applyBorder="1" applyAlignment="1" applyProtection="1">
      <alignment vertical="top"/>
      <protection hidden="1"/>
    </xf>
    <xf numFmtId="0" fontId="4" fillId="0" borderId="16" xfId="0" applyFont="1" applyBorder="1" applyAlignment="1" applyProtection="1">
      <alignment vertical="top"/>
      <protection hidden="1"/>
    </xf>
    <xf numFmtId="0" fontId="4" fillId="0" borderId="19" xfId="0" applyFont="1" applyFill="1" applyBorder="1" applyAlignment="1" applyProtection="1">
      <alignment vertical="center"/>
      <protection hidden="1"/>
    </xf>
    <xf numFmtId="0" fontId="25" fillId="0" borderId="0" xfId="0" applyFont="1" applyFill="1" applyBorder="1" applyAlignment="1" applyProtection="1">
      <alignment horizontal="left"/>
      <protection hidden="1"/>
    </xf>
    <xf numFmtId="0" fontId="25" fillId="0" borderId="0" xfId="0" applyFont="1" applyBorder="1" applyAlignment="1">
      <alignment horizontal="left"/>
    </xf>
    <xf numFmtId="0" fontId="0" fillId="0" borderId="0" xfId="0" applyBorder="1" applyAlignment="1">
      <alignment horizontal="left"/>
    </xf>
    <xf numFmtId="0" fontId="0" fillId="0" borderId="17" xfId="0" applyBorder="1" applyAlignment="1">
      <alignment horizontal="left"/>
    </xf>
    <xf numFmtId="0" fontId="4" fillId="0" borderId="17" xfId="0" applyFont="1" applyBorder="1" applyAlignment="1">
      <alignment horizontal="center"/>
    </xf>
    <xf numFmtId="3" fontId="4" fillId="0" borderId="17" xfId="0" applyNumberFormat="1" applyFont="1" applyBorder="1" applyAlignment="1">
      <alignment horizontal="center"/>
    </xf>
    <xf numFmtId="0" fontId="4" fillId="0" borderId="14" xfId="0" applyFont="1" applyFill="1" applyBorder="1" applyAlignment="1" applyProtection="1">
      <alignment horizontal="left"/>
      <protection hidden="1"/>
    </xf>
    <xf numFmtId="0" fontId="5" fillId="3" borderId="41" xfId="0" applyFont="1" applyFill="1" applyBorder="1" applyAlignment="1">
      <alignment horizontal="left"/>
    </xf>
    <xf numFmtId="0" fontId="5" fillId="3" borderId="11" xfId="0" applyFont="1" applyFill="1" applyBorder="1" applyAlignment="1" applyProtection="1">
      <alignment horizontal="center"/>
      <protection hidden="1"/>
    </xf>
    <xf numFmtId="3" fontId="5" fillId="3" borderId="7" xfId="0" applyNumberFormat="1" applyFont="1" applyFill="1" applyBorder="1" applyAlignment="1" applyProtection="1">
      <alignment horizontal="center"/>
      <protection hidden="1"/>
    </xf>
    <xf numFmtId="0" fontId="5" fillId="3" borderId="5" xfId="0" applyFont="1" applyFill="1" applyBorder="1" applyAlignment="1">
      <alignment horizontal="left"/>
    </xf>
    <xf numFmtId="0" fontId="5" fillId="3" borderId="43" xfId="0" applyFont="1" applyFill="1" applyBorder="1" applyAlignment="1" applyProtection="1">
      <alignment horizontal="left" wrapText="1"/>
      <protection hidden="1"/>
    </xf>
    <xf numFmtId="0" fontId="5" fillId="3" borderId="0" xfId="0" applyFont="1" applyFill="1" applyBorder="1" applyAlignment="1" applyProtection="1">
      <alignment horizontal="center" wrapText="1"/>
      <protection hidden="1"/>
    </xf>
    <xf numFmtId="0" fontId="5" fillId="3" borderId="43" xfId="0" applyFont="1" applyFill="1" applyBorder="1" applyAlignment="1" applyProtection="1">
      <alignment horizontal="center" wrapText="1"/>
      <protection hidden="1"/>
    </xf>
    <xf numFmtId="3" fontId="5" fillId="3" borderId="43" xfId="0" applyNumberFormat="1" applyFont="1" applyFill="1" applyBorder="1" applyAlignment="1" applyProtection="1">
      <alignment horizontal="center" wrapText="1"/>
      <protection hidden="1"/>
    </xf>
    <xf numFmtId="0" fontId="5" fillId="3" borderId="43" xfId="0" applyFont="1" applyFill="1" applyBorder="1" applyAlignment="1" applyProtection="1">
      <alignment horizontal="center"/>
      <protection hidden="1"/>
    </xf>
    <xf numFmtId="0" fontId="5" fillId="3" borderId="0" xfId="0" applyFont="1" applyFill="1" applyBorder="1" applyAlignment="1" applyProtection="1">
      <alignment horizontal="left" wrapText="1"/>
      <protection hidden="1"/>
    </xf>
    <xf numFmtId="0" fontId="5" fillId="3" borderId="42" xfId="0" applyFont="1" applyFill="1" applyBorder="1" applyAlignment="1">
      <alignment horizontal="left"/>
    </xf>
    <xf numFmtId="0" fontId="5" fillId="3" borderId="8" xfId="0" applyFont="1" applyFill="1" applyBorder="1" applyAlignment="1" applyProtection="1">
      <alignment horizontal="left" wrapText="1"/>
      <protection hidden="1"/>
    </xf>
    <xf numFmtId="0" fontId="5" fillId="3" borderId="17" xfId="0" applyFont="1" applyFill="1" applyBorder="1" applyAlignment="1" applyProtection="1">
      <alignment horizontal="left" wrapText="1"/>
      <protection hidden="1"/>
    </xf>
    <xf numFmtId="1" fontId="5" fillId="3" borderId="8" xfId="0" applyNumberFormat="1" applyFont="1" applyFill="1" applyBorder="1" applyAlignment="1" applyProtection="1">
      <alignment horizontal="center" wrapText="1"/>
      <protection hidden="1"/>
    </xf>
    <xf numFmtId="0" fontId="16" fillId="0" borderId="0" xfId="0" applyFont="1" applyFill="1" applyBorder="1" applyAlignment="1" applyProtection="1">
      <alignment/>
      <protection hidden="1"/>
    </xf>
    <xf numFmtId="0" fontId="5" fillId="0" borderId="17" xfId="0" applyFont="1" applyFill="1" applyBorder="1" applyAlignment="1" applyProtection="1">
      <alignment horizontal="left"/>
      <protection hidden="1"/>
    </xf>
    <xf numFmtId="0" fontId="5" fillId="0" borderId="17" xfId="0" applyFont="1" applyFill="1" applyBorder="1" applyAlignment="1" applyProtection="1">
      <alignment horizontal="center"/>
      <protection hidden="1"/>
    </xf>
    <xf numFmtId="16" fontId="1" fillId="0" borderId="17" xfId="0" applyNumberFormat="1" applyFont="1" applyBorder="1" applyAlignment="1">
      <alignment horizontal="center"/>
    </xf>
    <xf numFmtId="0" fontId="1" fillId="0" borderId="17" xfId="0" applyFont="1" applyFill="1" applyBorder="1" applyAlignment="1" applyProtection="1">
      <alignment horizontal="center"/>
      <protection hidden="1"/>
    </xf>
    <xf numFmtId="3" fontId="1" fillId="0" borderId="17" xfId="0" applyNumberFormat="1" applyFont="1" applyFill="1" applyBorder="1" applyAlignment="1" applyProtection="1">
      <alignment horizontal="center"/>
      <protection hidden="1"/>
    </xf>
    <xf numFmtId="0" fontId="5" fillId="0" borderId="17" xfId="0" applyFont="1" applyFill="1" applyBorder="1" applyAlignment="1" applyProtection="1">
      <alignment/>
      <protection hidden="1"/>
    </xf>
    <xf numFmtId="0" fontId="4" fillId="0" borderId="6" xfId="0" applyFont="1" applyFill="1" applyBorder="1" applyAlignment="1" applyProtection="1">
      <alignment horizontal="left"/>
      <protection hidden="1"/>
    </xf>
    <xf numFmtId="37" fontId="4" fillId="0" borderId="6" xfId="0" applyNumberFormat="1" applyFont="1" applyFill="1" applyBorder="1" applyAlignment="1" applyProtection="1">
      <alignment horizontal="left"/>
      <protection hidden="1"/>
    </xf>
    <xf numFmtId="0" fontId="4" fillId="0" borderId="6" xfId="0" applyFont="1" applyBorder="1" applyAlignment="1">
      <alignment horizontal="left"/>
    </xf>
    <xf numFmtId="0" fontId="5" fillId="0" borderId="6" xfId="0" applyFont="1" applyBorder="1" applyAlignment="1">
      <alignment horizontal="center"/>
    </xf>
    <xf numFmtId="3" fontId="0" fillId="0" borderId="6" xfId="0" applyNumberFormat="1" applyFont="1" applyBorder="1" applyAlignment="1" applyProtection="1">
      <alignment/>
      <protection locked="0"/>
    </xf>
    <xf numFmtId="3" fontId="0" fillId="0" borderId="6" xfId="0" applyNumberFormat="1" applyFont="1" applyBorder="1" applyAlignment="1">
      <alignment/>
    </xf>
    <xf numFmtId="179" fontId="0" fillId="0" borderId="6" xfId="0" applyNumberFormat="1" applyFont="1" applyBorder="1" applyAlignment="1" applyProtection="1">
      <alignment/>
      <protection locked="0"/>
    </xf>
    <xf numFmtId="0" fontId="0" fillId="0" borderId="43" xfId="0" applyBorder="1" applyAlignment="1">
      <alignment/>
    </xf>
    <xf numFmtId="40" fontId="26" fillId="0" borderId="6" xfId="19" applyNumberFormat="1" applyFont="1" applyBorder="1" applyAlignment="1">
      <alignment vertical="center" wrapText="1"/>
    </xf>
    <xf numFmtId="0" fontId="0" fillId="0" borderId="7" xfId="0" applyNumberFormat="1" applyFont="1" applyFill="1" applyBorder="1" applyAlignment="1" applyProtection="1">
      <alignment/>
      <protection hidden="1"/>
    </xf>
    <xf numFmtId="0" fontId="0" fillId="0" borderId="43" xfId="0" applyNumberFormat="1" applyFont="1" applyFill="1" applyBorder="1" applyAlignment="1" applyProtection="1">
      <alignment/>
      <protection hidden="1"/>
    </xf>
    <xf numFmtId="0" fontId="4" fillId="0" borderId="11" xfId="0" applyFont="1" applyFill="1" applyBorder="1" applyAlignment="1" applyProtection="1">
      <alignment horizontal="left"/>
      <protection hidden="1"/>
    </xf>
    <xf numFmtId="37" fontId="4" fillId="0" borderId="11" xfId="0" applyNumberFormat="1" applyFont="1" applyFill="1" applyBorder="1" applyAlignment="1" applyProtection="1">
      <alignment horizontal="left"/>
      <protection hidden="1"/>
    </xf>
    <xf numFmtId="0" fontId="4" fillId="0" borderId="11" xfId="0" applyFont="1" applyBorder="1" applyAlignment="1">
      <alignment horizontal="left"/>
    </xf>
    <xf numFmtId="3" fontId="0" fillId="0" borderId="11" xfId="0" applyNumberFormat="1" applyFont="1" applyBorder="1" applyAlignment="1">
      <alignment/>
    </xf>
    <xf numFmtId="40" fontId="26" fillId="0" borderId="11" xfId="19" applyNumberFormat="1" applyFont="1" applyBorder="1" applyAlignment="1">
      <alignment vertical="center" wrapText="1"/>
    </xf>
    <xf numFmtId="0" fontId="4" fillId="0" borderId="17" xfId="0" applyFont="1" applyBorder="1" applyAlignment="1">
      <alignment horizontal="left"/>
    </xf>
    <xf numFmtId="3" fontId="0" fillId="0" borderId="17" xfId="0" applyNumberFormat="1" applyFont="1" applyBorder="1" applyAlignment="1">
      <alignment/>
    </xf>
    <xf numFmtId="40" fontId="26" fillId="0" borderId="17" xfId="19" applyNumberFormat="1" applyFont="1" applyBorder="1" applyAlignment="1">
      <alignment vertical="center" wrapText="1"/>
    </xf>
    <xf numFmtId="0" fontId="4" fillId="0" borderId="6" xfId="0" applyFont="1" applyFill="1" applyBorder="1" applyAlignment="1" applyProtection="1">
      <alignment horizontal="left"/>
      <protection/>
    </xf>
    <xf numFmtId="0" fontId="0" fillId="0" borderId="17" xfId="0" applyBorder="1" applyAlignment="1">
      <alignment horizontal="left" wrapText="1"/>
    </xf>
    <xf numFmtId="0" fontId="5" fillId="0" borderId="17" xfId="0" applyFont="1" applyFill="1" applyBorder="1" applyAlignment="1" applyProtection="1">
      <alignment horizontal="left"/>
      <protection/>
    </xf>
    <xf numFmtId="3" fontId="4" fillId="0" borderId="6" xfId="0" applyNumberFormat="1" applyFont="1" applyBorder="1" applyAlignment="1" applyProtection="1">
      <alignment horizontal="left"/>
      <protection/>
    </xf>
    <xf numFmtId="0" fontId="4" fillId="0" borderId="11" xfId="0" applyFont="1" applyFill="1" applyBorder="1" applyAlignment="1" applyProtection="1">
      <alignment horizontal="left"/>
      <protection/>
    </xf>
    <xf numFmtId="0" fontId="4" fillId="0" borderId="17" xfId="0" applyFont="1" applyFill="1" applyBorder="1" applyAlignment="1" applyProtection="1">
      <alignment horizontal="left"/>
      <protection/>
    </xf>
    <xf numFmtId="0" fontId="0" fillId="0" borderId="5" xfId="0" applyBorder="1" applyAlignment="1">
      <alignment/>
    </xf>
    <xf numFmtId="37" fontId="4" fillId="0" borderId="0" xfId="0" applyNumberFormat="1" applyFont="1" applyFill="1" applyBorder="1" applyAlignment="1" applyProtection="1">
      <alignment horizontal="left"/>
      <protection hidden="1"/>
    </xf>
    <xf numFmtId="0" fontId="4" fillId="0" borderId="0" xfId="0" applyFont="1" applyBorder="1" applyAlignment="1">
      <alignment horizontal="left" wrapText="1"/>
    </xf>
    <xf numFmtId="0" fontId="0" fillId="0" borderId="0" xfId="0" applyBorder="1" applyAlignment="1">
      <alignment wrapText="1"/>
    </xf>
    <xf numFmtId="40" fontId="26" fillId="0" borderId="0" xfId="19" applyNumberFormat="1" applyFont="1" applyBorder="1" applyAlignment="1">
      <alignment vertical="center" wrapText="1"/>
    </xf>
    <xf numFmtId="0" fontId="4" fillId="0" borderId="17" xfId="0" applyFont="1" applyBorder="1" applyAlignment="1">
      <alignment horizontal="left" wrapText="1"/>
    </xf>
    <xf numFmtId="40" fontId="26" fillId="0" borderId="6" xfId="19" applyNumberFormat="1" applyFont="1" applyBorder="1" applyAlignment="1">
      <alignment horizontal="right" vertical="center" wrapText="1"/>
    </xf>
    <xf numFmtId="0" fontId="4" fillId="0" borderId="13" xfId="0" applyFont="1" applyBorder="1" applyAlignment="1">
      <alignment wrapText="1"/>
    </xf>
    <xf numFmtId="0" fontId="0" fillId="0" borderId="18" xfId="0" applyBorder="1" applyAlignment="1">
      <alignment/>
    </xf>
    <xf numFmtId="0" fontId="4" fillId="0" borderId="0" xfId="0" applyNumberFormat="1" applyFont="1" applyBorder="1" applyAlignment="1" applyProtection="1">
      <alignment horizontal="left" vertical="center"/>
      <protection/>
    </xf>
    <xf numFmtId="0" fontId="4" fillId="0" borderId="0" xfId="0" applyFont="1" applyBorder="1" applyAlignment="1" applyProtection="1">
      <alignment horizontal="left" vertical="center"/>
      <protection/>
    </xf>
    <xf numFmtId="0" fontId="4" fillId="0" borderId="11" xfId="0" applyFont="1" applyBorder="1" applyAlignment="1">
      <alignment horizontal="left" wrapText="1"/>
    </xf>
    <xf numFmtId="0" fontId="0" fillId="0" borderId="11" xfId="0" applyBorder="1" applyAlignment="1">
      <alignment horizontal="left" wrapText="1"/>
    </xf>
    <xf numFmtId="0" fontId="0" fillId="0" borderId="0" xfId="0" applyFont="1" applyFill="1" applyBorder="1" applyAlignment="1" applyProtection="1">
      <alignment/>
      <protection hidden="1"/>
    </xf>
    <xf numFmtId="0" fontId="25" fillId="0" borderId="17" xfId="0" applyFont="1" applyBorder="1" applyAlignment="1">
      <alignment horizontal="left"/>
    </xf>
    <xf numFmtId="0" fontId="13" fillId="0" borderId="17" xfId="0" applyFont="1" applyFill="1" applyBorder="1" applyAlignment="1" applyProtection="1">
      <alignment horizontal="left"/>
      <protection hidden="1"/>
    </xf>
    <xf numFmtId="0" fontId="4" fillId="0" borderId="6" xfId="0" applyFont="1" applyBorder="1" applyAlignment="1">
      <alignment horizontal="left" wrapText="1"/>
    </xf>
    <xf numFmtId="0" fontId="16" fillId="0" borderId="0" xfId="0" applyFont="1" applyFill="1" applyBorder="1" applyAlignment="1" applyProtection="1">
      <alignment/>
      <protection locked="0"/>
    </xf>
    <xf numFmtId="0" fontId="7" fillId="0" borderId="0" xfId="0" applyFont="1" applyFill="1" applyBorder="1" applyAlignment="1" applyProtection="1">
      <alignment vertical="center"/>
      <protection/>
    </xf>
    <xf numFmtId="0" fontId="0" fillId="0" borderId="0" xfId="0" applyBorder="1" applyAlignment="1">
      <alignment horizontal="left" wrapText="1"/>
    </xf>
    <xf numFmtId="3" fontId="0" fillId="0" borderId="0" xfId="0" applyNumberFormat="1" applyFont="1" applyBorder="1" applyAlignment="1">
      <alignment/>
    </xf>
    <xf numFmtId="0" fontId="0" fillId="0" borderId="6" xfId="0" applyBorder="1" applyAlignment="1">
      <alignment horizontal="left" wrapText="1"/>
    </xf>
    <xf numFmtId="0" fontId="4" fillId="3" borderId="6" xfId="0" applyFont="1" applyFill="1" applyBorder="1" applyAlignment="1" applyProtection="1">
      <alignment horizontal="left"/>
      <protection hidden="1"/>
    </xf>
    <xf numFmtId="171" fontId="1" fillId="3" borderId="9" xfId="0" applyNumberFormat="1" applyFont="1" applyFill="1" applyBorder="1" applyAlignment="1" applyProtection="1">
      <alignment/>
      <protection/>
    </xf>
    <xf numFmtId="3" fontId="0" fillId="3" borderId="9" xfId="0" applyNumberFormat="1" applyFont="1" applyFill="1" applyBorder="1" applyAlignment="1">
      <alignment/>
    </xf>
    <xf numFmtId="171" fontId="1" fillId="3" borderId="10" xfId="0" applyNumberFormat="1" applyFont="1" applyFill="1" applyBorder="1" applyAlignment="1" applyProtection="1">
      <alignment/>
      <protection/>
    </xf>
    <xf numFmtId="3" fontId="1" fillId="3" borderId="6" xfId="0" applyNumberFormat="1" applyFont="1" applyFill="1" applyBorder="1" applyAlignment="1" applyProtection="1">
      <alignment horizontal="right"/>
      <protection/>
    </xf>
    <xf numFmtId="0" fontId="0" fillId="0" borderId="0" xfId="0" applyNumberFormat="1" applyFont="1" applyFill="1" applyBorder="1" applyAlignment="1">
      <alignment/>
    </xf>
    <xf numFmtId="179" fontId="26" fillId="0" borderId="6" xfId="0" applyNumberFormat="1" applyFont="1" applyFill="1" applyBorder="1" applyAlignment="1" applyProtection="1">
      <alignment/>
      <protection/>
    </xf>
    <xf numFmtId="0" fontId="0" fillId="0" borderId="11" xfId="0" applyBorder="1" applyAlignment="1">
      <alignment horizontal="left"/>
    </xf>
    <xf numFmtId="179" fontId="4" fillId="0" borderId="17" xfId="0" applyNumberFormat="1" applyFont="1" applyBorder="1" applyAlignment="1">
      <alignment horizontal="left"/>
    </xf>
    <xf numFmtId="3" fontId="1" fillId="0" borderId="0" xfId="0" applyNumberFormat="1" applyFont="1" applyFill="1" applyBorder="1" applyAlignment="1" applyProtection="1">
      <alignment horizontal="center"/>
      <protection hidden="1"/>
    </xf>
    <xf numFmtId="179" fontId="5" fillId="0" borderId="0" xfId="0" applyNumberFormat="1" applyFont="1" applyFill="1" applyBorder="1" applyAlignment="1" applyProtection="1">
      <alignment/>
      <protection hidden="1"/>
    </xf>
    <xf numFmtId="179" fontId="4" fillId="0" borderId="6" xfId="0" applyNumberFormat="1" applyFont="1" applyBorder="1" applyAlignment="1">
      <alignment horizontal="left"/>
    </xf>
    <xf numFmtId="179" fontId="5" fillId="0" borderId="6" xfId="0" applyNumberFormat="1" applyFont="1" applyBorder="1" applyAlignment="1">
      <alignment horizontal="center"/>
    </xf>
    <xf numFmtId="0" fontId="0" fillId="0" borderId="5" xfId="0" applyFill="1" applyBorder="1" applyAlignment="1">
      <alignment/>
    </xf>
    <xf numFmtId="179" fontId="26" fillId="0" borderId="0" xfId="0" applyNumberFormat="1" applyFont="1" applyFill="1" applyBorder="1" applyAlignment="1" applyProtection="1">
      <alignment horizontal="center"/>
      <protection/>
    </xf>
    <xf numFmtId="179" fontId="26" fillId="0" borderId="0" xfId="0" applyNumberFormat="1" applyFont="1" applyFill="1" applyBorder="1" applyAlignment="1" applyProtection="1">
      <alignment/>
      <protection/>
    </xf>
    <xf numFmtId="0" fontId="0" fillId="0" borderId="43" xfId="0" applyNumberFormat="1" applyFont="1" applyBorder="1" applyAlignment="1">
      <alignment/>
    </xf>
    <xf numFmtId="0" fontId="27" fillId="0" borderId="17" xfId="0" applyFont="1" applyFill="1" applyBorder="1" applyAlignment="1">
      <alignment horizontal="left"/>
    </xf>
    <xf numFmtId="0" fontId="4" fillId="0" borderId="17" xfId="0" applyFont="1" applyFill="1" applyBorder="1" applyAlignment="1">
      <alignment horizontal="left"/>
    </xf>
    <xf numFmtId="0" fontId="4" fillId="0" borderId="17" xfId="0" applyFont="1" applyFill="1" applyBorder="1" applyAlignment="1" applyProtection="1">
      <alignment horizontal="center"/>
      <protection hidden="1"/>
    </xf>
    <xf numFmtId="0" fontId="0" fillId="0" borderId="17" xfId="0" applyFill="1" applyBorder="1" applyAlignment="1">
      <alignment/>
    </xf>
    <xf numFmtId="0" fontId="0" fillId="0" borderId="17" xfId="0" applyFill="1" applyBorder="1" applyAlignment="1">
      <alignment/>
    </xf>
    <xf numFmtId="0" fontId="0" fillId="0" borderId="43" xfId="0" applyFill="1" applyBorder="1" applyAlignment="1">
      <alignment/>
    </xf>
    <xf numFmtId="179" fontId="4" fillId="0" borderId="6" xfId="0" applyNumberFormat="1" applyFont="1" applyBorder="1" applyAlignment="1" applyProtection="1">
      <alignment horizontal="left"/>
      <protection hidden="1"/>
    </xf>
    <xf numFmtId="179" fontId="5" fillId="0" borderId="6" xfId="0" applyNumberFormat="1" applyFont="1" applyBorder="1" applyAlignment="1" applyProtection="1">
      <alignment horizontal="center"/>
      <protection hidden="1"/>
    </xf>
    <xf numFmtId="0" fontId="1" fillId="3" borderId="13" xfId="0" applyFont="1" applyFill="1" applyBorder="1" applyAlignment="1" applyProtection="1">
      <alignment horizontal="left"/>
      <protection hidden="1"/>
    </xf>
    <xf numFmtId="171" fontId="5" fillId="3" borderId="9" xfId="0" applyNumberFormat="1" applyFont="1" applyFill="1" applyBorder="1" applyAlignment="1" applyProtection="1">
      <alignment/>
      <protection/>
    </xf>
    <xf numFmtId="3" fontId="1" fillId="3" borderId="6" xfId="0" applyNumberFormat="1" applyFont="1" applyFill="1" applyBorder="1" applyAlignment="1" applyProtection="1">
      <alignment/>
      <protection/>
    </xf>
    <xf numFmtId="0" fontId="1" fillId="0" borderId="6" xfId="0" applyFont="1" applyBorder="1" applyAlignment="1">
      <alignment/>
    </xf>
    <xf numFmtId="0" fontId="7" fillId="0" borderId="0" xfId="0" applyFont="1" applyFill="1" applyBorder="1" applyAlignment="1">
      <alignment/>
    </xf>
    <xf numFmtId="4" fontId="7" fillId="0" borderId="0" xfId="0" applyNumberFormat="1" applyFont="1" applyFill="1" applyBorder="1" applyAlignment="1">
      <alignment/>
    </xf>
    <xf numFmtId="4" fontId="4" fillId="0" borderId="0" xfId="0" applyNumberFormat="1" applyFont="1" applyFill="1" applyBorder="1" applyAlignment="1" applyProtection="1">
      <alignment/>
      <protection/>
    </xf>
    <xf numFmtId="3" fontId="4" fillId="0" borderId="6" xfId="0" applyNumberFormat="1" applyFont="1" applyBorder="1" applyAlignment="1" applyProtection="1">
      <alignment/>
      <protection/>
    </xf>
    <xf numFmtId="0" fontId="5" fillId="3" borderId="13" xfId="0" applyFont="1" applyFill="1" applyBorder="1" applyAlignment="1" applyProtection="1">
      <alignment horizontal="right" shrinkToFit="1"/>
      <protection hidden="1"/>
    </xf>
    <xf numFmtId="0" fontId="5" fillId="3" borderId="6" xfId="0" applyFont="1" applyFill="1" applyBorder="1" applyAlignment="1" applyProtection="1">
      <alignment horizontal="right" shrinkToFit="1"/>
      <protection hidden="1"/>
    </xf>
    <xf numFmtId="0" fontId="4" fillId="0" borderId="5" xfId="0" applyFont="1" applyFill="1" applyBorder="1" applyAlignment="1" applyProtection="1">
      <alignment/>
      <protection hidden="1"/>
    </xf>
    <xf numFmtId="0" fontId="4" fillId="0" borderId="14" xfId="0" applyFont="1" applyFill="1" applyBorder="1" applyAlignment="1" applyProtection="1">
      <alignment/>
      <protection hidden="1"/>
    </xf>
    <xf numFmtId="0" fontId="5" fillId="0" borderId="0" xfId="0" applyFont="1" applyAlignment="1" applyProtection="1">
      <alignment vertical="top"/>
      <protection/>
    </xf>
    <xf numFmtId="0" fontId="0" fillId="0" borderId="0" xfId="0" applyAlignment="1">
      <alignment horizontal="right"/>
    </xf>
    <xf numFmtId="0" fontId="5" fillId="0" borderId="10" xfId="0" applyFont="1" applyFill="1" applyBorder="1" applyAlignment="1" applyProtection="1">
      <alignment horizontal="right"/>
      <protection hidden="1"/>
    </xf>
    <xf numFmtId="0" fontId="4" fillId="7" borderId="10" xfId="0" applyFont="1" applyFill="1" applyBorder="1" applyAlignment="1" applyProtection="1">
      <alignment horizontal="right"/>
      <protection hidden="1"/>
    </xf>
    <xf numFmtId="0" fontId="5" fillId="7" borderId="10" xfId="0" applyFont="1" applyFill="1" applyBorder="1" applyAlignment="1" applyProtection="1">
      <alignment horizontal="right"/>
      <protection hidden="1"/>
    </xf>
    <xf numFmtId="0" fontId="4" fillId="0" borderId="13" xfId="0" applyFont="1" applyFill="1" applyBorder="1" applyAlignment="1" applyProtection="1">
      <alignment wrapText="1"/>
      <protection hidden="1"/>
    </xf>
    <xf numFmtId="171" fontId="18" fillId="8" borderId="0" xfId="0" applyNumberFormat="1" applyFont="1" applyFill="1" applyBorder="1" applyAlignment="1" applyProtection="1">
      <alignment/>
      <protection hidden="1"/>
    </xf>
    <xf numFmtId="171" fontId="4" fillId="0" borderId="13" xfId="34" applyNumberFormat="1" applyFont="1" applyFill="1" applyBorder="1" applyAlignment="1" applyProtection="1">
      <alignment/>
      <protection/>
    </xf>
    <xf numFmtId="4" fontId="4" fillId="0" borderId="0" xfId="0" applyNumberFormat="1" applyFont="1" applyBorder="1" applyAlignment="1">
      <alignment/>
    </xf>
    <xf numFmtId="171" fontId="4" fillId="0" borderId="9" xfId="0" applyNumberFormat="1" applyFont="1" applyFill="1" applyBorder="1" applyAlignment="1" applyProtection="1">
      <alignment/>
      <protection locked="0"/>
    </xf>
    <xf numFmtId="171" fontId="4" fillId="0" borderId="9" xfId="0" applyNumberFormat="1" applyFont="1" applyFill="1" applyBorder="1" applyAlignment="1" applyProtection="1">
      <alignment/>
      <protection/>
    </xf>
    <xf numFmtId="0" fontId="4" fillId="0" borderId="9" xfId="0" applyFont="1" applyBorder="1" applyAlignment="1">
      <alignment/>
    </xf>
    <xf numFmtId="0" fontId="4" fillId="0" borderId="9" xfId="0" applyFont="1" applyFill="1" applyBorder="1" applyAlignment="1" applyProtection="1">
      <alignment/>
      <protection hidden="1"/>
    </xf>
    <xf numFmtId="1" fontId="4" fillId="0" borderId="13" xfId="0" applyNumberFormat="1" applyFont="1" applyFill="1" applyBorder="1" applyAlignment="1" applyProtection="1">
      <alignment horizontal="center"/>
      <protection locked="0"/>
    </xf>
    <xf numFmtId="0" fontId="4" fillId="7" borderId="13" xfId="0" applyFont="1" applyFill="1" applyBorder="1" applyAlignment="1" applyProtection="1">
      <alignment/>
      <protection hidden="1"/>
    </xf>
    <xf numFmtId="0" fontId="4" fillId="0" borderId="3" xfId="0" applyFont="1" applyBorder="1" applyAlignment="1">
      <alignment/>
    </xf>
    <xf numFmtId="0" fontId="2" fillId="0" borderId="0" xfId="0" applyNumberFormat="1" applyFont="1" applyAlignment="1">
      <alignment wrapText="1"/>
    </xf>
    <xf numFmtId="0" fontId="2" fillId="0" borderId="18" xfId="0" applyNumberFormat="1" applyFont="1" applyBorder="1" applyAlignment="1" applyProtection="1">
      <alignment/>
      <protection/>
    </xf>
    <xf numFmtId="0" fontId="0" fillId="3" borderId="47" xfId="0" applyFill="1" applyBorder="1" applyAlignment="1">
      <alignment horizontal="right"/>
    </xf>
    <xf numFmtId="0" fontId="0" fillId="3" borderId="2" xfId="0" applyFill="1" applyBorder="1" applyAlignment="1">
      <alignment horizontal="right"/>
    </xf>
    <xf numFmtId="0" fontId="21" fillId="0" borderId="0" xfId="0" applyFont="1" applyAlignment="1">
      <alignment/>
    </xf>
    <xf numFmtId="0" fontId="8" fillId="0" borderId="0" xfId="0" applyFont="1" applyAlignment="1">
      <alignment horizontal="left"/>
    </xf>
    <xf numFmtId="37" fontId="8" fillId="0" borderId="0" xfId="0" applyNumberFormat="1" applyFont="1" applyAlignment="1">
      <alignment/>
    </xf>
    <xf numFmtId="0" fontId="5" fillId="0" borderId="0" xfId="0" applyFont="1" applyAlignment="1">
      <alignment horizontal="left"/>
    </xf>
    <xf numFmtId="4" fontId="4" fillId="0" borderId="9" xfId="0" applyNumberFormat="1" applyFont="1" applyBorder="1" applyAlignment="1">
      <alignment/>
    </xf>
    <xf numFmtId="9" fontId="4" fillId="0" borderId="6" xfId="0" applyNumberFormat="1" applyFont="1" applyBorder="1" applyAlignment="1">
      <alignment horizontal="center"/>
    </xf>
    <xf numFmtId="4" fontId="4" fillId="0" borderId="6" xfId="0" applyNumberFormat="1" applyFont="1" applyBorder="1" applyAlignment="1">
      <alignment/>
    </xf>
    <xf numFmtId="3" fontId="4" fillId="0" borderId="6" xfId="0" applyNumberFormat="1" applyFont="1" applyBorder="1" applyAlignment="1">
      <alignment/>
    </xf>
    <xf numFmtId="0" fontId="4" fillId="8" borderId="0" xfId="0" applyFont="1" applyFill="1" applyAlignment="1" applyProtection="1">
      <alignment/>
      <protection hidden="1"/>
    </xf>
    <xf numFmtId="171" fontId="4" fillId="0" borderId="6" xfId="0" applyNumberFormat="1" applyFont="1" applyBorder="1" applyAlignment="1">
      <alignment/>
    </xf>
    <xf numFmtId="0" fontId="4" fillId="0" borderId="6" xfId="0" applyFont="1" applyBorder="1" applyAlignment="1">
      <alignment/>
    </xf>
    <xf numFmtId="0" fontId="4" fillId="0" borderId="7" xfId="0" applyFont="1" applyBorder="1" applyAlignment="1">
      <alignment vertical="center"/>
    </xf>
    <xf numFmtId="0" fontId="4" fillId="0" borderId="6" xfId="0" applyFont="1" applyBorder="1" applyAlignment="1">
      <alignment horizontal="center"/>
    </xf>
    <xf numFmtId="3" fontId="0" fillId="0" borderId="7" xfId="0" applyNumberFormat="1" applyBorder="1" applyAlignment="1">
      <alignment/>
    </xf>
    <xf numFmtId="3" fontId="0" fillId="0" borderId="48" xfId="0" applyNumberFormat="1" applyBorder="1" applyAlignment="1">
      <alignment/>
    </xf>
    <xf numFmtId="0" fontId="0" fillId="0" borderId="15" xfId="0" applyNumberFormat="1" applyFont="1" applyBorder="1" applyAlignment="1">
      <alignment/>
    </xf>
    <xf numFmtId="0" fontId="5" fillId="3" borderId="43" xfId="0" applyFont="1" applyFill="1" applyBorder="1" applyAlignment="1" applyProtection="1">
      <alignment horizontal="right"/>
      <protection hidden="1"/>
    </xf>
    <xf numFmtId="0" fontId="5" fillId="0" borderId="6" xfId="0" applyFont="1" applyBorder="1" applyAlignment="1">
      <alignment horizontal="center" wrapText="1"/>
    </xf>
    <xf numFmtId="171" fontId="4" fillId="0" borderId="49" xfId="0" applyNumberFormat="1" applyFont="1" applyBorder="1" applyAlignment="1" applyProtection="1">
      <alignment horizontal="center"/>
      <protection locked="0"/>
    </xf>
    <xf numFmtId="0" fontId="8" fillId="0" borderId="0" xfId="0" applyNumberFormat="1" applyFont="1" applyAlignment="1">
      <alignment/>
    </xf>
    <xf numFmtId="3" fontId="0" fillId="0" borderId="3" xfId="0" applyNumberFormat="1" applyFont="1" applyBorder="1" applyAlignment="1" applyProtection="1">
      <alignment horizontal="right"/>
      <protection locked="0"/>
    </xf>
    <xf numFmtId="0" fontId="2" fillId="0" borderId="0" xfId="0" applyFont="1" applyAlignment="1" applyProtection="1">
      <alignment/>
      <protection hidden="1" locked="0"/>
    </xf>
    <xf numFmtId="181" fontId="0" fillId="0" borderId="0" xfId="0" applyNumberFormat="1" applyAlignment="1" applyProtection="1">
      <alignment/>
      <protection locked="0"/>
    </xf>
    <xf numFmtId="0" fontId="21" fillId="0" borderId="0" xfId="0" applyFont="1" applyFill="1" applyBorder="1" applyAlignment="1" applyProtection="1">
      <alignment vertical="center"/>
      <protection/>
    </xf>
    <xf numFmtId="0" fontId="1" fillId="0" borderId="0" xfId="0" applyFont="1" applyAlignment="1" applyProtection="1">
      <alignment vertical="center"/>
      <protection/>
    </xf>
    <xf numFmtId="0" fontId="21" fillId="0" borderId="0" xfId="0" applyFont="1" applyAlignment="1" applyProtection="1">
      <alignment vertical="center"/>
      <protection/>
    </xf>
    <xf numFmtId="37" fontId="21" fillId="0" borderId="0" xfId="0" applyNumberFormat="1" applyFont="1" applyAlignment="1" applyProtection="1">
      <alignment vertical="center"/>
      <protection/>
    </xf>
    <xf numFmtId="0" fontId="8" fillId="0" borderId="0" xfId="0" applyFont="1" applyBorder="1" applyAlignment="1" applyProtection="1">
      <alignment horizontal="left"/>
      <protection/>
    </xf>
    <xf numFmtId="179" fontId="0" fillId="0" borderId="0" xfId="0" applyNumberFormat="1" applyBorder="1" applyAlignment="1" applyProtection="1">
      <alignment/>
      <protection/>
    </xf>
    <xf numFmtId="179" fontId="4" fillId="0" borderId="0" xfId="0" applyNumberFormat="1" applyFont="1" applyBorder="1" applyAlignment="1" applyProtection="1">
      <alignment/>
      <protection/>
    </xf>
    <xf numFmtId="0" fontId="5" fillId="0" borderId="0" xfId="0" applyFont="1" applyBorder="1" applyAlignment="1" applyProtection="1">
      <alignment/>
      <protection/>
    </xf>
    <xf numFmtId="179" fontId="5" fillId="0" borderId="0" xfId="0" applyNumberFormat="1" applyFont="1" applyBorder="1" applyAlignment="1" applyProtection="1">
      <alignment/>
      <protection/>
    </xf>
    <xf numFmtId="0" fontId="4" fillId="0" borderId="6" xfId="0" applyFont="1" applyBorder="1" applyAlignment="1" applyProtection="1">
      <alignment horizontal="center"/>
      <protection/>
    </xf>
    <xf numFmtId="0" fontId="4" fillId="0" borderId="13" xfId="0" applyFont="1" applyBorder="1" applyAlignment="1" applyProtection="1">
      <alignment/>
      <protection/>
    </xf>
    <xf numFmtId="3" fontId="5" fillId="0" borderId="9" xfId="0" applyNumberFormat="1" applyFont="1" applyBorder="1" applyAlignment="1" applyProtection="1">
      <alignment horizontal="center"/>
      <protection/>
    </xf>
    <xf numFmtId="0" fontId="4" fillId="0" borderId="10" xfId="0" applyFont="1" applyBorder="1" applyAlignment="1" applyProtection="1">
      <alignment/>
      <protection/>
    </xf>
    <xf numFmtId="0" fontId="0" fillId="0" borderId="19" xfId="0" applyBorder="1" applyAlignment="1" applyProtection="1">
      <alignment horizontal="right"/>
      <protection hidden="1"/>
    </xf>
    <xf numFmtId="0" fontId="0" fillId="0" borderId="0" xfId="0" applyFont="1" applyFill="1" applyBorder="1" applyAlignment="1" applyProtection="1">
      <alignment/>
      <protection hidden="1"/>
    </xf>
    <xf numFmtId="0" fontId="0" fillId="0" borderId="0" xfId="0" applyFont="1" applyFill="1" applyAlignment="1" applyProtection="1">
      <alignment/>
      <protection hidden="1"/>
    </xf>
    <xf numFmtId="0" fontId="0" fillId="0" borderId="0" xfId="0" applyFont="1" applyAlignment="1" applyProtection="1">
      <alignment/>
      <protection hidden="1"/>
    </xf>
    <xf numFmtId="0" fontId="0" fillId="0" borderId="0" xfId="0" applyFont="1" applyAlignment="1">
      <alignment/>
    </xf>
    <xf numFmtId="171" fontId="4" fillId="0" borderId="9" xfId="34" applyNumberFormat="1" applyFont="1" applyFill="1" applyBorder="1" applyAlignment="1" applyProtection="1">
      <alignment horizontal="center"/>
      <protection locked="0"/>
    </xf>
    <xf numFmtId="171" fontId="4" fillId="0" borderId="10" xfId="34" applyNumberFormat="1" applyFont="1" applyFill="1" applyBorder="1" applyAlignment="1" applyProtection="1">
      <alignment horizontal="center"/>
      <protection locked="0"/>
    </xf>
    <xf numFmtId="0" fontId="0" fillId="3" borderId="7" xfId="0" applyFill="1" applyBorder="1" applyAlignment="1">
      <alignment horizontal="left"/>
    </xf>
    <xf numFmtId="171" fontId="4" fillId="0" borderId="6" xfId="0" applyNumberFormat="1" applyFont="1" applyFill="1" applyBorder="1" applyAlignment="1" applyProtection="1">
      <alignment/>
      <protection/>
    </xf>
    <xf numFmtId="0" fontId="2" fillId="0" borderId="0" xfId="0" applyFont="1" applyFill="1" applyAlignment="1" applyProtection="1">
      <alignment/>
      <protection hidden="1"/>
    </xf>
    <xf numFmtId="171" fontId="7" fillId="0" borderId="0" xfId="0" applyNumberFormat="1" applyFont="1" applyFill="1" applyBorder="1" applyAlignment="1" applyProtection="1">
      <alignment/>
      <protection hidden="1"/>
    </xf>
    <xf numFmtId="171" fontId="4" fillId="9" borderId="7" xfId="34" applyNumberFormat="1" applyFont="1" applyFill="1" applyBorder="1" applyAlignment="1" applyProtection="1">
      <alignment/>
      <protection locked="0"/>
    </xf>
    <xf numFmtId="171" fontId="4" fillId="0" borderId="6" xfId="0" applyNumberFormat="1" applyFont="1" applyFill="1" applyBorder="1" applyAlignment="1" applyProtection="1">
      <alignment/>
      <protection locked="0"/>
    </xf>
    <xf numFmtId="177" fontId="4" fillId="0" borderId="9" xfId="0" applyNumberFormat="1" applyFont="1" applyBorder="1" applyAlignment="1" applyProtection="1">
      <alignment/>
      <protection hidden="1"/>
    </xf>
    <xf numFmtId="177" fontId="4" fillId="0" borderId="7" xfId="0" applyNumberFormat="1" applyFont="1" applyFill="1" applyBorder="1" applyAlignment="1" applyProtection="1">
      <alignment/>
      <protection hidden="1"/>
    </xf>
    <xf numFmtId="177" fontId="4" fillId="3" borderId="6" xfId="0" applyNumberFormat="1" applyFont="1" applyFill="1" applyBorder="1" applyAlignment="1" applyProtection="1">
      <alignment/>
      <protection hidden="1"/>
    </xf>
    <xf numFmtId="177" fontId="4" fillId="0" borderId="10" xfId="0" applyNumberFormat="1" applyFont="1" applyBorder="1" applyAlignment="1" applyProtection="1">
      <alignment/>
      <protection hidden="1"/>
    </xf>
    <xf numFmtId="14" fontId="5" fillId="0" borderId="0" xfId="0" applyNumberFormat="1" applyFont="1" applyFill="1" applyAlignment="1" applyProtection="1">
      <alignment/>
      <protection hidden="1"/>
    </xf>
    <xf numFmtId="1" fontId="4" fillId="0" borderId="0" xfId="0" applyNumberFormat="1" applyFont="1" applyBorder="1" applyAlignment="1" applyProtection="1">
      <alignment vertical="center"/>
      <protection/>
    </xf>
    <xf numFmtId="1" fontId="0" fillId="0" borderId="3" xfId="0" applyNumberFormat="1" applyBorder="1" applyAlignment="1">
      <alignment horizontal="center"/>
    </xf>
    <xf numFmtId="0" fontId="1" fillId="0" borderId="0" xfId="0" applyFont="1" applyBorder="1" applyAlignment="1" applyProtection="1">
      <alignment vertical="top"/>
      <protection/>
    </xf>
    <xf numFmtId="0" fontId="7" fillId="0" borderId="9" xfId="0" applyFont="1" applyBorder="1" applyAlignment="1">
      <alignment horizontal="center"/>
    </xf>
    <xf numFmtId="0" fontId="0" fillId="0" borderId="29" xfId="0" applyBorder="1" applyAlignment="1">
      <alignment/>
    </xf>
    <xf numFmtId="0" fontId="7" fillId="0" borderId="0" xfId="0" applyFont="1" applyAlignment="1">
      <alignment/>
    </xf>
    <xf numFmtId="37" fontId="4" fillId="0" borderId="13" xfId="18" applyNumberFormat="1" applyFont="1" applyFill="1" applyBorder="1" applyAlignment="1" applyProtection="1">
      <alignment/>
      <protection locked="0"/>
    </xf>
    <xf numFmtId="20" fontId="5" fillId="3" borderId="7" xfId="0" applyNumberFormat="1" applyFont="1" applyFill="1" applyBorder="1" applyAlignment="1" applyProtection="1">
      <alignment horizontal="center"/>
      <protection hidden="1"/>
    </xf>
    <xf numFmtId="4" fontId="5" fillId="3" borderId="41" xfId="0" applyNumberFormat="1" applyFont="1" applyFill="1" applyBorder="1" applyAlignment="1" applyProtection="1">
      <alignment horizontal="center"/>
      <protection hidden="1"/>
    </xf>
    <xf numFmtId="4" fontId="5" fillId="3" borderId="42" xfId="0" applyNumberFormat="1" applyFont="1" applyFill="1" applyBorder="1" applyAlignment="1" applyProtection="1">
      <alignment horizontal="center"/>
      <protection hidden="1"/>
    </xf>
    <xf numFmtId="171" fontId="4" fillId="5" borderId="5" xfId="0" applyNumberFormat="1" applyFont="1" applyFill="1" applyBorder="1" applyAlignment="1" applyProtection="1">
      <alignment/>
      <protection/>
    </xf>
    <xf numFmtId="171" fontId="4" fillId="0" borderId="0" xfId="34" applyNumberFormat="1" applyFont="1" applyFill="1" applyBorder="1" applyAlignment="1" applyProtection="1">
      <alignment/>
      <protection hidden="1"/>
    </xf>
    <xf numFmtId="0" fontId="5" fillId="5" borderId="0" xfId="0" applyFont="1" applyFill="1" applyBorder="1" applyAlignment="1" applyProtection="1">
      <alignment/>
      <protection/>
    </xf>
    <xf numFmtId="0" fontId="5" fillId="5" borderId="0" xfId="0" applyFont="1" applyFill="1" applyBorder="1" applyAlignment="1" applyProtection="1">
      <alignment/>
      <protection hidden="1"/>
    </xf>
    <xf numFmtId="0" fontId="4" fillId="5" borderId="0" xfId="0" applyFont="1" applyFill="1" applyBorder="1" applyAlignment="1" applyProtection="1">
      <alignment/>
      <protection hidden="1"/>
    </xf>
    <xf numFmtId="0" fontId="4" fillId="0" borderId="30" xfId="0" applyFont="1" applyBorder="1" applyAlignment="1" applyProtection="1">
      <alignment horizontal="center" vertical="top"/>
      <protection/>
    </xf>
    <xf numFmtId="0" fontId="0" fillId="0" borderId="40" xfId="0" applyBorder="1" applyAlignment="1">
      <alignment/>
    </xf>
    <xf numFmtId="0" fontId="4" fillId="0" borderId="18" xfId="0" applyNumberFormat="1" applyFont="1" applyBorder="1" applyAlignment="1" applyProtection="1">
      <alignment vertical="top"/>
      <protection/>
    </xf>
    <xf numFmtId="0" fontId="4" fillId="0" borderId="40" xfId="0" applyNumberFormat="1" applyFont="1" applyBorder="1" applyAlignment="1" applyProtection="1">
      <alignment vertical="top"/>
      <protection/>
    </xf>
    <xf numFmtId="0" fontId="4" fillId="0" borderId="50" xfId="0" applyNumberFormat="1" applyFont="1" applyBorder="1" applyAlignment="1" applyProtection="1">
      <alignment vertical="top"/>
      <protection/>
    </xf>
    <xf numFmtId="0" fontId="4" fillId="0" borderId="30" xfId="0" applyNumberFormat="1" applyFont="1" applyBorder="1" applyAlignment="1" applyProtection="1">
      <alignment vertical="top"/>
      <protection/>
    </xf>
    <xf numFmtId="0" fontId="4" fillId="0" borderId="28" xfId="0" applyFont="1" applyBorder="1" applyAlignment="1" applyProtection="1">
      <alignment vertical="top"/>
      <protection/>
    </xf>
    <xf numFmtId="0" fontId="0" fillId="0" borderId="28" xfId="0" applyBorder="1" applyAlignment="1">
      <alignment/>
    </xf>
    <xf numFmtId="0" fontId="4" fillId="0" borderId="44" xfId="0" applyFont="1" applyBorder="1" applyAlignment="1" applyProtection="1">
      <alignment vertical="top"/>
      <protection/>
    </xf>
    <xf numFmtId="0" fontId="4" fillId="0" borderId="28" xfId="0" applyNumberFormat="1" applyFont="1" applyBorder="1" applyAlignment="1" applyProtection="1">
      <alignment vertical="top"/>
      <protection/>
    </xf>
    <xf numFmtId="0" fontId="4" fillId="0" borderId="44" xfId="0" applyNumberFormat="1" applyFont="1" applyBorder="1" applyAlignment="1" applyProtection="1">
      <alignment vertical="top"/>
      <protection/>
    </xf>
    <xf numFmtId="0" fontId="4" fillId="0" borderId="29" xfId="0" applyNumberFormat="1" applyFont="1" applyBorder="1" applyAlignment="1" applyProtection="1">
      <alignment vertical="top"/>
      <protection/>
    </xf>
    <xf numFmtId="0" fontId="4" fillId="0" borderId="0" xfId="0" applyNumberFormat="1" applyFont="1" applyBorder="1" applyAlignment="1" applyProtection="1">
      <alignment vertical="top"/>
      <protection/>
    </xf>
    <xf numFmtId="0" fontId="4" fillId="0" borderId="37" xfId="0" applyNumberFormat="1" applyFont="1" applyBorder="1" applyAlignment="1" applyProtection="1">
      <alignment vertical="top"/>
      <protection/>
    </xf>
    <xf numFmtId="0" fontId="4" fillId="8" borderId="19" xfId="0" applyNumberFormat="1" applyFont="1" applyFill="1" applyBorder="1" applyAlignment="1" applyProtection="1">
      <alignment vertical="top"/>
      <protection/>
    </xf>
    <xf numFmtId="0" fontId="4" fillId="8" borderId="16" xfId="0" applyNumberFormat="1" applyFont="1" applyFill="1" applyBorder="1" applyAlignment="1" applyProtection="1">
      <alignment vertical="top"/>
      <protection/>
    </xf>
    <xf numFmtId="0" fontId="4" fillId="9" borderId="3" xfId="0" applyNumberFormat="1" applyFont="1" applyFill="1" applyBorder="1" applyAlignment="1" applyProtection="1">
      <alignment horizontal="center" vertical="center"/>
      <protection/>
    </xf>
    <xf numFmtId="0" fontId="4" fillId="8" borderId="3" xfId="0" applyNumberFormat="1" applyFont="1" applyFill="1" applyBorder="1" applyAlignment="1" applyProtection="1">
      <alignment vertical="top"/>
      <protection/>
    </xf>
    <xf numFmtId="0" fontId="4" fillId="0" borderId="0" xfId="0" applyNumberFormat="1" applyFont="1" applyFill="1" applyBorder="1" applyAlignment="1" applyProtection="1">
      <alignment vertical="top"/>
      <protection/>
    </xf>
    <xf numFmtId="0" fontId="4" fillId="0" borderId="0" xfId="0" applyNumberFormat="1" applyFont="1" applyFill="1" applyBorder="1" applyAlignment="1" applyProtection="1">
      <alignment horizontal="center" vertical="center"/>
      <protection/>
    </xf>
    <xf numFmtId="0" fontId="0" fillId="0" borderId="0" xfId="0" applyFill="1" applyBorder="1" applyAlignment="1">
      <alignment horizontal="center" vertical="center"/>
    </xf>
    <xf numFmtId="0" fontId="0" fillId="3" borderId="10" xfId="0" applyFill="1" applyBorder="1" applyAlignment="1">
      <alignment/>
    </xf>
    <xf numFmtId="0" fontId="4" fillId="0" borderId="0" xfId="0" applyFont="1" applyBorder="1" applyAlignment="1">
      <alignment horizontal="left"/>
    </xf>
    <xf numFmtId="0" fontId="4" fillId="0" borderId="0" xfId="0" applyFont="1" applyFill="1" applyBorder="1" applyAlignment="1" applyProtection="1">
      <alignment horizontal="left"/>
      <protection/>
    </xf>
    <xf numFmtId="3" fontId="1" fillId="3" borderId="6" xfId="0" applyNumberFormat="1" applyFont="1" applyFill="1" applyBorder="1" applyAlignment="1">
      <alignment/>
    </xf>
    <xf numFmtId="0" fontId="4" fillId="0" borderId="15" xfId="0" applyFont="1" applyFill="1" applyBorder="1" applyAlignment="1" applyProtection="1">
      <alignment vertical="center"/>
      <protection/>
    </xf>
    <xf numFmtId="0" fontId="0" fillId="0" borderId="15" xfId="0" applyFill="1" applyBorder="1" applyAlignment="1">
      <alignment/>
    </xf>
    <xf numFmtId="171" fontId="0" fillId="0" borderId="9" xfId="0" applyNumberFormat="1" applyBorder="1" applyAlignment="1">
      <alignment/>
    </xf>
    <xf numFmtId="0" fontId="1" fillId="3" borderId="9" xfId="0" applyFont="1" applyFill="1" applyBorder="1" applyAlignment="1">
      <alignment/>
    </xf>
    <xf numFmtId="0" fontId="1" fillId="3" borderId="10" xfId="0" applyFont="1" applyFill="1" applyBorder="1" applyAlignment="1">
      <alignment/>
    </xf>
    <xf numFmtId="0" fontId="4" fillId="0" borderId="13" xfId="0" applyFont="1" applyBorder="1" applyAlignment="1">
      <alignment/>
    </xf>
    <xf numFmtId="0" fontId="1" fillId="0" borderId="0" xfId="0" applyFont="1" applyFill="1" applyBorder="1" applyAlignment="1" applyProtection="1">
      <alignment/>
      <protection hidden="1"/>
    </xf>
    <xf numFmtId="0" fontId="5" fillId="3" borderId="13" xfId="0" applyFont="1" applyFill="1" applyBorder="1" applyAlignment="1">
      <alignment/>
    </xf>
    <xf numFmtId="0" fontId="5" fillId="3" borderId="9" xfId="0" applyFont="1" applyFill="1" applyBorder="1" applyAlignment="1" applyProtection="1" quotePrefix="1">
      <alignment/>
      <protection hidden="1"/>
    </xf>
    <xf numFmtId="0" fontId="5" fillId="3" borderId="51" xfId="0" applyFont="1" applyFill="1" applyBorder="1" applyAlignment="1" applyProtection="1" quotePrefix="1">
      <alignment/>
      <protection hidden="1"/>
    </xf>
    <xf numFmtId="0" fontId="4" fillId="0" borderId="0" xfId="0" applyNumberFormat="1" applyFont="1" applyAlignment="1">
      <alignment/>
    </xf>
    <xf numFmtId="0" fontId="4" fillId="0" borderId="5" xfId="0" applyFont="1" applyBorder="1" applyAlignment="1">
      <alignment/>
    </xf>
    <xf numFmtId="0" fontId="4" fillId="0" borderId="7" xfId="34" applyFont="1" applyFill="1" applyBorder="1" applyAlignment="1" applyProtection="1">
      <alignment horizontal="center"/>
      <protection locked="0"/>
    </xf>
    <xf numFmtId="9" fontId="4" fillId="0" borderId="12" xfId="0" applyNumberFormat="1" applyFont="1" applyBorder="1" applyAlignment="1">
      <alignment horizontal="center"/>
    </xf>
    <xf numFmtId="0" fontId="4" fillId="0" borderId="0" xfId="0" applyNumberFormat="1" applyFont="1" applyAlignment="1" applyProtection="1">
      <alignment horizontal="center"/>
      <protection/>
    </xf>
    <xf numFmtId="4" fontId="4" fillId="0" borderId="7" xfId="0" applyNumberFormat="1" applyFont="1" applyBorder="1" applyAlignment="1">
      <alignment vertical="center"/>
    </xf>
    <xf numFmtId="3" fontId="4" fillId="0" borderId="7" xfId="0" applyNumberFormat="1" applyFont="1" applyBorder="1" applyAlignment="1">
      <alignment vertical="center"/>
    </xf>
    <xf numFmtId="171" fontId="4" fillId="0" borderId="7" xfId="0" applyNumberFormat="1" applyFont="1" applyBorder="1" applyAlignment="1">
      <alignment vertical="center"/>
    </xf>
    <xf numFmtId="0" fontId="4" fillId="3" borderId="10" xfId="0" applyFont="1" applyFill="1" applyBorder="1" applyAlignment="1">
      <alignment horizontal="right"/>
    </xf>
    <xf numFmtId="171" fontId="4" fillId="0" borderId="6" xfId="0" applyNumberFormat="1" applyFont="1" applyBorder="1" applyAlignment="1">
      <alignment vertical="center"/>
    </xf>
    <xf numFmtId="4" fontId="4" fillId="0" borderId="6" xfId="0" applyNumberFormat="1" applyFont="1" applyBorder="1" applyAlignment="1">
      <alignment vertical="center"/>
    </xf>
    <xf numFmtId="0" fontId="0" fillId="0" borderId="0" xfId="0" applyFont="1" applyFill="1" applyBorder="1" applyAlignment="1" applyProtection="1">
      <alignment/>
      <protection hidden="1"/>
    </xf>
    <xf numFmtId="0" fontId="0" fillId="3" borderId="7" xfId="0" applyFont="1" applyFill="1" applyBorder="1" applyAlignment="1">
      <alignment horizontal="center"/>
    </xf>
    <xf numFmtId="3" fontId="0" fillId="10" borderId="7" xfId="0" applyNumberFormat="1" applyFont="1" applyFill="1" applyBorder="1" applyAlignment="1">
      <alignment/>
    </xf>
    <xf numFmtId="0" fontId="0" fillId="10" borderId="43" xfId="0" applyFill="1" applyBorder="1" applyAlignment="1">
      <alignment/>
    </xf>
    <xf numFmtId="3" fontId="0" fillId="10" borderId="43" xfId="0" applyNumberFormat="1" applyFont="1" applyFill="1" applyBorder="1" applyAlignment="1">
      <alignment/>
    </xf>
    <xf numFmtId="0" fontId="0" fillId="10" borderId="43" xfId="0" applyFont="1" applyFill="1" applyBorder="1" applyAlignment="1">
      <alignment/>
    </xf>
    <xf numFmtId="171" fontId="4" fillId="10" borderId="43" xfId="0" applyNumberFormat="1" applyFont="1" applyFill="1" applyBorder="1" applyAlignment="1" applyProtection="1">
      <alignment/>
      <protection/>
    </xf>
    <xf numFmtId="0" fontId="0" fillId="10" borderId="8" xfId="0" applyFont="1" applyFill="1" applyBorder="1" applyAlignment="1">
      <alignment/>
    </xf>
    <xf numFmtId="0" fontId="1" fillId="3" borderId="41" xfId="0" applyFont="1" applyFill="1" applyBorder="1" applyAlignment="1" applyProtection="1">
      <alignment/>
      <protection hidden="1"/>
    </xf>
    <xf numFmtId="0" fontId="0" fillId="3" borderId="11" xfId="0" applyFill="1" applyBorder="1" applyAlignment="1">
      <alignment/>
    </xf>
    <xf numFmtId="0" fontId="0" fillId="3" borderId="12" xfId="0" applyFill="1" applyBorder="1" applyAlignment="1">
      <alignment/>
    </xf>
    <xf numFmtId="0" fontId="1" fillId="3" borderId="42" xfId="0" applyFont="1" applyFill="1" applyBorder="1" applyAlignment="1">
      <alignment/>
    </xf>
    <xf numFmtId="0" fontId="0" fillId="3" borderId="17" xfId="0" applyFill="1" applyBorder="1" applyAlignment="1">
      <alignment/>
    </xf>
    <xf numFmtId="0" fontId="0" fillId="3" borderId="46" xfId="0" applyFill="1" applyBorder="1" applyAlignment="1">
      <alignment/>
    </xf>
    <xf numFmtId="0" fontId="5" fillId="0" borderId="0" xfId="0" applyNumberFormat="1" applyFont="1" applyBorder="1" applyAlignment="1" applyProtection="1">
      <alignment vertical="top"/>
      <protection/>
    </xf>
    <xf numFmtId="9" fontId="5" fillId="3" borderId="19" xfId="0" applyNumberFormat="1" applyFont="1" applyFill="1" applyBorder="1" applyAlignment="1" applyProtection="1">
      <alignment horizontal="center"/>
      <protection/>
    </xf>
    <xf numFmtId="181" fontId="0" fillId="0" borderId="3" xfId="0" applyNumberFormat="1" applyBorder="1" applyAlignment="1">
      <alignment horizontal="center"/>
    </xf>
    <xf numFmtId="0" fontId="0" fillId="0" borderId="37" xfId="0" applyBorder="1" applyAlignment="1">
      <alignment/>
    </xf>
    <xf numFmtId="0" fontId="0" fillId="0" borderId="50" xfId="0" applyBorder="1" applyAlignment="1">
      <alignment/>
    </xf>
    <xf numFmtId="171" fontId="1" fillId="0" borderId="29" xfId="0" applyNumberFormat="1" applyFont="1" applyFill="1" applyBorder="1" applyAlignment="1" applyProtection="1">
      <alignment vertical="center"/>
      <protection/>
    </xf>
    <xf numFmtId="0" fontId="20" fillId="0" borderId="28" xfId="0" applyFont="1" applyBorder="1" applyAlignment="1" applyProtection="1">
      <alignment/>
      <protection/>
    </xf>
    <xf numFmtId="0" fontId="20" fillId="0" borderId="28" xfId="0" applyFont="1" applyBorder="1" applyAlignment="1" applyProtection="1">
      <alignment horizontal="left"/>
      <protection/>
    </xf>
    <xf numFmtId="0" fontId="1" fillId="0" borderId="0" xfId="0" applyFont="1" applyBorder="1" applyAlignment="1">
      <alignment/>
    </xf>
    <xf numFmtId="0" fontId="1" fillId="0" borderId="0" xfId="0" applyFont="1" applyFill="1" applyAlignment="1" applyProtection="1">
      <alignment/>
      <protection/>
    </xf>
    <xf numFmtId="0" fontId="0" fillId="0" borderId="15" xfId="0" applyBorder="1" applyAlignment="1" applyProtection="1">
      <alignment/>
      <protection/>
    </xf>
    <xf numFmtId="0" fontId="20" fillId="0" borderId="15" xfId="0" applyFont="1" applyBorder="1" applyAlignment="1" applyProtection="1">
      <alignment horizontal="center" vertical="center"/>
      <protection/>
    </xf>
    <xf numFmtId="0" fontId="0" fillId="0" borderId="0" xfId="0" applyNumberFormat="1" applyFont="1" applyAlignment="1" applyProtection="1">
      <alignment vertical="top"/>
      <protection/>
    </xf>
    <xf numFmtId="0" fontId="5" fillId="3" borderId="7" xfId="0" applyFont="1" applyFill="1" applyBorder="1" applyAlignment="1">
      <alignment horizontal="center"/>
    </xf>
    <xf numFmtId="0" fontId="5" fillId="3" borderId="42" xfId="0" applyFont="1" applyFill="1" applyBorder="1" applyAlignment="1">
      <alignment horizontal="center"/>
    </xf>
    <xf numFmtId="0" fontId="5" fillId="3" borderId="8" xfId="0" applyFont="1" applyFill="1" applyBorder="1" applyAlignment="1">
      <alignment horizontal="center"/>
    </xf>
    <xf numFmtId="171" fontId="5" fillId="3" borderId="41" xfId="34" applyNumberFormat="1" applyFont="1" applyFill="1" applyBorder="1" applyAlignment="1" applyProtection="1">
      <alignment/>
      <protection hidden="1"/>
    </xf>
    <xf numFmtId="171" fontId="5" fillId="3" borderId="11" xfId="34" applyNumberFormat="1" applyFont="1" applyFill="1" applyBorder="1" applyAlignment="1" applyProtection="1">
      <alignment horizontal="center"/>
      <protection hidden="1"/>
    </xf>
    <xf numFmtId="171" fontId="5" fillId="3" borderId="12" xfId="34" applyNumberFormat="1" applyFont="1" applyFill="1" applyBorder="1" applyAlignment="1" applyProtection="1">
      <alignment horizontal="center"/>
      <protection hidden="1"/>
    </xf>
    <xf numFmtId="0" fontId="5" fillId="3" borderId="42" xfId="0" applyFont="1" applyFill="1" applyBorder="1" applyAlignment="1" applyProtection="1">
      <alignment/>
      <protection hidden="1"/>
    </xf>
    <xf numFmtId="0" fontId="5" fillId="3" borderId="17" xfId="0" applyFont="1" applyFill="1" applyBorder="1" applyAlignment="1" applyProtection="1">
      <alignment/>
      <protection hidden="1"/>
    </xf>
    <xf numFmtId="0" fontId="5" fillId="3" borderId="46" xfId="0" applyFont="1" applyFill="1" applyBorder="1" applyAlignment="1" applyProtection="1">
      <alignment/>
      <protection hidden="1"/>
    </xf>
    <xf numFmtId="0" fontId="5" fillId="0" borderId="14" xfId="0" applyFont="1" applyFill="1" applyBorder="1" applyAlignment="1" applyProtection="1">
      <alignment horizontal="left" shrinkToFit="1"/>
      <protection hidden="1"/>
    </xf>
    <xf numFmtId="171" fontId="5" fillId="3" borderId="10" xfId="0" applyNumberFormat="1" applyFont="1" applyFill="1" applyBorder="1" applyAlignment="1" applyProtection="1">
      <alignment horizontal="right"/>
      <protection/>
    </xf>
    <xf numFmtId="171" fontId="5" fillId="3" borderId="6" xfId="0" applyNumberFormat="1" applyFont="1" applyFill="1" applyBorder="1" applyAlignment="1">
      <alignment/>
    </xf>
    <xf numFmtId="0" fontId="12" fillId="0" borderId="0" xfId="0" applyFont="1" applyFill="1" applyAlignment="1" applyProtection="1">
      <alignment/>
      <protection hidden="1"/>
    </xf>
    <xf numFmtId="0" fontId="0" fillId="3" borderId="44" xfId="0" applyFill="1" applyBorder="1" applyAlignment="1">
      <alignment/>
    </xf>
    <xf numFmtId="0" fontId="0" fillId="3" borderId="37" xfId="0" applyFill="1" applyBorder="1" applyAlignment="1">
      <alignment/>
    </xf>
    <xf numFmtId="0" fontId="5" fillId="0" borderId="42" xfId="0" applyFont="1" applyFill="1" applyBorder="1" applyAlignment="1" applyProtection="1">
      <alignment/>
      <protection hidden="1"/>
    </xf>
    <xf numFmtId="0" fontId="0" fillId="3" borderId="30" xfId="0" applyFill="1" applyBorder="1" applyAlignment="1">
      <alignment/>
    </xf>
    <xf numFmtId="0" fontId="0" fillId="3" borderId="28" xfId="0" applyFill="1" applyBorder="1" applyAlignment="1">
      <alignment/>
    </xf>
    <xf numFmtId="0" fontId="0" fillId="3" borderId="40" xfId="0" applyFill="1" applyBorder="1" applyAlignment="1">
      <alignment/>
    </xf>
    <xf numFmtId="0" fontId="0" fillId="3" borderId="18" xfId="0" applyFill="1" applyBorder="1" applyAlignment="1">
      <alignment/>
    </xf>
    <xf numFmtId="0" fontId="0" fillId="3" borderId="50" xfId="0" applyFill="1" applyBorder="1" applyAlignment="1">
      <alignment/>
    </xf>
    <xf numFmtId="0" fontId="1" fillId="3" borderId="30" xfId="0" applyFont="1" applyFill="1" applyBorder="1" applyAlignment="1">
      <alignment/>
    </xf>
    <xf numFmtId="183" fontId="0" fillId="0" borderId="0" xfId="0" applyNumberFormat="1" applyBorder="1" applyAlignment="1">
      <alignment/>
    </xf>
    <xf numFmtId="1" fontId="0" fillId="0" borderId="0" xfId="0" applyNumberFormat="1" applyBorder="1" applyAlignment="1">
      <alignment/>
    </xf>
    <xf numFmtId="0" fontId="1" fillId="3" borderId="6" xfId="0" applyFont="1" applyFill="1" applyBorder="1" applyAlignment="1">
      <alignment horizontal="center"/>
    </xf>
    <xf numFmtId="0" fontId="4" fillId="0" borderId="0" xfId="0" applyFont="1" applyAlignment="1" applyProtection="1">
      <alignment/>
      <protection hidden="1"/>
    </xf>
    <xf numFmtId="0" fontId="1" fillId="3" borderId="9" xfId="0" applyFont="1" applyFill="1" applyBorder="1" applyAlignment="1" applyProtection="1">
      <alignment/>
      <protection hidden="1"/>
    </xf>
    <xf numFmtId="0" fontId="1" fillId="3" borderId="10" xfId="0" applyFont="1" applyFill="1" applyBorder="1" applyAlignment="1" applyProtection="1">
      <alignment/>
      <protection hidden="1"/>
    </xf>
    <xf numFmtId="0" fontId="5" fillId="3" borderId="7" xfId="0" applyFont="1" applyFill="1" applyBorder="1" applyAlignment="1">
      <alignment horizontal="left" vertical="center"/>
    </xf>
    <xf numFmtId="0" fontId="5" fillId="3" borderId="8" xfId="0" applyFont="1" applyFill="1" applyBorder="1" applyAlignment="1">
      <alignment horizontal="left" vertical="center"/>
    </xf>
    <xf numFmtId="171" fontId="5" fillId="3" borderId="9" xfId="0" applyNumberFormat="1" applyFont="1" applyFill="1" applyBorder="1" applyAlignment="1" applyProtection="1">
      <alignment/>
      <protection/>
    </xf>
    <xf numFmtId="0" fontId="0" fillId="0" borderId="0" xfId="0" applyFont="1" applyBorder="1" applyAlignment="1">
      <alignment/>
    </xf>
    <xf numFmtId="0" fontId="26" fillId="0" borderId="0" xfId="0" applyFont="1" applyBorder="1" applyAlignment="1">
      <alignment/>
    </xf>
    <xf numFmtId="0" fontId="26" fillId="0" borderId="0" xfId="0" applyFont="1" applyBorder="1" applyAlignment="1">
      <alignment horizontal="center"/>
    </xf>
    <xf numFmtId="37" fontId="5" fillId="7" borderId="0" xfId="0" applyNumberFormat="1" applyFont="1" applyFill="1" applyBorder="1" applyAlignment="1" applyProtection="1">
      <alignment horizontal="center" vertical="center"/>
      <protection hidden="1"/>
    </xf>
    <xf numFmtId="0" fontId="1" fillId="0" borderId="0" xfId="0" applyFont="1" applyBorder="1" applyAlignment="1">
      <alignment horizontal="center"/>
    </xf>
    <xf numFmtId="0" fontId="1" fillId="0" borderId="0" xfId="0" applyFont="1" applyBorder="1" applyAlignment="1">
      <alignment horizontal="center"/>
    </xf>
    <xf numFmtId="0" fontId="4" fillId="0" borderId="3" xfId="0" applyFont="1" applyBorder="1" applyAlignment="1">
      <alignment horizontal="right"/>
    </xf>
    <xf numFmtId="0" fontId="4" fillId="0" borderId="2" xfId="0" applyFont="1" applyBorder="1" applyAlignment="1">
      <alignment horizontal="right"/>
    </xf>
    <xf numFmtId="0" fontId="4" fillId="0" borderId="2" xfId="0" applyFont="1" applyBorder="1" applyAlignment="1">
      <alignment/>
    </xf>
    <xf numFmtId="0" fontId="4" fillId="0" borderId="52" xfId="0" applyFont="1" applyBorder="1" applyAlignment="1">
      <alignment horizontal="right"/>
    </xf>
    <xf numFmtId="0" fontId="4" fillId="0" borderId="52" xfId="0" applyFont="1" applyBorder="1" applyAlignment="1">
      <alignment/>
    </xf>
    <xf numFmtId="0" fontId="0" fillId="0" borderId="3" xfId="0" applyBorder="1" applyAlignment="1">
      <alignment horizontal="right"/>
    </xf>
    <xf numFmtId="0" fontId="0" fillId="0" borderId="3" xfId="0" applyFont="1" applyBorder="1" applyAlignment="1">
      <alignment/>
    </xf>
    <xf numFmtId="0" fontId="0" fillId="0" borderId="3" xfId="0" applyBorder="1" applyAlignment="1">
      <alignment/>
    </xf>
    <xf numFmtId="0" fontId="0" fillId="0" borderId="2" xfId="0" applyBorder="1" applyAlignment="1">
      <alignment/>
    </xf>
    <xf numFmtId="0" fontId="0" fillId="0" borderId="2" xfId="0" applyFont="1" applyBorder="1" applyAlignment="1">
      <alignment/>
    </xf>
    <xf numFmtId="0" fontId="0" fillId="0" borderId="52" xfId="0" applyBorder="1" applyAlignment="1">
      <alignment/>
    </xf>
    <xf numFmtId="0" fontId="0" fillId="0" borderId="52" xfId="0" applyFont="1" applyBorder="1" applyAlignment="1">
      <alignment/>
    </xf>
    <xf numFmtId="183" fontId="0" fillId="0" borderId="3" xfId="0" applyNumberFormat="1" applyBorder="1" applyAlignment="1">
      <alignment/>
    </xf>
    <xf numFmtId="1" fontId="0" fillId="0" borderId="3" xfId="0" applyNumberFormat="1" applyBorder="1" applyAlignment="1">
      <alignment/>
    </xf>
    <xf numFmtId="171" fontId="13" fillId="0" borderId="0" xfId="0" applyNumberFormat="1" applyFont="1" applyFill="1" applyAlignment="1" applyProtection="1">
      <alignment/>
      <protection hidden="1"/>
    </xf>
    <xf numFmtId="171" fontId="0" fillId="0" borderId="0" xfId="0" applyNumberFormat="1" applyFont="1" applyFill="1" applyAlignment="1" applyProtection="1">
      <alignment/>
      <protection hidden="1"/>
    </xf>
    <xf numFmtId="0" fontId="19" fillId="0" borderId="19" xfId="0" applyFont="1" applyBorder="1" applyAlignment="1" applyProtection="1">
      <alignment vertical="center"/>
      <protection/>
    </xf>
    <xf numFmtId="0" fontId="4" fillId="0" borderId="0" xfId="0" applyFont="1" applyAlignment="1">
      <alignment/>
    </xf>
    <xf numFmtId="0" fontId="26" fillId="0" borderId="0" xfId="0" applyFont="1" applyBorder="1" applyAlignment="1">
      <alignment/>
    </xf>
    <xf numFmtId="171" fontId="0" fillId="0" borderId="15" xfId="0" applyNumberFormat="1" applyFont="1" applyBorder="1" applyAlignment="1" applyProtection="1">
      <alignment/>
      <protection hidden="1"/>
    </xf>
    <xf numFmtId="2" fontId="0" fillId="0" borderId="0" xfId="0" applyNumberFormat="1" applyAlignment="1">
      <alignment/>
    </xf>
    <xf numFmtId="2" fontId="0" fillId="0" borderId="0" xfId="0" applyNumberFormat="1" applyBorder="1" applyAlignment="1">
      <alignment/>
    </xf>
    <xf numFmtId="2" fontId="0" fillId="0" borderId="0" xfId="0" applyNumberFormat="1" applyFill="1" applyAlignment="1">
      <alignment/>
    </xf>
    <xf numFmtId="2" fontId="0" fillId="0" borderId="18" xfId="0" applyNumberFormat="1" applyBorder="1" applyAlignment="1">
      <alignment/>
    </xf>
    <xf numFmtId="2" fontId="0" fillId="0" borderId="28" xfId="0" applyNumberFormat="1" applyBorder="1" applyAlignment="1">
      <alignment/>
    </xf>
    <xf numFmtId="2" fontId="0" fillId="0" borderId="3" xfId="0" applyNumberFormat="1" applyBorder="1" applyAlignment="1">
      <alignment horizontal="right"/>
    </xf>
    <xf numFmtId="2" fontId="4" fillId="0" borderId="0" xfId="0" applyNumberFormat="1" applyFont="1" applyAlignment="1">
      <alignment/>
    </xf>
    <xf numFmtId="2" fontId="0" fillId="0" borderId="0" xfId="0" applyNumberFormat="1" applyFill="1" applyBorder="1" applyAlignment="1">
      <alignment/>
    </xf>
    <xf numFmtId="171" fontId="29" fillId="0" borderId="29" xfId="0" applyNumberFormat="1" applyFont="1" applyFill="1" applyBorder="1" applyAlignment="1" applyProtection="1">
      <alignment vertical="center"/>
      <protection hidden="1"/>
    </xf>
    <xf numFmtId="0" fontId="0" fillId="0" borderId="0" xfId="0" applyNumberFormat="1" applyAlignment="1">
      <alignment/>
    </xf>
    <xf numFmtId="0" fontId="0" fillId="0" borderId="18" xfId="0" applyNumberFormat="1" applyBorder="1" applyAlignment="1">
      <alignment/>
    </xf>
    <xf numFmtId="0" fontId="0" fillId="0" borderId="53" xfId="0" applyNumberFormat="1" applyBorder="1" applyAlignment="1">
      <alignment/>
    </xf>
    <xf numFmtId="0" fontId="0" fillId="0" borderId="0" xfId="0" applyNumberFormat="1" applyFill="1" applyBorder="1" applyAlignment="1">
      <alignment/>
    </xf>
    <xf numFmtId="0" fontId="1" fillId="0" borderId="0" xfId="18" applyFont="1" applyFill="1" applyAlignment="1" applyProtection="1">
      <alignment horizontal="right"/>
      <protection hidden="1"/>
    </xf>
    <xf numFmtId="0" fontId="13" fillId="0" borderId="28" xfId="0" applyFont="1" applyBorder="1" applyAlignment="1" applyProtection="1">
      <alignment/>
      <protection hidden="1" locked="0"/>
    </xf>
    <xf numFmtId="169" fontId="4" fillId="0" borderId="0" xfId="0" applyNumberFormat="1" applyFont="1" applyFill="1" applyBorder="1" applyAlignment="1" applyProtection="1">
      <alignment/>
      <protection hidden="1"/>
    </xf>
    <xf numFmtId="0" fontId="8" fillId="0" borderId="30" xfId="0" applyFont="1" applyBorder="1" applyAlignment="1" applyProtection="1">
      <alignment/>
      <protection hidden="1"/>
    </xf>
    <xf numFmtId="0" fontId="8" fillId="0" borderId="28" xfId="0" applyFont="1" applyBorder="1" applyAlignment="1" applyProtection="1">
      <alignment/>
      <protection hidden="1"/>
    </xf>
    <xf numFmtId="0" fontId="8" fillId="0" borderId="44" xfId="0" applyFont="1" applyBorder="1" applyAlignment="1" applyProtection="1">
      <alignment/>
      <protection hidden="1"/>
    </xf>
    <xf numFmtId="0" fontId="8" fillId="0" borderId="40" xfId="0" applyFont="1" applyBorder="1" applyAlignment="1" applyProtection="1">
      <alignment/>
      <protection hidden="1"/>
    </xf>
    <xf numFmtId="0" fontId="8" fillId="0" borderId="18" xfId="0" applyFont="1" applyBorder="1" applyAlignment="1" applyProtection="1">
      <alignment/>
      <protection hidden="1"/>
    </xf>
    <xf numFmtId="0" fontId="0" fillId="0" borderId="50" xfId="0" applyBorder="1" applyAlignment="1" applyProtection="1">
      <alignment vertical="top" wrapText="1"/>
      <protection hidden="1"/>
    </xf>
    <xf numFmtId="0" fontId="0" fillId="0" borderId="0" xfId="0" applyFont="1" applyBorder="1" applyAlignment="1" applyProtection="1">
      <alignment/>
      <protection hidden="1"/>
    </xf>
    <xf numFmtId="0" fontId="0" fillId="0" borderId="19" xfId="0" applyBorder="1" applyAlignment="1" applyProtection="1">
      <alignment/>
      <protection hidden="1"/>
    </xf>
    <xf numFmtId="0" fontId="0" fillId="0" borderId="15" xfId="0" applyBorder="1" applyAlignment="1" applyProtection="1">
      <alignment/>
      <protection hidden="1"/>
    </xf>
    <xf numFmtId="0" fontId="29" fillId="0" borderId="16" xfId="0" applyFont="1" applyBorder="1" applyAlignment="1" applyProtection="1">
      <alignment/>
      <protection hidden="1"/>
    </xf>
    <xf numFmtId="0" fontId="0" fillId="0" borderId="54" xfId="0" applyBorder="1" applyAlignment="1" applyProtection="1">
      <alignment/>
      <protection hidden="1"/>
    </xf>
    <xf numFmtId="0" fontId="1" fillId="0" borderId="54" xfId="0" applyFont="1" applyBorder="1" applyAlignment="1" applyProtection="1">
      <alignment/>
      <protection hidden="1"/>
    </xf>
    <xf numFmtId="0" fontId="0" fillId="0" borderId="54" xfId="0" applyFont="1" applyBorder="1" applyAlignment="1" applyProtection="1">
      <alignment vertical="top" wrapText="1"/>
      <protection hidden="1"/>
    </xf>
    <xf numFmtId="0" fontId="1" fillId="0" borderId="54" xfId="0" applyFont="1" applyBorder="1" applyAlignment="1" applyProtection="1">
      <alignment vertical="top" wrapText="1"/>
      <protection hidden="1"/>
    </xf>
    <xf numFmtId="0" fontId="0" fillId="0" borderId="54" xfId="0" applyBorder="1" applyAlignment="1" applyProtection="1">
      <alignment vertical="top" wrapText="1"/>
      <protection hidden="1"/>
    </xf>
    <xf numFmtId="1" fontId="0" fillId="0" borderId="0" xfId="0" applyNumberFormat="1" applyFont="1" applyBorder="1" applyAlignment="1" applyProtection="1">
      <alignment/>
      <protection hidden="1"/>
    </xf>
    <xf numFmtId="1" fontId="0" fillId="0" borderId="0" xfId="0" applyNumberFormat="1" applyFont="1" applyAlignment="1" applyProtection="1">
      <alignment/>
      <protection hidden="1"/>
    </xf>
    <xf numFmtId="1" fontId="0" fillId="0" borderId="0" xfId="0" applyNumberFormat="1" applyAlignment="1" applyProtection="1">
      <alignment/>
      <protection hidden="1"/>
    </xf>
    <xf numFmtId="2" fontId="0" fillId="0" borderId="0" xfId="0" applyNumberFormat="1" applyFont="1" applyAlignment="1" applyProtection="1">
      <alignment/>
      <protection hidden="1"/>
    </xf>
    <xf numFmtId="0" fontId="1" fillId="0" borderId="0" xfId="0" applyFont="1" applyBorder="1" applyAlignment="1" applyProtection="1">
      <alignment/>
      <protection hidden="1"/>
    </xf>
    <xf numFmtId="0" fontId="0" fillId="0" borderId="53" xfId="0" applyFont="1" applyBorder="1" applyAlignment="1" applyProtection="1">
      <alignment/>
      <protection hidden="1"/>
    </xf>
    <xf numFmtId="0" fontId="7" fillId="0" borderId="15" xfId="0" applyNumberFormat="1" applyFont="1" applyBorder="1" applyAlignment="1" applyProtection="1">
      <alignment horizontal="right" vertical="center"/>
      <protection/>
    </xf>
    <xf numFmtId="0" fontId="1" fillId="3" borderId="46" xfId="0" applyFont="1" applyFill="1" applyBorder="1" applyAlignment="1">
      <alignment horizontal="center"/>
    </xf>
    <xf numFmtId="0" fontId="2" fillId="0" borderId="0" xfId="0" applyFont="1" applyFill="1" applyAlignment="1" applyProtection="1">
      <alignment/>
      <protection hidden="1"/>
    </xf>
    <xf numFmtId="0" fontId="2" fillId="0" borderId="0" xfId="0" applyNumberFormat="1" applyFont="1" applyFill="1" applyAlignment="1" applyProtection="1">
      <alignment/>
      <protection hidden="1"/>
    </xf>
    <xf numFmtId="0" fontId="2" fillId="0" borderId="0" xfId="0" applyNumberFormat="1" applyFont="1" applyFill="1" applyBorder="1" applyAlignment="1" applyProtection="1">
      <alignment horizontal="center"/>
      <protection hidden="1"/>
    </xf>
    <xf numFmtId="1" fontId="2" fillId="0" borderId="0" xfId="0" applyNumberFormat="1" applyFont="1" applyFill="1" applyBorder="1" applyAlignment="1" applyProtection="1">
      <alignment horizontal="center" wrapText="1"/>
      <protection hidden="1"/>
    </xf>
    <xf numFmtId="4" fontId="2" fillId="0" borderId="0" xfId="0" applyNumberFormat="1" applyFont="1" applyFill="1" applyBorder="1" applyAlignment="1" applyProtection="1">
      <alignment/>
      <protection hidden="1"/>
    </xf>
    <xf numFmtId="4" fontId="2" fillId="0" borderId="0" xfId="0" applyNumberFormat="1" applyFont="1" applyFill="1" applyBorder="1" applyAlignment="1" applyProtection="1">
      <alignment/>
      <protection hidden="1"/>
    </xf>
    <xf numFmtId="177" fontId="2" fillId="0" borderId="0" xfId="0" applyNumberFormat="1" applyFont="1" applyBorder="1" applyAlignment="1" applyProtection="1">
      <alignment/>
      <protection hidden="1"/>
    </xf>
    <xf numFmtId="4" fontId="2" fillId="0" borderId="0" xfId="0" applyNumberFormat="1" applyFont="1" applyFill="1" applyAlignment="1" applyProtection="1">
      <alignment/>
      <protection hidden="1"/>
    </xf>
    <xf numFmtId="0" fontId="2" fillId="0" borderId="0" xfId="0" applyFont="1" applyFill="1" applyBorder="1" applyAlignment="1" applyProtection="1">
      <alignment/>
      <protection hidden="1"/>
    </xf>
    <xf numFmtId="2" fontId="2" fillId="0" borderId="0" xfId="0" applyNumberFormat="1" applyFont="1" applyFill="1" applyBorder="1" applyAlignment="1" applyProtection="1">
      <alignment/>
      <protection hidden="1"/>
    </xf>
    <xf numFmtId="2" fontId="13" fillId="0" borderId="0" xfId="0" applyNumberFormat="1" applyFont="1" applyFill="1" applyBorder="1" applyAlignment="1" applyProtection="1">
      <alignment/>
      <protection hidden="1"/>
    </xf>
    <xf numFmtId="0" fontId="2" fillId="0" borderId="0" xfId="0" applyFont="1" applyFill="1" applyBorder="1" applyAlignment="1" applyProtection="1">
      <alignment/>
      <protection hidden="1"/>
    </xf>
    <xf numFmtId="0" fontId="13" fillId="0" borderId="0" xfId="0" applyNumberFormat="1" applyFont="1" applyFill="1" applyBorder="1" applyAlignment="1" applyProtection="1">
      <alignment/>
      <protection hidden="1"/>
    </xf>
    <xf numFmtId="0" fontId="2" fillId="0" borderId="0" xfId="0" applyNumberFormat="1" applyFont="1" applyFill="1" applyBorder="1" applyAlignment="1" applyProtection="1">
      <alignment/>
      <protection hidden="1"/>
    </xf>
    <xf numFmtId="0" fontId="13" fillId="0" borderId="0" xfId="0" applyNumberFormat="1" applyFont="1" applyFill="1" applyAlignment="1" applyProtection="1">
      <alignment/>
      <protection hidden="1"/>
    </xf>
    <xf numFmtId="0" fontId="12" fillId="0" borderId="30" xfId="0" applyFont="1" applyBorder="1" applyAlignment="1" applyProtection="1">
      <alignment vertical="center"/>
      <protection hidden="1"/>
    </xf>
    <xf numFmtId="3" fontId="1" fillId="0" borderId="3" xfId="0" applyNumberFormat="1" applyFont="1" applyBorder="1" applyAlignment="1" applyProtection="1">
      <alignment horizontal="right"/>
      <protection hidden="1"/>
    </xf>
    <xf numFmtId="3" fontId="1" fillId="0" borderId="3" xfId="0" applyNumberFormat="1" applyFont="1" applyBorder="1" applyAlignment="1" applyProtection="1">
      <alignment/>
      <protection hidden="1"/>
    </xf>
    <xf numFmtId="171" fontId="5" fillId="3" borderId="6" xfId="0" applyNumberFormat="1" applyFont="1" applyFill="1" applyBorder="1" applyAlignment="1">
      <alignment/>
    </xf>
    <xf numFmtId="2" fontId="4" fillId="0" borderId="6" xfId="0" applyNumberFormat="1" applyFont="1" applyFill="1" applyBorder="1" applyAlignment="1" applyProtection="1">
      <alignment/>
      <protection locked="0"/>
    </xf>
    <xf numFmtId="2" fontId="0" fillId="0" borderId="6" xfId="0" applyNumberFormat="1" applyFont="1" applyBorder="1" applyAlignment="1" applyProtection="1">
      <alignment/>
      <protection locked="0"/>
    </xf>
    <xf numFmtId="2" fontId="0" fillId="0" borderId="6" xfId="0" applyNumberFormat="1" applyBorder="1" applyAlignment="1">
      <alignment/>
    </xf>
    <xf numFmtId="3" fontId="0" fillId="0" borderId="6" xfId="0" applyNumberFormat="1" applyBorder="1" applyAlignment="1" applyProtection="1">
      <alignment/>
      <protection/>
    </xf>
    <xf numFmtId="181" fontId="0" fillId="0" borderId="0" xfId="0" applyNumberFormat="1" applyFill="1" applyBorder="1" applyAlignment="1" applyProtection="1">
      <alignment/>
      <protection/>
    </xf>
    <xf numFmtId="1" fontId="0" fillId="0" borderId="0" xfId="0" applyNumberFormat="1" applyFill="1" applyBorder="1" applyAlignment="1" applyProtection="1">
      <alignment/>
      <protection/>
    </xf>
    <xf numFmtId="184" fontId="0" fillId="0" borderId="0" xfId="0" applyNumberFormat="1" applyAlignment="1" applyProtection="1">
      <alignment/>
      <protection hidden="1"/>
    </xf>
    <xf numFmtId="175" fontId="4" fillId="0" borderId="17" xfId="34" applyNumberFormat="1" applyFont="1" applyFill="1" applyBorder="1" applyAlignment="1" applyProtection="1">
      <alignment/>
      <protection/>
    </xf>
    <xf numFmtId="4" fontId="4" fillId="0" borderId="17" xfId="0" applyNumberFormat="1" applyFont="1" applyFill="1" applyBorder="1" applyAlignment="1" applyProtection="1">
      <alignment/>
      <protection hidden="1"/>
    </xf>
    <xf numFmtId="0" fontId="4" fillId="0" borderId="17" xfId="0" applyFont="1" applyFill="1" applyBorder="1" applyAlignment="1" applyProtection="1">
      <alignment/>
      <protection hidden="1"/>
    </xf>
    <xf numFmtId="172" fontId="4" fillId="0" borderId="17" xfId="0" applyNumberFormat="1" applyFont="1" applyFill="1" applyBorder="1" applyAlignment="1" applyProtection="1">
      <alignment/>
      <protection hidden="1"/>
    </xf>
    <xf numFmtId="172" fontId="4" fillId="0" borderId="10" xfId="0" applyNumberFormat="1" applyFont="1" applyFill="1" applyBorder="1" applyAlignment="1" applyProtection="1">
      <alignment/>
      <protection hidden="1"/>
    </xf>
    <xf numFmtId="175" fontId="5" fillId="0" borderId="13" xfId="34" applyNumberFormat="1" applyFont="1" applyFill="1" applyBorder="1" applyAlignment="1" applyProtection="1">
      <alignment/>
      <protection/>
    </xf>
    <xf numFmtId="175" fontId="5" fillId="0" borderId="9" xfId="34" applyNumberFormat="1" applyFont="1" applyFill="1" applyBorder="1" applyAlignment="1" applyProtection="1">
      <alignment/>
      <protection/>
    </xf>
    <xf numFmtId="175" fontId="5" fillId="0" borderId="10" xfId="34" applyNumberFormat="1" applyFont="1" applyFill="1" applyBorder="1" applyAlignment="1" applyProtection="1">
      <alignment/>
      <protection/>
    </xf>
    <xf numFmtId="0" fontId="5" fillId="3" borderId="13" xfId="0" applyFont="1" applyFill="1" applyBorder="1" applyAlignment="1" applyProtection="1">
      <alignment vertical="top"/>
      <protection hidden="1"/>
    </xf>
    <xf numFmtId="0" fontId="5" fillId="3" borderId="9" xfId="0" applyFont="1" applyFill="1" applyBorder="1" applyAlignment="1" applyProtection="1">
      <alignment vertical="top"/>
      <protection hidden="1"/>
    </xf>
    <xf numFmtId="0" fontId="5" fillId="3" borderId="10" xfId="0" applyFont="1" applyFill="1" applyBorder="1" applyAlignment="1" applyProtection="1">
      <alignment vertical="top"/>
      <protection hidden="1"/>
    </xf>
    <xf numFmtId="175" fontId="5" fillId="0" borderId="41" xfId="34" applyNumberFormat="1" applyFont="1" applyFill="1" applyBorder="1" applyAlignment="1" applyProtection="1">
      <alignment/>
      <protection/>
    </xf>
    <xf numFmtId="175" fontId="5" fillId="0" borderId="11" xfId="34" applyNumberFormat="1" applyFont="1" applyFill="1" applyBorder="1" applyAlignment="1" applyProtection="1">
      <alignment/>
      <protection/>
    </xf>
    <xf numFmtId="0" fontId="0" fillId="0" borderId="42" xfId="0" applyBorder="1" applyAlignment="1">
      <alignment/>
    </xf>
    <xf numFmtId="0" fontId="0" fillId="3" borderId="11" xfId="0" applyFill="1" applyBorder="1" applyAlignment="1">
      <alignment/>
    </xf>
    <xf numFmtId="0" fontId="5" fillId="3" borderId="41" xfId="0" applyFont="1" applyFill="1" applyBorder="1" applyAlignment="1" applyProtection="1">
      <alignment/>
      <protection hidden="1"/>
    </xf>
    <xf numFmtId="0" fontId="0" fillId="3" borderId="12" xfId="0" applyFill="1" applyBorder="1" applyAlignment="1">
      <alignment/>
    </xf>
    <xf numFmtId="0" fontId="5" fillId="3" borderId="6" xfId="0" applyFont="1" applyFill="1" applyBorder="1" applyAlignment="1" applyProtection="1">
      <alignment horizontal="left" vertical="center"/>
      <protection hidden="1"/>
    </xf>
    <xf numFmtId="0" fontId="0" fillId="0" borderId="0" xfId="0" applyAlignment="1">
      <alignment vertical="center"/>
    </xf>
    <xf numFmtId="0" fontId="5" fillId="3" borderId="41" xfId="0" applyFont="1" applyFill="1" applyBorder="1" applyAlignment="1" applyProtection="1">
      <alignment/>
      <protection hidden="1"/>
    </xf>
    <xf numFmtId="0" fontId="4" fillId="3" borderId="12" xfId="0" applyFont="1" applyFill="1" applyBorder="1" applyAlignment="1">
      <alignment horizontal="right"/>
    </xf>
    <xf numFmtId="0" fontId="5" fillId="3" borderId="42" xfId="0" applyFont="1" applyFill="1" applyBorder="1" applyAlignment="1" applyProtection="1">
      <alignment/>
      <protection hidden="1"/>
    </xf>
    <xf numFmtId="0" fontId="4" fillId="3" borderId="17" xfId="0" applyFont="1" applyFill="1" applyBorder="1" applyAlignment="1" applyProtection="1">
      <alignment/>
      <protection hidden="1"/>
    </xf>
    <xf numFmtId="0" fontId="4" fillId="3" borderId="46" xfId="0" applyFont="1" applyFill="1" applyBorder="1" applyAlignment="1" applyProtection="1">
      <alignment/>
      <protection hidden="1"/>
    </xf>
    <xf numFmtId="183" fontId="0" fillId="0" borderId="28" xfId="0" applyNumberFormat="1" applyBorder="1" applyAlignment="1">
      <alignment/>
    </xf>
    <xf numFmtId="1" fontId="0" fillId="0" borderId="28" xfId="0" applyNumberFormat="1" applyBorder="1" applyAlignment="1">
      <alignment/>
    </xf>
    <xf numFmtId="0" fontId="4" fillId="3" borderId="46" xfId="0" applyFont="1" applyFill="1" applyBorder="1" applyAlignment="1">
      <alignment horizontal="right"/>
    </xf>
    <xf numFmtId="171" fontId="4" fillId="0" borderId="10" xfId="34" applyNumberFormat="1" applyFont="1" applyFill="1" applyBorder="1" applyAlignment="1" applyProtection="1">
      <alignment/>
      <protection/>
    </xf>
    <xf numFmtId="177" fontId="4" fillId="0" borderId="0" xfId="0" applyNumberFormat="1" applyFont="1" applyFill="1" applyBorder="1" applyAlignment="1" applyProtection="1">
      <alignment/>
      <protection hidden="1"/>
    </xf>
    <xf numFmtId="37" fontId="4" fillId="0" borderId="11" xfId="0" applyNumberFormat="1" applyFont="1" applyFill="1" applyBorder="1" applyAlignment="1" applyProtection="1">
      <alignment/>
      <protection hidden="1"/>
    </xf>
    <xf numFmtId="37" fontId="4" fillId="0" borderId="0" xfId="0" applyNumberFormat="1" applyFont="1" applyFill="1" applyBorder="1" applyAlignment="1" applyProtection="1" quotePrefix="1">
      <alignment/>
      <protection hidden="1"/>
    </xf>
    <xf numFmtId="4" fontId="4" fillId="0" borderId="6" xfId="0" applyNumberFormat="1" applyFont="1" applyBorder="1" applyAlignment="1">
      <alignment horizontal="right"/>
    </xf>
    <xf numFmtId="0" fontId="0" fillId="0" borderId="0" xfId="33" applyFont="1">
      <alignment/>
      <protection/>
    </xf>
    <xf numFmtId="0" fontId="1" fillId="0" borderId="0" xfId="33" applyFont="1">
      <alignment/>
      <protection/>
    </xf>
    <xf numFmtId="4" fontId="1" fillId="0" borderId="0" xfId="33" applyNumberFormat="1" applyFont="1">
      <alignment/>
      <protection/>
    </xf>
    <xf numFmtId="0" fontId="1" fillId="0" borderId="0" xfId="33" applyFont="1">
      <alignment/>
      <protection/>
    </xf>
    <xf numFmtId="4" fontId="0" fillId="0" borderId="0" xfId="33" applyNumberFormat="1" applyFont="1">
      <alignment/>
      <protection/>
    </xf>
    <xf numFmtId="0" fontId="5" fillId="0" borderId="0" xfId="33" applyFont="1" applyFill="1" applyProtection="1">
      <alignment/>
      <protection hidden="1"/>
    </xf>
    <xf numFmtId="37" fontId="4" fillId="0" borderId="46" xfId="33" applyNumberFormat="1" applyFont="1" applyFill="1" applyBorder="1" applyAlignment="1" applyProtection="1">
      <alignment/>
      <protection hidden="1"/>
    </xf>
    <xf numFmtId="0" fontId="4" fillId="0" borderId="9" xfId="33" applyFont="1" applyFill="1" applyBorder="1" applyProtection="1">
      <alignment/>
      <protection hidden="1"/>
    </xf>
    <xf numFmtId="4" fontId="0" fillId="2" borderId="55" xfId="33" applyNumberFormat="1" applyFont="1" applyFill="1" applyBorder="1">
      <alignment/>
      <protection/>
    </xf>
    <xf numFmtId="37" fontId="4" fillId="0" borderId="10" xfId="33" applyNumberFormat="1" applyFont="1" applyFill="1" applyBorder="1" applyAlignment="1" applyProtection="1">
      <alignment/>
      <protection hidden="1"/>
    </xf>
    <xf numFmtId="4" fontId="0" fillId="2" borderId="56" xfId="33" applyNumberFormat="1" applyFont="1" applyFill="1" applyBorder="1">
      <alignment/>
      <protection/>
    </xf>
    <xf numFmtId="37" fontId="4" fillId="0" borderId="12" xfId="33" applyNumberFormat="1" applyFont="1" applyFill="1" applyBorder="1" applyAlignment="1" applyProtection="1">
      <alignment/>
      <protection hidden="1"/>
    </xf>
    <xf numFmtId="0" fontId="4" fillId="0" borderId="11" xfId="33" applyFont="1" applyFill="1" applyBorder="1" applyProtection="1">
      <alignment/>
      <protection hidden="1"/>
    </xf>
    <xf numFmtId="4" fontId="0" fillId="2" borderId="57" xfId="33" applyNumberFormat="1" applyFont="1" applyFill="1" applyBorder="1">
      <alignment/>
      <protection/>
    </xf>
    <xf numFmtId="0" fontId="4" fillId="0" borderId="0" xfId="33" applyFont="1" applyFill="1" applyBorder="1" applyProtection="1">
      <alignment/>
      <protection hidden="1"/>
    </xf>
    <xf numFmtId="4" fontId="0" fillId="0" borderId="0" xfId="33" applyNumberFormat="1" applyFont="1" applyFill="1" applyBorder="1">
      <alignment/>
      <protection/>
    </xf>
    <xf numFmtId="37" fontId="5" fillId="0" borderId="13" xfId="33" applyNumberFormat="1" applyFont="1" applyFill="1" applyBorder="1" applyAlignment="1" applyProtection="1">
      <alignment/>
      <protection hidden="1"/>
    </xf>
    <xf numFmtId="4" fontId="0" fillId="2" borderId="58" xfId="33" applyNumberFormat="1" applyFont="1" applyFill="1" applyBorder="1">
      <alignment/>
      <protection/>
    </xf>
    <xf numFmtId="0" fontId="5" fillId="0" borderId="0" xfId="33" applyFont="1" applyFill="1" applyBorder="1" applyProtection="1">
      <alignment/>
      <protection hidden="1"/>
    </xf>
    <xf numFmtId="37" fontId="4" fillId="0" borderId="9" xfId="33" applyNumberFormat="1" applyFont="1" applyFill="1" applyBorder="1" applyAlignment="1" applyProtection="1">
      <alignment/>
      <protection hidden="1"/>
    </xf>
    <xf numFmtId="0" fontId="0" fillId="0" borderId="0" xfId="33" applyFont="1" applyFill="1" applyBorder="1" applyAlignment="1">
      <alignment vertical="top" wrapText="1"/>
      <protection/>
    </xf>
    <xf numFmtId="0" fontId="4" fillId="0" borderId="6" xfId="33" applyFont="1" applyBorder="1" applyAlignment="1" applyProtection="1">
      <alignment/>
      <protection/>
    </xf>
    <xf numFmtId="37" fontId="4" fillId="0" borderId="0" xfId="33" applyNumberFormat="1" applyFont="1" applyFill="1" applyBorder="1" applyAlignment="1" applyProtection="1">
      <alignment/>
      <protection hidden="1"/>
    </xf>
    <xf numFmtId="0" fontId="4" fillId="0" borderId="6" xfId="33" applyFont="1" applyBorder="1" applyProtection="1">
      <alignment/>
      <protection/>
    </xf>
    <xf numFmtId="37" fontId="5" fillId="0" borderId="0" xfId="33" applyNumberFormat="1" applyFont="1" applyFill="1" applyBorder="1" applyAlignment="1" applyProtection="1">
      <alignment/>
      <protection hidden="1"/>
    </xf>
    <xf numFmtId="37" fontId="4" fillId="0" borderId="6" xfId="33" applyNumberFormat="1" applyFont="1" applyFill="1" applyBorder="1" applyAlignment="1" applyProtection="1">
      <alignment/>
      <protection hidden="1"/>
    </xf>
    <xf numFmtId="0" fontId="5" fillId="0" borderId="13" xfId="33" applyFont="1" applyFill="1" applyBorder="1" applyProtection="1">
      <alignment/>
      <protection hidden="1"/>
    </xf>
    <xf numFmtId="0" fontId="4" fillId="0" borderId="13" xfId="33" applyFont="1" applyFill="1" applyBorder="1" applyProtection="1">
      <alignment/>
      <protection hidden="1"/>
    </xf>
    <xf numFmtId="3" fontId="4" fillId="0" borderId="41" xfId="33" applyNumberFormat="1" applyFont="1" applyBorder="1" applyProtection="1">
      <alignment/>
      <protection hidden="1"/>
    </xf>
    <xf numFmtId="4" fontId="0" fillId="11" borderId="55" xfId="33" applyNumberFormat="1" applyFont="1" applyFill="1" applyBorder="1">
      <alignment/>
      <protection/>
    </xf>
    <xf numFmtId="4" fontId="0" fillId="11" borderId="57" xfId="33" applyNumberFormat="1" applyFont="1" applyFill="1" applyBorder="1">
      <alignment/>
      <protection/>
    </xf>
    <xf numFmtId="0" fontId="5" fillId="0" borderId="0" xfId="33" applyNumberFormat="1" applyFont="1" applyFill="1" applyBorder="1" applyAlignment="1" applyProtection="1">
      <alignment horizontal="left"/>
      <protection hidden="1"/>
    </xf>
    <xf numFmtId="0" fontId="5" fillId="0" borderId="9" xfId="33" applyFont="1" applyFill="1" applyBorder="1" applyProtection="1">
      <alignment/>
      <protection hidden="1"/>
    </xf>
    <xf numFmtId="37" fontId="4" fillId="0" borderId="6" xfId="33" applyNumberFormat="1" applyFont="1" applyFill="1" applyBorder="1" applyAlignment="1" applyProtection="1">
      <alignment horizontal="left" wrapText="1"/>
      <protection hidden="1"/>
    </xf>
    <xf numFmtId="37" fontId="4" fillId="0" borderId="11" xfId="33" applyNumberFormat="1" applyFont="1" applyFill="1" applyBorder="1" applyAlignment="1" applyProtection="1">
      <alignment/>
      <protection hidden="1"/>
    </xf>
    <xf numFmtId="37" fontId="4" fillId="11" borderId="55" xfId="33" applyNumberFormat="1" applyFont="1" applyFill="1" applyBorder="1" applyAlignment="1" applyProtection="1">
      <alignment/>
      <protection hidden="1"/>
    </xf>
    <xf numFmtId="37" fontId="4" fillId="11" borderId="59" xfId="33" applyNumberFormat="1" applyFont="1" applyFill="1" applyBorder="1" applyAlignment="1" applyProtection="1">
      <alignment/>
      <protection hidden="1"/>
    </xf>
    <xf numFmtId="169" fontId="4" fillId="0" borderId="6" xfId="0" applyNumberFormat="1" applyFont="1" applyBorder="1" applyAlignment="1" applyProtection="1">
      <alignment/>
      <protection hidden="1"/>
    </xf>
    <xf numFmtId="10" fontId="0" fillId="0" borderId="0" xfId="33" applyNumberFormat="1" applyFont="1">
      <alignment/>
      <protection/>
    </xf>
    <xf numFmtId="0" fontId="1" fillId="0" borderId="0" xfId="33" applyFont="1" applyAlignment="1">
      <alignment horizontal="center"/>
      <protection/>
    </xf>
    <xf numFmtId="10" fontId="0" fillId="9" borderId="58" xfId="33" applyNumberFormat="1" applyFont="1" applyFill="1" applyBorder="1">
      <alignment/>
      <protection/>
    </xf>
    <xf numFmtId="37" fontId="4" fillId="0" borderId="6" xfId="0" applyNumberFormat="1" applyFont="1" applyFill="1" applyBorder="1" applyAlignment="1" applyProtection="1">
      <alignment/>
      <protection hidden="1"/>
    </xf>
    <xf numFmtId="9" fontId="4" fillId="0" borderId="9" xfId="34" applyNumberFormat="1" applyFont="1" applyFill="1" applyBorder="1" applyAlignment="1" applyProtection="1">
      <alignment/>
      <protection/>
    </xf>
    <xf numFmtId="9" fontId="4" fillId="0" borderId="10" xfId="34" applyNumberFormat="1" applyFont="1" applyFill="1" applyBorder="1" applyAlignment="1" applyProtection="1">
      <alignment/>
      <protection/>
    </xf>
    <xf numFmtId="14" fontId="0" fillId="0" borderId="0" xfId="0" applyNumberFormat="1" applyAlignment="1">
      <alignment/>
    </xf>
    <xf numFmtId="0" fontId="4" fillId="0" borderId="0" xfId="0" applyFont="1" applyAlignment="1" applyProtection="1">
      <alignment horizontal="justify" vertical="top"/>
      <protection/>
    </xf>
    <xf numFmtId="181" fontId="0" fillId="0" borderId="0" xfId="0" applyNumberFormat="1" applyFill="1" applyAlignment="1" applyProtection="1">
      <alignment/>
      <protection hidden="1"/>
    </xf>
    <xf numFmtId="0" fontId="5" fillId="0" borderId="0" xfId="0" applyFont="1" applyFill="1" applyBorder="1" applyAlignment="1" applyProtection="1">
      <alignment horizontal="left"/>
      <protection/>
    </xf>
    <xf numFmtId="0" fontId="5" fillId="0" borderId="17" xfId="0" applyFont="1" applyBorder="1" applyAlignment="1">
      <alignment horizontal="left"/>
    </xf>
    <xf numFmtId="0" fontId="5" fillId="0" borderId="0" xfId="0" applyFont="1" applyBorder="1" applyAlignment="1">
      <alignment horizontal="left"/>
    </xf>
    <xf numFmtId="0" fontId="0" fillId="0" borderId="0" xfId="0" applyAlignment="1" applyProtection="1">
      <alignment wrapText="1"/>
      <protection/>
    </xf>
    <xf numFmtId="14" fontId="7" fillId="0" borderId="0" xfId="33" applyNumberFormat="1" applyFont="1">
      <alignment/>
      <protection/>
    </xf>
    <xf numFmtId="37" fontId="4" fillId="0" borderId="0" xfId="0" applyNumberFormat="1" applyFont="1" applyFill="1" applyBorder="1" applyAlignment="1" applyProtection="1">
      <alignment/>
      <protection hidden="1"/>
    </xf>
    <xf numFmtId="0" fontId="0" fillId="0" borderId="6" xfId="0" applyBorder="1" applyAlignment="1" applyProtection="1">
      <alignment/>
      <protection/>
    </xf>
    <xf numFmtId="0" fontId="5" fillId="0" borderId="6" xfId="0" applyFont="1" applyFill="1" applyBorder="1" applyAlignment="1" applyProtection="1">
      <alignment/>
      <protection hidden="1"/>
    </xf>
    <xf numFmtId="0" fontId="0" fillId="0" borderId="30" xfId="0" applyBorder="1" applyAlignment="1">
      <alignment/>
    </xf>
    <xf numFmtId="15" fontId="0" fillId="0" borderId="28" xfId="0" applyNumberFormat="1" applyBorder="1" applyAlignment="1">
      <alignment/>
    </xf>
    <xf numFmtId="14" fontId="0" fillId="0" borderId="28" xfId="0" applyNumberFormat="1" applyBorder="1" applyAlignment="1">
      <alignment/>
    </xf>
    <xf numFmtId="14" fontId="0" fillId="0" borderId="44" xfId="0" applyNumberFormat="1" applyBorder="1" applyAlignment="1">
      <alignment/>
    </xf>
    <xf numFmtId="15" fontId="0" fillId="0" borderId="0" xfId="0" applyNumberFormat="1" applyBorder="1" applyAlignment="1">
      <alignment/>
    </xf>
    <xf numFmtId="14" fontId="0" fillId="0" borderId="0" xfId="0" applyNumberFormat="1" applyBorder="1" applyAlignment="1">
      <alignment/>
    </xf>
    <xf numFmtId="14" fontId="0" fillId="0" borderId="37" xfId="0" applyNumberFormat="1" applyBorder="1" applyAlignment="1">
      <alignment/>
    </xf>
    <xf numFmtId="3" fontId="2" fillId="0" borderId="0" xfId="0" applyNumberFormat="1" applyFont="1" applyAlignment="1">
      <alignment/>
    </xf>
    <xf numFmtId="9" fontId="4" fillId="8" borderId="6" xfId="34" applyNumberFormat="1" applyFont="1" applyFill="1" applyBorder="1" applyAlignment="1" applyProtection="1">
      <alignment/>
      <protection/>
    </xf>
    <xf numFmtId="9" fontId="4" fillId="8" borderId="13" xfId="34" applyNumberFormat="1" applyFont="1" applyFill="1" applyBorder="1" applyAlignment="1" applyProtection="1">
      <alignment/>
      <protection/>
    </xf>
    <xf numFmtId="9" fontId="4" fillId="8" borderId="6" xfId="0" applyNumberFormat="1" applyFont="1" applyFill="1" applyBorder="1" applyAlignment="1">
      <alignment/>
    </xf>
    <xf numFmtId="4" fontId="4" fillId="0" borderId="43" xfId="0" applyNumberFormat="1" applyFont="1" applyBorder="1" applyAlignment="1">
      <alignment vertical="center"/>
    </xf>
    <xf numFmtId="0" fontId="0" fillId="3" borderId="29" xfId="0" applyFill="1" applyBorder="1" applyAlignment="1">
      <alignment/>
    </xf>
    <xf numFmtId="0" fontId="0" fillId="0" borderId="41" xfId="0" applyBorder="1" applyAlignment="1">
      <alignment/>
    </xf>
    <xf numFmtId="0" fontId="0" fillId="0" borderId="12" xfId="0" applyBorder="1" applyAlignment="1">
      <alignment/>
    </xf>
    <xf numFmtId="0" fontId="0" fillId="0" borderId="14" xfId="0" applyBorder="1" applyAlignment="1">
      <alignment/>
    </xf>
    <xf numFmtId="4" fontId="4" fillId="0" borderId="0" xfId="0" applyNumberFormat="1" applyFont="1" applyFill="1" applyAlignment="1" applyProtection="1">
      <alignment/>
      <protection hidden="1"/>
    </xf>
    <xf numFmtId="0" fontId="1" fillId="0" borderId="60" xfId="33" applyFont="1" applyBorder="1">
      <alignment/>
      <protection/>
    </xf>
    <xf numFmtId="0" fontId="0" fillId="0" borderId="61" xfId="33" applyFont="1" applyBorder="1">
      <alignment/>
      <protection/>
    </xf>
    <xf numFmtId="4" fontId="0" fillId="0" borderId="62" xfId="33" applyNumberFormat="1" applyFont="1" applyBorder="1">
      <alignment/>
      <protection/>
    </xf>
    <xf numFmtId="14" fontId="2" fillId="0" borderId="0" xfId="0" applyNumberFormat="1" applyFont="1" applyBorder="1" applyAlignment="1" applyProtection="1">
      <alignment vertical="top" wrapText="1"/>
      <protection hidden="1"/>
    </xf>
    <xf numFmtId="0" fontId="32" fillId="0" borderId="0" xfId="0" applyFont="1" applyBorder="1" applyAlignment="1" applyProtection="1">
      <alignment horizontal="right" vertical="top" wrapText="1"/>
      <protection hidden="1"/>
    </xf>
    <xf numFmtId="181" fontId="0" fillId="9" borderId="3" xfId="0" applyNumberFormat="1" applyFill="1" applyBorder="1" applyAlignment="1">
      <alignment/>
    </xf>
    <xf numFmtId="4" fontId="4" fillId="3" borderId="9" xfId="0" applyNumberFormat="1" applyFont="1" applyFill="1" applyBorder="1" applyAlignment="1" applyProtection="1">
      <alignment/>
      <protection hidden="1"/>
    </xf>
    <xf numFmtId="0" fontId="4" fillId="0" borderId="0" xfId="0" applyFont="1" applyFill="1" applyAlignment="1" applyProtection="1">
      <alignment/>
      <protection hidden="1" locked="0"/>
    </xf>
    <xf numFmtId="0" fontId="0" fillId="0" borderId="0" xfId="0" applyFont="1" applyAlignment="1">
      <alignment/>
    </xf>
    <xf numFmtId="0" fontId="1" fillId="0" borderId="30" xfId="0" applyFont="1" applyBorder="1" applyAlignment="1">
      <alignment/>
    </xf>
    <xf numFmtId="0" fontId="1" fillId="0" borderId="44" xfId="0" applyFont="1" applyBorder="1" applyAlignment="1">
      <alignment/>
    </xf>
    <xf numFmtId="0" fontId="1" fillId="0" borderId="29" xfId="0" applyFont="1" applyBorder="1" applyAlignment="1">
      <alignment/>
    </xf>
    <xf numFmtId="0" fontId="1" fillId="0" borderId="37" xfId="0" applyFont="1" applyBorder="1" applyAlignment="1">
      <alignment/>
    </xf>
    <xf numFmtId="0" fontId="1" fillId="3" borderId="3" xfId="0" applyFont="1" applyFill="1" applyBorder="1" applyAlignment="1">
      <alignment/>
    </xf>
    <xf numFmtId="171" fontId="0" fillId="0" borderId="0" xfId="0" applyNumberFormat="1" applyBorder="1" applyAlignment="1">
      <alignment/>
    </xf>
    <xf numFmtId="37" fontId="4" fillId="0" borderId="13" xfId="0" applyNumberFormat="1" applyFont="1" applyFill="1" applyBorder="1" applyAlignment="1" applyProtection="1">
      <alignment/>
      <protection hidden="1"/>
    </xf>
    <xf numFmtId="0" fontId="4" fillId="0" borderId="17" xfId="0" applyFont="1" applyBorder="1" applyAlignment="1">
      <alignment/>
    </xf>
    <xf numFmtId="3" fontId="4" fillId="12" borderId="56" xfId="33" applyNumberFormat="1" applyFont="1" applyFill="1" applyBorder="1" applyProtection="1">
      <alignment/>
      <protection hidden="1"/>
    </xf>
    <xf numFmtId="0" fontId="0" fillId="12" borderId="57" xfId="33" applyFont="1" applyFill="1" applyBorder="1">
      <alignment/>
      <protection/>
    </xf>
    <xf numFmtId="4" fontId="0" fillId="12" borderId="56" xfId="33" applyNumberFormat="1" applyFont="1" applyFill="1" applyBorder="1">
      <alignment/>
      <protection/>
    </xf>
    <xf numFmtId="4" fontId="0" fillId="12" borderId="57" xfId="33" applyNumberFormat="1" applyFont="1" applyFill="1" applyBorder="1">
      <alignment/>
      <protection/>
    </xf>
    <xf numFmtId="3" fontId="4" fillId="12" borderId="55" xfId="33" applyNumberFormat="1" applyFont="1" applyFill="1" applyBorder="1" applyProtection="1">
      <alignment/>
      <protection hidden="1"/>
    </xf>
    <xf numFmtId="3" fontId="4" fillId="0" borderId="26" xfId="33" applyNumberFormat="1" applyFont="1" applyFill="1" applyBorder="1" applyProtection="1">
      <alignment/>
      <protection hidden="1"/>
    </xf>
    <xf numFmtId="4" fontId="0" fillId="0" borderId="26" xfId="33" applyNumberFormat="1" applyFont="1" applyFill="1" applyBorder="1">
      <alignment/>
      <protection/>
    </xf>
    <xf numFmtId="0" fontId="1" fillId="0" borderId="0" xfId="33" applyFont="1" applyFill="1" applyBorder="1">
      <alignment/>
      <protection/>
    </xf>
    <xf numFmtId="4" fontId="1" fillId="12" borderId="55" xfId="33" applyNumberFormat="1" applyFont="1" applyFill="1" applyBorder="1">
      <alignment/>
      <protection/>
    </xf>
    <xf numFmtId="4" fontId="1" fillId="12" borderId="56" xfId="33" applyNumberFormat="1" applyFont="1" applyFill="1" applyBorder="1">
      <alignment/>
      <protection/>
    </xf>
    <xf numFmtId="4" fontId="1" fillId="12" borderId="57" xfId="33" applyNumberFormat="1" applyFont="1" applyFill="1" applyBorder="1">
      <alignment/>
      <protection/>
    </xf>
    <xf numFmtId="4" fontId="0" fillId="12" borderId="55" xfId="33" applyNumberFormat="1" applyFont="1" applyFill="1" applyBorder="1">
      <alignment/>
      <protection/>
    </xf>
    <xf numFmtId="4" fontId="5" fillId="0" borderId="13" xfId="0" applyNumberFormat="1" applyFont="1" applyFill="1" applyBorder="1" applyAlignment="1" applyProtection="1">
      <alignment/>
      <protection hidden="1"/>
    </xf>
    <xf numFmtId="3" fontId="4" fillId="0" borderId="10" xfId="0" applyNumberFormat="1" applyFont="1" applyFill="1" applyBorder="1" applyAlignment="1" applyProtection="1">
      <alignment/>
      <protection/>
    </xf>
    <xf numFmtId="0" fontId="4" fillId="8" borderId="10" xfId="0" applyFont="1" applyFill="1" applyBorder="1" applyAlignment="1" applyProtection="1">
      <alignment/>
      <protection/>
    </xf>
    <xf numFmtId="0" fontId="4" fillId="0" borderId="7" xfId="0" applyFont="1" applyFill="1" applyBorder="1" applyAlignment="1" applyProtection="1">
      <alignment horizontal="left"/>
      <protection hidden="1"/>
    </xf>
    <xf numFmtId="37" fontId="4" fillId="0" borderId="7" xfId="0" applyNumberFormat="1" applyFont="1" applyFill="1" applyBorder="1" applyAlignment="1" applyProtection="1">
      <alignment horizontal="left"/>
      <protection hidden="1"/>
    </xf>
    <xf numFmtId="0" fontId="4" fillId="0" borderId="41" xfId="0" applyFont="1" applyBorder="1" applyAlignment="1">
      <alignment wrapText="1"/>
    </xf>
    <xf numFmtId="0" fontId="4" fillId="0" borderId="7" xfId="0" applyFont="1" applyFill="1" applyBorder="1" applyAlignment="1" applyProtection="1">
      <alignment horizontal="left"/>
      <protection/>
    </xf>
    <xf numFmtId="0" fontId="5" fillId="0" borderId="7" xfId="0" applyFont="1" applyBorder="1" applyAlignment="1">
      <alignment horizontal="center"/>
    </xf>
    <xf numFmtId="3" fontId="0" fillId="0" borderId="7" xfId="0" applyNumberFormat="1" applyFont="1" applyBorder="1" applyAlignment="1" applyProtection="1">
      <alignment/>
      <protection locked="0"/>
    </xf>
    <xf numFmtId="3" fontId="0" fillId="0" borderId="7" xfId="0" applyNumberFormat="1" applyFont="1" applyBorder="1" applyAlignment="1">
      <alignment/>
    </xf>
    <xf numFmtId="179" fontId="0" fillId="0" borderId="7" xfId="0" applyNumberFormat="1" applyFont="1" applyBorder="1" applyAlignment="1" applyProtection="1">
      <alignment/>
      <protection locked="0"/>
    </xf>
    <xf numFmtId="0" fontId="5" fillId="3" borderId="10" xfId="0" applyFont="1" applyFill="1" applyBorder="1" applyAlignment="1" applyProtection="1">
      <alignment horizontal="left"/>
      <protection hidden="1"/>
    </xf>
    <xf numFmtId="0" fontId="5" fillId="0" borderId="28" xfId="0" applyFont="1" applyFill="1" applyBorder="1" applyAlignment="1" applyProtection="1">
      <alignment horizontal="left"/>
      <protection hidden="1"/>
    </xf>
    <xf numFmtId="0" fontId="5" fillId="0" borderId="44" xfId="0" applyFont="1" applyFill="1" applyBorder="1" applyAlignment="1" applyProtection="1">
      <alignment horizontal="left"/>
      <protection hidden="1"/>
    </xf>
    <xf numFmtId="0" fontId="5" fillId="0" borderId="37" xfId="0" applyFont="1" applyFill="1" applyBorder="1" applyAlignment="1" applyProtection="1">
      <alignment horizontal="left"/>
      <protection hidden="1"/>
    </xf>
    <xf numFmtId="0" fontId="4" fillId="0" borderId="30" xfId="0" applyFont="1" applyFill="1" applyBorder="1" applyAlignment="1" applyProtection="1">
      <alignment horizontal="left"/>
      <protection hidden="1"/>
    </xf>
    <xf numFmtId="0" fontId="4" fillId="0" borderId="29" xfId="0" applyFont="1" applyFill="1" applyBorder="1" applyAlignment="1" applyProtection="1">
      <alignment horizontal="left"/>
      <protection hidden="1"/>
    </xf>
    <xf numFmtId="0" fontId="7" fillId="0" borderId="0" xfId="0" applyFont="1" applyBorder="1" applyAlignment="1">
      <alignment/>
    </xf>
    <xf numFmtId="0" fontId="4" fillId="0" borderId="37" xfId="0" applyFont="1" applyFill="1" applyBorder="1" applyAlignment="1" applyProtection="1">
      <alignment horizontal="left"/>
      <protection hidden="1"/>
    </xf>
    <xf numFmtId="0" fontId="5" fillId="3" borderId="13" xfId="0" applyFont="1" applyFill="1" applyBorder="1" applyAlignment="1">
      <alignment/>
    </xf>
    <xf numFmtId="0" fontId="1" fillId="0" borderId="0" xfId="0" applyFont="1" applyFill="1" applyAlignment="1" applyProtection="1">
      <alignment horizontal="left"/>
      <protection hidden="1"/>
    </xf>
    <xf numFmtId="0" fontId="5" fillId="0" borderId="0" xfId="0" applyFont="1" applyBorder="1" applyAlignment="1">
      <alignment/>
    </xf>
    <xf numFmtId="0" fontId="5" fillId="3" borderId="63" xfId="0" applyFont="1" applyFill="1" applyBorder="1" applyAlignment="1" applyProtection="1">
      <alignment horizontal="left"/>
      <protection hidden="1"/>
    </xf>
    <xf numFmtId="0" fontId="4" fillId="0" borderId="40" xfId="0" applyFont="1" applyFill="1" applyBorder="1" applyAlignment="1" applyProtection="1">
      <alignment horizontal="left"/>
      <protection hidden="1"/>
    </xf>
    <xf numFmtId="0" fontId="7" fillId="0" borderId="18" xfId="0" applyFont="1" applyBorder="1" applyAlignment="1">
      <alignment/>
    </xf>
    <xf numFmtId="0" fontId="4" fillId="0" borderId="18" xfId="0" applyFont="1" applyFill="1" applyBorder="1" applyAlignment="1" applyProtection="1">
      <alignment horizontal="left"/>
      <protection hidden="1"/>
    </xf>
    <xf numFmtId="0" fontId="4" fillId="0" borderId="50" xfId="0" applyFont="1" applyFill="1" applyBorder="1" applyAlignment="1" applyProtection="1">
      <alignment horizontal="left"/>
      <protection hidden="1"/>
    </xf>
    <xf numFmtId="171" fontId="5" fillId="3" borderId="9" xfId="0" applyNumberFormat="1" applyFont="1" applyFill="1" applyBorder="1" applyAlignment="1" applyProtection="1">
      <alignment horizontal="left"/>
      <protection hidden="1"/>
    </xf>
    <xf numFmtId="0" fontId="1" fillId="3" borderId="10" xfId="0" applyFont="1" applyFill="1" applyBorder="1" applyAlignment="1">
      <alignment/>
    </xf>
    <xf numFmtId="0" fontId="1" fillId="3" borderId="9" xfId="0" applyFont="1" applyFill="1" applyBorder="1" applyAlignment="1">
      <alignment/>
    </xf>
    <xf numFmtId="0" fontId="5" fillId="3" borderId="13" xfId="0" applyFont="1" applyFill="1" applyBorder="1" applyAlignment="1" applyProtection="1">
      <alignment vertical="center"/>
      <protection hidden="1"/>
    </xf>
    <xf numFmtId="0" fontId="1" fillId="3" borderId="9" xfId="0" applyFont="1" applyFill="1" applyBorder="1" applyAlignment="1">
      <alignment/>
    </xf>
    <xf numFmtId="0" fontId="0" fillId="0" borderId="3" xfId="0" applyBorder="1" applyAlignment="1">
      <alignment horizontal="center"/>
    </xf>
    <xf numFmtId="1" fontId="0" fillId="0" borderId="29" xfId="0" applyNumberFormat="1" applyBorder="1" applyAlignment="1">
      <alignment/>
    </xf>
    <xf numFmtId="1" fontId="4" fillId="0" borderId="3" xfId="0" applyNumberFormat="1" applyFont="1" applyFill="1" applyBorder="1" applyAlignment="1" applyProtection="1">
      <alignment horizontal="left" vertical="center"/>
      <protection locked="0"/>
    </xf>
    <xf numFmtId="0" fontId="0" fillId="0" borderId="0" xfId="0" applyFont="1" applyAlignment="1">
      <alignment horizontal="justify" vertical="top" wrapText="1"/>
    </xf>
    <xf numFmtId="170" fontId="5" fillId="0" borderId="13" xfId="0" applyNumberFormat="1" applyFont="1" applyFill="1" applyBorder="1" applyAlignment="1" applyProtection="1">
      <alignment/>
      <protection/>
    </xf>
    <xf numFmtId="0" fontId="0" fillId="0" borderId="9" xfId="0" applyBorder="1" applyAlignment="1">
      <alignment/>
    </xf>
    <xf numFmtId="0" fontId="0" fillId="0" borderId="10" xfId="0" applyBorder="1" applyAlignment="1">
      <alignment/>
    </xf>
    <xf numFmtId="171" fontId="4" fillId="0" borderId="13" xfId="0" applyNumberFormat="1" applyFont="1" applyFill="1" applyBorder="1" applyAlignment="1" applyProtection="1">
      <alignment/>
      <protection locked="0"/>
    </xf>
    <xf numFmtId="0" fontId="0" fillId="0" borderId="10" xfId="0" applyBorder="1" applyAlignment="1" applyProtection="1">
      <alignment/>
      <protection locked="0"/>
    </xf>
    <xf numFmtId="171" fontId="4" fillId="0" borderId="13" xfId="0" applyNumberFormat="1" applyFont="1" applyBorder="1" applyAlignment="1" applyProtection="1">
      <alignment/>
      <protection/>
    </xf>
    <xf numFmtId="171" fontId="4" fillId="0" borderId="9" xfId="0" applyNumberFormat="1" applyFont="1" applyBorder="1" applyAlignment="1" applyProtection="1">
      <alignment/>
      <protection/>
    </xf>
    <xf numFmtId="171" fontId="5" fillId="3" borderId="13" xfId="0" applyNumberFormat="1" applyFont="1" applyFill="1" applyBorder="1" applyAlignment="1" applyProtection="1">
      <alignment/>
      <protection/>
    </xf>
    <xf numFmtId="0" fontId="4" fillId="9" borderId="19" xfId="0" applyNumberFormat="1" applyFont="1" applyFill="1" applyBorder="1" applyAlignment="1" applyProtection="1">
      <alignment horizontal="center" vertical="center"/>
      <protection/>
    </xf>
    <xf numFmtId="0" fontId="0" fillId="9" borderId="16" xfId="0" applyFill="1" applyBorder="1" applyAlignment="1">
      <alignment horizontal="center" vertical="center"/>
    </xf>
    <xf numFmtId="0" fontId="0" fillId="0" borderId="0" xfId="0" applyAlignment="1">
      <alignment/>
    </xf>
    <xf numFmtId="0" fontId="4" fillId="0" borderId="0" xfId="0" applyNumberFormat="1" applyFont="1" applyAlignment="1" applyProtection="1">
      <alignment vertical="top" wrapText="1"/>
      <protection/>
    </xf>
    <xf numFmtId="0" fontId="0" fillId="0" borderId="0" xfId="0" applyAlignment="1">
      <alignment wrapText="1"/>
    </xf>
    <xf numFmtId="0" fontId="4" fillId="0" borderId="30" xfId="0" applyFont="1" applyBorder="1" applyAlignment="1" applyProtection="1">
      <alignment horizontal="center" vertical="top"/>
      <protection/>
    </xf>
    <xf numFmtId="0" fontId="4" fillId="0" borderId="44" xfId="0" applyFont="1" applyBorder="1" applyAlignment="1" applyProtection="1">
      <alignment horizontal="center" vertical="top"/>
      <protection/>
    </xf>
    <xf numFmtId="0" fontId="5" fillId="0" borderId="0" xfId="0" applyNumberFormat="1" applyFont="1" applyAlignment="1" applyProtection="1">
      <alignment horizontal="left" wrapText="1"/>
      <protection/>
    </xf>
    <xf numFmtId="0" fontId="1" fillId="0" borderId="0" xfId="0" applyFont="1" applyAlignment="1">
      <alignment horizontal="left" wrapText="1"/>
    </xf>
    <xf numFmtId="0" fontId="5" fillId="0" borderId="0" xfId="0" applyFont="1" applyAlignment="1">
      <alignment/>
    </xf>
    <xf numFmtId="0" fontId="4" fillId="0" borderId="0" xfId="0" applyFont="1" applyAlignment="1" applyProtection="1">
      <alignment horizontal="justify" vertical="top"/>
      <protection locked="0"/>
    </xf>
    <xf numFmtId="0" fontId="4" fillId="0" borderId="0" xfId="0" applyFont="1" applyAlignment="1">
      <alignment/>
    </xf>
    <xf numFmtId="0" fontId="0" fillId="0" borderId="0" xfId="0" applyAlignment="1">
      <alignment/>
    </xf>
    <xf numFmtId="0" fontId="4" fillId="0" borderId="0" xfId="0" applyFont="1" applyAlignment="1" applyProtection="1">
      <alignment vertical="top"/>
      <protection/>
    </xf>
    <xf numFmtId="0" fontId="4" fillId="0" borderId="0" xfId="0" applyFont="1" applyAlignment="1" applyProtection="1">
      <alignment vertical="top" wrapText="1"/>
      <protection/>
    </xf>
    <xf numFmtId="0" fontId="4" fillId="0" borderId="0" xfId="0" applyFont="1" applyAlignment="1">
      <alignment vertical="top" wrapText="1"/>
    </xf>
    <xf numFmtId="0" fontId="4" fillId="0" borderId="0" xfId="0" applyNumberFormat="1" applyFont="1" applyAlignment="1" applyProtection="1">
      <alignment horizontal="justify" vertical="top" wrapText="1"/>
      <protection/>
    </xf>
    <xf numFmtId="0" fontId="5" fillId="0" borderId="0" xfId="0" applyFont="1" applyAlignment="1" applyProtection="1">
      <alignment horizontal="justify" vertical="top" wrapText="1"/>
      <protection/>
    </xf>
    <xf numFmtId="0" fontId="4" fillId="0" borderId="0" xfId="0" applyFont="1" applyAlignment="1" applyProtection="1">
      <alignment horizontal="justify" vertical="top"/>
      <protection/>
    </xf>
    <xf numFmtId="0" fontId="4" fillId="0" borderId="0" xfId="0" applyFont="1" applyAlignment="1" applyProtection="1">
      <alignment horizontal="justify" vertical="top" wrapText="1"/>
      <protection/>
    </xf>
    <xf numFmtId="0" fontId="0" fillId="0" borderId="0" xfId="0" applyBorder="1" applyAlignment="1" applyProtection="1">
      <alignment horizontal="left" vertical="top" wrapText="1"/>
      <protection/>
    </xf>
    <xf numFmtId="0" fontId="0" fillId="0" borderId="0" xfId="0" applyAlignment="1">
      <alignment horizontal="left" vertical="top" wrapText="1"/>
    </xf>
    <xf numFmtId="171" fontId="4" fillId="0" borderId="64" xfId="0" applyNumberFormat="1" applyFont="1" applyBorder="1" applyAlignment="1" applyProtection="1">
      <alignment horizontal="left"/>
      <protection locked="0"/>
    </xf>
    <xf numFmtId="171" fontId="4" fillId="0" borderId="35" xfId="0" applyNumberFormat="1" applyFont="1" applyBorder="1" applyAlignment="1" applyProtection="1">
      <alignment horizontal="left"/>
      <protection locked="0"/>
    </xf>
    <xf numFmtId="171" fontId="4" fillId="0" borderId="36" xfId="0" applyNumberFormat="1" applyFont="1" applyBorder="1" applyAlignment="1" applyProtection="1">
      <alignment horizontal="left"/>
      <protection locked="0"/>
    </xf>
    <xf numFmtId="14" fontId="5" fillId="0" borderId="34" xfId="0" applyNumberFormat="1" applyFont="1" applyBorder="1" applyAlignment="1" applyProtection="1" quotePrefix="1">
      <alignment horizontal="center" wrapText="1"/>
      <protection/>
    </xf>
    <xf numFmtId="0" fontId="0" fillId="0" borderId="36" xfId="0" applyBorder="1" applyAlignment="1">
      <alignment horizontal="center" wrapText="1"/>
    </xf>
    <xf numFmtId="0" fontId="5" fillId="0" borderId="31" xfId="0" applyFont="1" applyBorder="1" applyAlignment="1" applyProtection="1">
      <alignment horizontal="center" wrapText="1"/>
      <protection/>
    </xf>
    <xf numFmtId="0" fontId="0" fillId="0" borderId="39" xfId="0" applyBorder="1" applyAlignment="1">
      <alignment horizontal="center" wrapText="1"/>
    </xf>
    <xf numFmtId="184" fontId="19" fillId="0" borderId="15" xfId="0" applyNumberFormat="1" applyFont="1" applyBorder="1" applyAlignment="1" applyProtection="1">
      <alignment vertical="center"/>
      <protection/>
    </xf>
    <xf numFmtId="184" fontId="19" fillId="0" borderId="16" xfId="0" applyNumberFormat="1" applyFont="1" applyBorder="1" applyAlignment="1" applyProtection="1">
      <alignment vertical="center"/>
      <protection/>
    </xf>
    <xf numFmtId="0" fontId="4" fillId="0" borderId="19" xfId="0" applyFont="1" applyBorder="1" applyAlignment="1" applyProtection="1">
      <alignment horizontal="center" wrapText="1"/>
      <protection/>
    </xf>
    <xf numFmtId="0" fontId="0" fillId="0" borderId="0" xfId="0" applyAlignment="1" applyProtection="1">
      <alignment horizontal="justify" vertical="top" wrapText="1"/>
      <protection/>
    </xf>
    <xf numFmtId="0" fontId="0" fillId="0" borderId="0" xfId="0" applyAlignment="1">
      <alignment horizontal="justify" vertical="top" wrapText="1"/>
    </xf>
    <xf numFmtId="0" fontId="0" fillId="0" borderId="0" xfId="0" applyBorder="1" applyAlignment="1" applyProtection="1">
      <alignment horizontal="justify" wrapText="1"/>
      <protection/>
    </xf>
    <xf numFmtId="0" fontId="0" fillId="0" borderId="0" xfId="0" applyBorder="1" applyAlignment="1" applyProtection="1">
      <alignment horizontal="justify" vertical="top" wrapText="1"/>
      <protection/>
    </xf>
    <xf numFmtId="0" fontId="0" fillId="0" borderId="16" xfId="0" applyBorder="1" applyAlignment="1" applyProtection="1">
      <alignment vertical="center" wrapText="1"/>
      <protection hidden="1"/>
    </xf>
    <xf numFmtId="0" fontId="8" fillId="0" borderId="15" xfId="0" applyFont="1" applyBorder="1" applyAlignment="1" applyProtection="1">
      <alignment vertical="center" wrapText="1"/>
      <protection hidden="1"/>
    </xf>
    <xf numFmtId="0" fontId="0" fillId="0" borderId="15" xfId="0" applyBorder="1" applyAlignment="1" applyProtection="1">
      <alignment/>
      <protection hidden="1"/>
    </xf>
    <xf numFmtId="0" fontId="0" fillId="7" borderId="0" xfId="0" applyFont="1" applyFill="1" applyBorder="1" applyAlignment="1" applyProtection="1">
      <alignment vertical="top" wrapText="1"/>
      <protection hidden="1"/>
    </xf>
    <xf numFmtId="0" fontId="0" fillId="0" borderId="0" xfId="0" applyFont="1" applyAlignment="1" applyProtection="1">
      <alignment/>
      <protection hidden="1"/>
    </xf>
    <xf numFmtId="171" fontId="4" fillId="0" borderId="13" xfId="0" applyNumberFormat="1" applyFont="1" applyBorder="1" applyAlignment="1" applyProtection="1">
      <alignment/>
      <protection locked="0"/>
    </xf>
    <xf numFmtId="171" fontId="4" fillId="0" borderId="9" xfId="0" applyNumberFormat="1" applyFont="1" applyBorder="1" applyAlignment="1" applyProtection="1">
      <alignment/>
      <protection locked="0"/>
    </xf>
    <xf numFmtId="171" fontId="4" fillId="0" borderId="51" xfId="0" applyNumberFormat="1" applyFont="1" applyBorder="1" applyAlignment="1" applyProtection="1">
      <alignment/>
      <protection locked="0"/>
    </xf>
    <xf numFmtId="171" fontId="4" fillId="0" borderId="13" xfId="0" applyNumberFormat="1" applyFont="1" applyBorder="1" applyAlignment="1" applyProtection="1">
      <alignment horizontal="left"/>
      <protection locked="0"/>
    </xf>
    <xf numFmtId="171" fontId="4" fillId="0" borderId="9" xfId="0" applyNumberFormat="1" applyFont="1" applyBorder="1" applyAlignment="1" applyProtection="1">
      <alignment horizontal="left"/>
      <protection locked="0"/>
    </xf>
    <xf numFmtId="171" fontId="4" fillId="0" borderId="51" xfId="0" applyNumberFormat="1" applyFont="1" applyBorder="1" applyAlignment="1" applyProtection="1">
      <alignment horizontal="left"/>
      <protection locked="0"/>
    </xf>
    <xf numFmtId="171" fontId="8" fillId="0" borderId="19" xfId="0" applyNumberFormat="1" applyFont="1" applyBorder="1" applyAlignment="1" applyProtection="1">
      <alignment vertical="center" wrapText="1"/>
      <protection hidden="1"/>
    </xf>
    <xf numFmtId="0" fontId="0" fillId="0" borderId="15" xfId="0" applyBorder="1" applyAlignment="1" applyProtection="1">
      <alignment vertical="center" wrapText="1"/>
      <protection hidden="1"/>
    </xf>
    <xf numFmtId="171" fontId="4" fillId="0" borderId="36" xfId="0" applyNumberFormat="1" applyFont="1" applyBorder="1" applyAlignment="1" applyProtection="1">
      <alignment/>
      <protection locked="0"/>
    </xf>
    <xf numFmtId="37" fontId="4" fillId="0" borderId="65" xfId="0" applyNumberFormat="1" applyFont="1" applyFill="1" applyBorder="1" applyAlignment="1" applyProtection="1">
      <alignment horizontal="left" vertical="center"/>
      <protection locked="0"/>
    </xf>
    <xf numFmtId="37" fontId="4" fillId="0" borderId="32" xfId="0" applyNumberFormat="1" applyFont="1" applyFill="1" applyBorder="1" applyAlignment="1" applyProtection="1">
      <alignment horizontal="left" vertical="center"/>
      <protection locked="0"/>
    </xf>
    <xf numFmtId="0" fontId="0" fillId="0" borderId="35" xfId="0" applyBorder="1" applyAlignment="1">
      <alignment/>
    </xf>
    <xf numFmtId="0" fontId="0" fillId="0" borderId="36" xfId="0" applyBorder="1" applyAlignment="1">
      <alignment/>
    </xf>
    <xf numFmtId="49" fontId="4" fillId="0" borderId="32" xfId="0" applyNumberFormat="1" applyFont="1" applyFill="1" applyBorder="1" applyAlignment="1" applyProtection="1">
      <alignment horizontal="left" vertical="center"/>
      <protection locked="0"/>
    </xf>
    <xf numFmtId="171" fontId="4" fillId="0" borderId="64" xfId="0" applyNumberFormat="1" applyFont="1" applyBorder="1" applyAlignment="1" applyProtection="1">
      <alignment/>
      <protection locked="0"/>
    </xf>
    <xf numFmtId="171" fontId="4" fillId="0" borderId="35" xfId="0" applyNumberFormat="1" applyFont="1" applyBorder="1" applyAlignment="1" applyProtection="1">
      <alignment/>
      <protection locked="0"/>
    </xf>
    <xf numFmtId="3" fontId="1" fillId="0" borderId="15" xfId="0" applyNumberFormat="1" applyFont="1" applyBorder="1" applyAlignment="1" applyProtection="1">
      <alignment/>
      <protection hidden="1"/>
    </xf>
    <xf numFmtId="3" fontId="0" fillId="0" borderId="16" xfId="0" applyNumberFormat="1" applyBorder="1" applyAlignment="1" applyProtection="1">
      <alignment/>
      <protection hidden="1"/>
    </xf>
    <xf numFmtId="0" fontId="5" fillId="0" borderId="19" xfId="0" applyFont="1" applyBorder="1" applyAlignment="1" applyProtection="1">
      <alignment horizontal="center" wrapText="1"/>
      <protection/>
    </xf>
    <xf numFmtId="0" fontId="0" fillId="0" borderId="16" xfId="0" applyBorder="1" applyAlignment="1">
      <alignment horizontal="center" wrapText="1"/>
    </xf>
    <xf numFmtId="0" fontId="0" fillId="0" borderId="30" xfId="0" applyBorder="1" applyAlignment="1">
      <alignment vertical="top" wrapText="1"/>
    </xf>
    <xf numFmtId="0" fontId="0" fillId="0" borderId="28" xfId="0" applyBorder="1" applyAlignment="1">
      <alignment vertical="top" wrapText="1"/>
    </xf>
    <xf numFmtId="0" fontId="0" fillId="0" borderId="44" xfId="0" applyBorder="1" applyAlignment="1">
      <alignment vertical="top" wrapText="1"/>
    </xf>
    <xf numFmtId="0" fontId="0" fillId="0" borderId="40" xfId="0" applyBorder="1" applyAlignment="1">
      <alignment vertical="top" wrapText="1"/>
    </xf>
    <xf numFmtId="0" fontId="0" fillId="0" borderId="18" xfId="0" applyBorder="1" applyAlignment="1">
      <alignment vertical="top" wrapText="1"/>
    </xf>
    <xf numFmtId="0" fontId="0" fillId="0" borderId="50" xfId="0" applyBorder="1" applyAlignment="1">
      <alignment vertical="top" wrapText="1"/>
    </xf>
    <xf numFmtId="3" fontId="1" fillId="0" borderId="19" xfId="0" applyNumberFormat="1" applyFont="1" applyBorder="1" applyAlignment="1" applyProtection="1">
      <alignment/>
      <protection hidden="1"/>
    </xf>
    <xf numFmtId="0" fontId="4" fillId="0" borderId="0" xfId="0" applyFont="1" applyFill="1" applyBorder="1" applyAlignment="1" applyProtection="1">
      <alignment vertical="top" wrapText="1"/>
      <protection/>
    </xf>
    <xf numFmtId="0" fontId="0" fillId="0" borderId="0" xfId="0" applyAlignment="1">
      <alignment vertical="top" wrapText="1"/>
    </xf>
    <xf numFmtId="171" fontId="4" fillId="0" borderId="65" xfId="0" applyNumberFormat="1" applyFont="1" applyBorder="1" applyAlignment="1" applyProtection="1">
      <alignment/>
      <protection locked="0"/>
    </xf>
    <xf numFmtId="171" fontId="4" fillId="0" borderId="32" xfId="0" applyNumberFormat="1" applyFont="1" applyBorder="1" applyAlignment="1" applyProtection="1">
      <alignment/>
      <protection locked="0"/>
    </xf>
    <xf numFmtId="171" fontId="4" fillId="0" borderId="39" xfId="0" applyNumberFormat="1" applyFont="1" applyBorder="1" applyAlignment="1" applyProtection="1">
      <alignment/>
      <protection locked="0"/>
    </xf>
    <xf numFmtId="171" fontId="4" fillId="0" borderId="65" xfId="0" applyNumberFormat="1" applyFont="1" applyBorder="1" applyAlignment="1" applyProtection="1">
      <alignment horizontal="left"/>
      <protection locked="0"/>
    </xf>
    <xf numFmtId="171" fontId="4" fillId="0" borderId="32" xfId="0" applyNumberFormat="1" applyFont="1" applyBorder="1" applyAlignment="1" applyProtection="1">
      <alignment horizontal="left"/>
      <protection locked="0"/>
    </xf>
    <xf numFmtId="171" fontId="4" fillId="0" borderId="39" xfId="0" applyNumberFormat="1" applyFont="1" applyBorder="1" applyAlignment="1" applyProtection="1">
      <alignment horizontal="left"/>
      <protection locked="0"/>
    </xf>
    <xf numFmtId="49" fontId="4" fillId="0" borderId="31" xfId="0" applyNumberFormat="1" applyFont="1" applyFill="1" applyBorder="1" applyAlignment="1" applyProtection="1">
      <alignment horizontal="left" vertical="center"/>
      <protection locked="0"/>
    </xf>
    <xf numFmtId="171" fontId="4" fillId="0" borderId="13" xfId="0" applyNumberFormat="1" applyFont="1" applyFill="1" applyBorder="1" applyAlignment="1" applyProtection="1">
      <alignment/>
      <protection/>
    </xf>
    <xf numFmtId="171" fontId="4" fillId="0" borderId="41" xfId="0" applyNumberFormat="1" applyFont="1" applyFill="1" applyBorder="1" applyAlignment="1" applyProtection="1">
      <alignment horizontal="center" vertical="center"/>
      <protection/>
    </xf>
    <xf numFmtId="171" fontId="0" fillId="0" borderId="12" xfId="0" applyNumberFormat="1" applyBorder="1" applyAlignment="1" applyProtection="1">
      <alignment horizontal="center" vertical="center"/>
      <protection/>
    </xf>
    <xf numFmtId="0" fontId="0" fillId="0" borderId="5" xfId="0" applyBorder="1" applyAlignment="1">
      <alignment vertical="center"/>
    </xf>
    <xf numFmtId="0" fontId="0" fillId="0" borderId="14" xfId="0" applyBorder="1" applyAlignment="1">
      <alignment vertical="center"/>
    </xf>
    <xf numFmtId="0" fontId="0" fillId="0" borderId="42" xfId="0" applyBorder="1" applyAlignment="1">
      <alignment vertical="center"/>
    </xf>
    <xf numFmtId="0" fontId="0" fillId="0" borderId="46" xfId="0" applyBorder="1" applyAlignment="1">
      <alignment vertical="center"/>
    </xf>
    <xf numFmtId="171" fontId="4" fillId="0" borderId="10" xfId="0" applyNumberFormat="1" applyFont="1" applyBorder="1" applyAlignment="1" applyProtection="1">
      <alignment/>
      <protection/>
    </xf>
    <xf numFmtId="171" fontId="4" fillId="0" borderId="13" xfId="34" applyNumberFormat="1" applyFont="1" applyFill="1" applyBorder="1" applyAlignment="1" applyProtection="1">
      <alignment/>
      <protection/>
    </xf>
    <xf numFmtId="0" fontId="0" fillId="0" borderId="10" xfId="0" applyBorder="1" applyAlignment="1" applyProtection="1">
      <alignment/>
      <protection/>
    </xf>
    <xf numFmtId="171" fontId="4" fillId="0" borderId="9" xfId="34" applyNumberFormat="1" applyFont="1" applyFill="1" applyBorder="1" applyAlignment="1" applyProtection="1">
      <alignment/>
      <protection/>
    </xf>
    <xf numFmtId="171" fontId="4" fillId="0" borderId="7" xfId="0" applyNumberFormat="1" applyFont="1" applyFill="1" applyBorder="1" applyAlignment="1" applyProtection="1">
      <alignment horizontal="center" vertical="center"/>
      <protection/>
    </xf>
    <xf numFmtId="0" fontId="0" fillId="0" borderId="43" xfId="0" applyBorder="1" applyAlignment="1">
      <alignment vertical="center"/>
    </xf>
    <xf numFmtId="0" fontId="0" fillId="0" borderId="8" xfId="0" applyBorder="1" applyAlignment="1">
      <alignment vertical="center"/>
    </xf>
    <xf numFmtId="1" fontId="4" fillId="0" borderId="7" xfId="0" applyNumberFormat="1" applyFont="1" applyFill="1" applyBorder="1" applyAlignment="1" applyProtection="1">
      <alignment horizontal="center" vertical="center"/>
      <protection locked="0"/>
    </xf>
    <xf numFmtId="1" fontId="0" fillId="0" borderId="43" xfId="0" applyNumberFormat="1" applyBorder="1" applyAlignment="1">
      <alignment vertical="center"/>
    </xf>
    <xf numFmtId="1" fontId="0" fillId="0" borderId="8" xfId="0" applyNumberFormat="1" applyBorder="1" applyAlignment="1">
      <alignment vertical="center"/>
    </xf>
    <xf numFmtId="4" fontId="2" fillId="0" borderId="0" xfId="0" applyNumberFormat="1" applyFont="1" applyFill="1" applyBorder="1" applyAlignment="1" applyProtection="1">
      <alignment/>
      <protection hidden="1"/>
    </xf>
    <xf numFmtId="0" fontId="2" fillId="0" borderId="0" xfId="0" applyFont="1" applyAlignment="1" applyProtection="1">
      <alignment/>
      <protection hidden="1"/>
    </xf>
    <xf numFmtId="171" fontId="0" fillId="0" borderId="10" xfId="0" applyNumberFormat="1" applyBorder="1" applyAlignment="1">
      <alignment/>
    </xf>
    <xf numFmtId="171" fontId="7" fillId="8" borderId="5" xfId="34" applyNumberFormat="1" applyFont="1" applyFill="1" applyBorder="1" applyAlignment="1" applyProtection="1">
      <alignment/>
      <protection hidden="1"/>
    </xf>
    <xf numFmtId="0" fontId="0" fillId="0" borderId="14" xfId="0" applyBorder="1" applyAlignment="1">
      <alignment/>
    </xf>
    <xf numFmtId="0" fontId="0" fillId="0" borderId="9" xfId="0" applyBorder="1" applyAlignment="1" applyProtection="1">
      <alignment/>
      <protection/>
    </xf>
    <xf numFmtId="0" fontId="5" fillId="3" borderId="42" xfId="0" applyFont="1" applyFill="1" applyBorder="1" applyAlignment="1" applyProtection="1">
      <alignment horizontal="center" wrapText="1"/>
      <protection hidden="1"/>
    </xf>
    <xf numFmtId="0" fontId="0" fillId="0" borderId="46" xfId="0" applyBorder="1" applyAlignment="1" applyProtection="1">
      <alignment horizontal="center" wrapText="1"/>
      <protection hidden="1"/>
    </xf>
    <xf numFmtId="171" fontId="4" fillId="0" borderId="10" xfId="0" applyNumberFormat="1" applyFont="1" applyFill="1" applyBorder="1" applyAlignment="1" applyProtection="1">
      <alignment/>
      <protection/>
    </xf>
    <xf numFmtId="171" fontId="4" fillId="0" borderId="10" xfId="0" applyNumberFormat="1" applyFont="1" applyBorder="1" applyAlignment="1">
      <alignment/>
    </xf>
    <xf numFmtId="171" fontId="5" fillId="3" borderId="13" xfId="0" applyNumberFormat="1" applyFont="1" applyFill="1" applyBorder="1" applyAlignment="1" applyProtection="1">
      <alignment horizontal="right"/>
      <protection/>
    </xf>
    <xf numFmtId="0" fontId="0" fillId="0" borderId="10" xfId="0" applyBorder="1" applyAlignment="1">
      <alignment horizontal="right"/>
    </xf>
    <xf numFmtId="171" fontId="4" fillId="0" borderId="9" xfId="0" applyNumberFormat="1" applyFont="1" applyFill="1" applyBorder="1" applyAlignment="1" applyProtection="1">
      <alignment/>
      <protection/>
    </xf>
    <xf numFmtId="171" fontId="4" fillId="0" borderId="10" xfId="34" applyNumberFormat="1" applyFont="1" applyFill="1" applyBorder="1" applyAlignment="1" applyProtection="1">
      <alignment/>
      <protection/>
    </xf>
    <xf numFmtId="0" fontId="4" fillId="0" borderId="10" xfId="0" applyFont="1" applyBorder="1" applyAlignment="1">
      <alignment/>
    </xf>
    <xf numFmtId="171" fontId="4" fillId="0" borderId="10" xfId="0" applyNumberFormat="1" applyFont="1" applyFill="1" applyBorder="1" applyAlignment="1" applyProtection="1">
      <alignment/>
      <protection locked="0"/>
    </xf>
    <xf numFmtId="0" fontId="0" fillId="0" borderId="51" xfId="0" applyBorder="1" applyAlignment="1" applyProtection="1">
      <alignment/>
      <protection locked="0"/>
    </xf>
    <xf numFmtId="171" fontId="5" fillId="3" borderId="42" xfId="0" applyNumberFormat="1" applyFont="1" applyFill="1" applyBorder="1" applyAlignment="1" applyProtection="1">
      <alignment/>
      <protection/>
    </xf>
    <xf numFmtId="171" fontId="0" fillId="0" borderId="46" xfId="0" applyNumberFormat="1" applyBorder="1" applyAlignment="1">
      <alignment/>
    </xf>
    <xf numFmtId="171" fontId="0" fillId="0" borderId="10" xfId="0" applyNumberFormat="1" applyBorder="1" applyAlignment="1" applyProtection="1">
      <alignment/>
      <protection/>
    </xf>
    <xf numFmtId="0" fontId="5" fillId="3" borderId="13" xfId="0" applyFont="1" applyFill="1" applyBorder="1" applyAlignment="1" applyProtection="1">
      <alignment horizontal="center"/>
      <protection hidden="1"/>
    </xf>
    <xf numFmtId="0" fontId="5" fillId="3" borderId="9" xfId="0" applyFont="1" applyFill="1" applyBorder="1" applyAlignment="1" applyProtection="1">
      <alignment horizontal="center"/>
      <protection hidden="1"/>
    </xf>
    <xf numFmtId="0" fontId="5" fillId="3" borderId="10" xfId="0" applyFont="1" applyFill="1" applyBorder="1" applyAlignment="1" applyProtection="1">
      <alignment horizontal="center"/>
      <protection hidden="1"/>
    </xf>
    <xf numFmtId="171" fontId="4" fillId="8" borderId="13" xfId="34" applyNumberFormat="1" applyFont="1" applyFill="1" applyBorder="1" applyAlignment="1" applyProtection="1">
      <alignment horizontal="right"/>
      <protection/>
    </xf>
    <xf numFmtId="0" fontId="5" fillId="3" borderId="9" xfId="0" applyFont="1" applyFill="1" applyBorder="1" applyAlignment="1" applyProtection="1">
      <alignment/>
      <protection hidden="1"/>
    </xf>
    <xf numFmtId="171" fontId="5" fillId="3" borderId="8" xfId="0" applyNumberFormat="1" applyFont="1" applyFill="1" applyBorder="1" applyAlignment="1" applyProtection="1">
      <alignment/>
      <protection/>
    </xf>
    <xf numFmtId="171" fontId="0" fillId="0" borderId="8" xfId="0" applyNumberFormat="1" applyBorder="1" applyAlignment="1">
      <alignment/>
    </xf>
    <xf numFmtId="0" fontId="0" fillId="0" borderId="9" xfId="0" applyBorder="1" applyAlignment="1">
      <alignment horizontal="center"/>
    </xf>
    <xf numFmtId="0" fontId="0" fillId="0" borderId="10" xfId="0" applyBorder="1" applyAlignment="1">
      <alignment horizontal="center"/>
    </xf>
    <xf numFmtId="0" fontId="5" fillId="0" borderId="41" xfId="0" applyFont="1" applyFill="1" applyBorder="1" applyAlignment="1" applyProtection="1">
      <alignment horizontal="center"/>
      <protection hidden="1"/>
    </xf>
    <xf numFmtId="0" fontId="0" fillId="0" borderId="12" xfId="0" applyBorder="1" applyAlignment="1">
      <alignment horizontal="center"/>
    </xf>
    <xf numFmtId="171" fontId="4" fillId="0" borderId="9" xfId="34" applyNumberFormat="1" applyFont="1" applyFill="1" applyBorder="1" applyAlignment="1" applyProtection="1">
      <alignment horizontal="center"/>
      <protection locked="0"/>
    </xf>
    <xf numFmtId="171" fontId="4" fillId="0" borderId="10" xfId="34" applyNumberFormat="1" applyFont="1" applyFill="1" applyBorder="1" applyAlignment="1" applyProtection="1">
      <alignment horizontal="center"/>
      <protection locked="0"/>
    </xf>
    <xf numFmtId="37" fontId="5" fillId="3" borderId="13" xfId="0" applyNumberFormat="1" applyFont="1" applyFill="1" applyBorder="1" applyAlignment="1" applyProtection="1">
      <alignment horizontal="center"/>
      <protection hidden="1"/>
    </xf>
    <xf numFmtId="0" fontId="0" fillId="0" borderId="10" xfId="0" applyBorder="1" applyAlignment="1" applyProtection="1">
      <alignment/>
      <protection hidden="1"/>
    </xf>
    <xf numFmtId="0" fontId="4" fillId="0" borderId="13" xfId="0" applyFont="1" applyFill="1" applyBorder="1" applyAlignment="1" applyProtection="1">
      <alignment horizontal="center"/>
      <protection hidden="1"/>
    </xf>
    <xf numFmtId="0" fontId="0" fillId="0" borderId="10" xfId="0" applyBorder="1" applyAlignment="1" applyProtection="1">
      <alignment horizontal="center"/>
      <protection hidden="1"/>
    </xf>
    <xf numFmtId="0" fontId="4" fillId="0" borderId="13" xfId="0" applyFont="1" applyFill="1" applyBorder="1" applyAlignment="1" applyProtection="1">
      <alignment horizontal="left"/>
      <protection hidden="1"/>
    </xf>
    <xf numFmtId="0" fontId="4" fillId="0" borderId="9" xfId="0" applyFont="1" applyFill="1" applyBorder="1" applyAlignment="1" applyProtection="1">
      <alignment horizontal="left"/>
      <protection hidden="1"/>
    </xf>
    <xf numFmtId="171" fontId="4" fillId="0" borderId="13" xfId="34" applyNumberFormat="1" applyFill="1" applyBorder="1" applyAlignment="1" applyProtection="1">
      <alignment/>
      <protection/>
    </xf>
    <xf numFmtId="0" fontId="4" fillId="0" borderId="41" xfId="0" applyFont="1" applyFill="1" applyBorder="1" applyAlignment="1" applyProtection="1">
      <alignment horizontal="center" vertical="center"/>
      <protection hidden="1"/>
    </xf>
    <xf numFmtId="0" fontId="4" fillId="0" borderId="42" xfId="0" applyFont="1" applyFill="1" applyBorder="1" applyAlignment="1" applyProtection="1">
      <alignment horizontal="center" vertical="center"/>
      <protection hidden="1"/>
    </xf>
    <xf numFmtId="0" fontId="0" fillId="0" borderId="17" xfId="0" applyBorder="1" applyAlignment="1">
      <alignment horizontal="center"/>
    </xf>
    <xf numFmtId="3" fontId="4" fillId="0" borderId="41" xfId="0" applyNumberFormat="1" applyFont="1" applyBorder="1" applyAlignment="1" applyProtection="1">
      <alignment vertical="center"/>
      <protection/>
    </xf>
    <xf numFmtId="3" fontId="4" fillId="0" borderId="12" xfId="0" applyNumberFormat="1" applyFont="1" applyBorder="1" applyAlignment="1" applyProtection="1">
      <alignment vertical="center"/>
      <protection/>
    </xf>
    <xf numFmtId="0" fontId="0" fillId="0" borderId="42" xfId="0" applyBorder="1" applyAlignment="1" applyProtection="1">
      <alignment vertical="center"/>
      <protection/>
    </xf>
    <xf numFmtId="0" fontId="0" fillId="0" borderId="46" xfId="0" applyBorder="1" applyAlignment="1" applyProtection="1">
      <alignment vertical="center"/>
      <protection/>
    </xf>
    <xf numFmtId="0" fontId="4" fillId="8" borderId="13" xfId="0" applyFont="1" applyFill="1" applyBorder="1" applyAlignment="1" applyProtection="1">
      <alignment/>
      <protection/>
    </xf>
    <xf numFmtId="0" fontId="4" fillId="8" borderId="10" xfId="0" applyFont="1" applyFill="1" applyBorder="1" applyAlignment="1" applyProtection="1">
      <alignment/>
      <protection/>
    </xf>
    <xf numFmtId="0" fontId="4" fillId="0" borderId="10" xfId="0" applyFont="1" applyFill="1" applyBorder="1" applyAlignment="1" applyProtection="1">
      <alignment/>
      <protection/>
    </xf>
    <xf numFmtId="177" fontId="4" fillId="0" borderId="41" xfId="0" applyNumberFormat="1" applyFont="1" applyBorder="1" applyAlignment="1">
      <alignment vertical="center"/>
    </xf>
    <xf numFmtId="0" fontId="0" fillId="0" borderId="12" xfId="0" applyBorder="1" applyAlignment="1">
      <alignment vertical="center"/>
    </xf>
    <xf numFmtId="4" fontId="4" fillId="0" borderId="41" xfId="0" applyNumberFormat="1" applyFont="1" applyBorder="1" applyAlignment="1">
      <alignment vertical="center"/>
    </xf>
    <xf numFmtId="4" fontId="4" fillId="0" borderId="13" xfId="0" applyNumberFormat="1" applyFont="1" applyBorder="1" applyAlignment="1">
      <alignment/>
    </xf>
    <xf numFmtId="0" fontId="4" fillId="0" borderId="10" xfId="0" applyFont="1" applyBorder="1" applyAlignment="1">
      <alignment/>
    </xf>
    <xf numFmtId="37" fontId="4" fillId="0" borderId="13" xfId="0" applyNumberFormat="1" applyFont="1" applyFill="1" applyBorder="1" applyAlignment="1" applyProtection="1">
      <alignment horizontal="right"/>
      <protection locked="0"/>
    </xf>
    <xf numFmtId="37" fontId="4" fillId="0" borderId="10" xfId="0" applyNumberFormat="1" applyFont="1" applyFill="1" applyBorder="1" applyAlignment="1" applyProtection="1">
      <alignment horizontal="right"/>
      <protection locked="0"/>
    </xf>
    <xf numFmtId="0" fontId="5" fillId="3" borderId="42" xfId="0" applyFont="1" applyFill="1" applyBorder="1" applyAlignment="1">
      <alignment horizontal="center"/>
    </xf>
    <xf numFmtId="0" fontId="5" fillId="3" borderId="46" xfId="0" applyFont="1" applyFill="1" applyBorder="1" applyAlignment="1">
      <alignment horizontal="center"/>
    </xf>
    <xf numFmtId="171" fontId="5" fillId="3" borderId="13" xfId="34" applyNumberFormat="1" applyFont="1" applyFill="1" applyBorder="1" applyAlignment="1" applyProtection="1">
      <alignment/>
      <protection/>
    </xf>
    <xf numFmtId="171" fontId="4" fillId="0" borderId="41" xfId="0" applyNumberFormat="1" applyFont="1" applyBorder="1" applyAlignment="1" applyProtection="1">
      <alignment horizontal="right"/>
      <protection locked="0"/>
    </xf>
    <xf numFmtId="171" fontId="4" fillId="0" borderId="12" xfId="0" applyNumberFormat="1" applyFont="1" applyBorder="1" applyAlignment="1" applyProtection="1">
      <alignment horizontal="right"/>
      <protection locked="0"/>
    </xf>
    <xf numFmtId="171" fontId="4" fillId="0" borderId="42" xfId="0" applyNumberFormat="1" applyFont="1" applyBorder="1" applyAlignment="1" applyProtection="1">
      <alignment horizontal="right"/>
      <protection locked="0"/>
    </xf>
    <xf numFmtId="171" fontId="4" fillId="0" borderId="46" xfId="0" applyNumberFormat="1" applyFont="1" applyBorder="1" applyAlignment="1" applyProtection="1">
      <alignment horizontal="right"/>
      <protection locked="0"/>
    </xf>
    <xf numFmtId="171" fontId="4" fillId="9" borderId="13" xfId="34" applyNumberFormat="1" applyFont="1" applyFill="1" applyBorder="1" applyAlignment="1" applyProtection="1">
      <alignment/>
      <protection locked="0"/>
    </xf>
    <xf numFmtId="171" fontId="4" fillId="9" borderId="10" xfId="34" applyNumberFormat="1" applyFont="1" applyFill="1" applyBorder="1" applyAlignment="1" applyProtection="1">
      <alignment/>
      <protection locked="0"/>
    </xf>
    <xf numFmtId="3" fontId="4" fillId="0" borderId="13" xfId="0" applyNumberFormat="1" applyFont="1" applyBorder="1" applyAlignment="1">
      <alignment/>
    </xf>
    <xf numFmtId="3" fontId="4" fillId="0" borderId="10" xfId="0" applyNumberFormat="1" applyFont="1" applyBorder="1" applyAlignment="1">
      <alignment/>
    </xf>
    <xf numFmtId="0" fontId="0" fillId="3" borderId="41" xfId="0" applyFill="1" applyBorder="1" applyAlignment="1">
      <alignment horizontal="center"/>
    </xf>
    <xf numFmtId="0" fontId="0" fillId="3" borderId="12" xfId="0" applyFill="1" applyBorder="1" applyAlignment="1">
      <alignment horizontal="center"/>
    </xf>
    <xf numFmtId="177" fontId="4" fillId="0" borderId="13" xfId="0" applyNumberFormat="1" applyFont="1" applyBorder="1" applyAlignment="1">
      <alignment/>
    </xf>
    <xf numFmtId="0" fontId="0" fillId="3" borderId="42" xfId="0" applyFill="1" applyBorder="1" applyAlignment="1">
      <alignment horizontal="center"/>
    </xf>
    <xf numFmtId="0" fontId="0" fillId="3" borderId="46" xfId="0" applyFill="1" applyBorder="1" applyAlignment="1">
      <alignment horizontal="center"/>
    </xf>
    <xf numFmtId="0" fontId="0" fillId="0" borderId="46" xfId="0" applyBorder="1" applyAlignment="1">
      <alignment horizontal="center"/>
    </xf>
    <xf numFmtId="3" fontId="4" fillId="0" borderId="13" xfId="0" applyNumberFormat="1" applyFont="1" applyBorder="1" applyAlignment="1" applyProtection="1">
      <alignment/>
      <protection/>
    </xf>
    <xf numFmtId="3" fontId="4" fillId="0" borderId="10" xfId="0" applyNumberFormat="1" applyFont="1" applyBorder="1" applyAlignment="1" applyProtection="1">
      <alignment/>
      <protection/>
    </xf>
    <xf numFmtId="171" fontId="7" fillId="8" borderId="14" xfId="34" applyNumberFormat="1" applyFont="1" applyFill="1" applyBorder="1" applyAlignment="1" applyProtection="1">
      <alignment/>
      <protection hidden="1"/>
    </xf>
    <xf numFmtId="171" fontId="4" fillId="8" borderId="13" xfId="0" applyNumberFormat="1" applyFont="1" applyFill="1" applyBorder="1" applyAlignment="1" applyProtection="1">
      <alignment/>
      <protection/>
    </xf>
    <xf numFmtId="0" fontId="4" fillId="8" borderId="10" xfId="0" applyFont="1" applyFill="1" applyBorder="1" applyAlignment="1" applyProtection="1">
      <alignment/>
      <protection/>
    </xf>
    <xf numFmtId="0" fontId="5" fillId="3" borderId="41" xfId="0" applyFont="1" applyFill="1" applyBorder="1" applyAlignment="1">
      <alignment horizontal="center"/>
    </xf>
    <xf numFmtId="0" fontId="0" fillId="0" borderId="46" xfId="0" applyBorder="1" applyAlignment="1">
      <alignment/>
    </xf>
    <xf numFmtId="171" fontId="4" fillId="0" borderId="7" xfId="0" applyNumberFormat="1" applyFont="1" applyFill="1" applyBorder="1" applyAlignment="1" applyProtection="1">
      <alignment vertical="center"/>
      <protection/>
    </xf>
    <xf numFmtId="0" fontId="4" fillId="0" borderId="8" xfId="0" applyFont="1" applyFill="1" applyBorder="1" applyAlignment="1" applyProtection="1">
      <alignment vertical="center"/>
      <protection/>
    </xf>
    <xf numFmtId="0" fontId="4" fillId="0" borderId="7" xfId="0" applyFont="1" applyFill="1" applyBorder="1" applyAlignment="1" applyProtection="1">
      <alignment vertical="center"/>
      <protection/>
    </xf>
    <xf numFmtId="171" fontId="4" fillId="0" borderId="13" xfId="0" applyNumberFormat="1" applyFont="1" applyBorder="1" applyAlignment="1" applyProtection="1">
      <alignment horizontal="right"/>
      <protection locked="0"/>
    </xf>
    <xf numFmtId="171" fontId="4" fillId="0" borderId="41" xfId="0" applyNumberFormat="1" applyFont="1" applyBorder="1" applyAlignment="1">
      <alignment vertical="center"/>
    </xf>
    <xf numFmtId="171" fontId="4" fillId="0" borderId="12" xfId="0" applyNumberFormat="1" applyFont="1" applyBorder="1" applyAlignment="1">
      <alignment vertical="center"/>
    </xf>
    <xf numFmtId="0" fontId="5" fillId="3" borderId="12" xfId="0" applyFont="1" applyFill="1" applyBorder="1" applyAlignment="1">
      <alignment horizontal="center"/>
    </xf>
    <xf numFmtId="3" fontId="4" fillId="0" borderId="13" xfId="0" applyNumberFormat="1" applyFont="1" applyBorder="1" applyAlignment="1" applyProtection="1">
      <alignment/>
      <protection locked="0"/>
    </xf>
    <xf numFmtId="3" fontId="0" fillId="0" borderId="10" xfId="0" applyNumberFormat="1" applyBorder="1" applyAlignment="1" applyProtection="1">
      <alignment/>
      <protection locked="0"/>
    </xf>
    <xf numFmtId="171" fontId="4" fillId="0" borderId="13" xfId="0" applyNumberFormat="1" applyFont="1" applyBorder="1" applyAlignment="1">
      <alignment/>
    </xf>
    <xf numFmtId="171" fontId="4" fillId="0" borderId="10" xfId="0" applyNumberFormat="1" applyFont="1" applyBorder="1" applyAlignment="1">
      <alignment/>
    </xf>
    <xf numFmtId="171" fontId="4" fillId="0" borderId="5" xfId="0" applyNumberFormat="1" applyFont="1" applyFill="1" applyBorder="1" applyAlignment="1" applyProtection="1">
      <alignment/>
      <protection/>
    </xf>
    <xf numFmtId="0" fontId="0" fillId="0" borderId="14" xfId="0" applyFill="1" applyBorder="1" applyAlignment="1">
      <alignment/>
    </xf>
    <xf numFmtId="0" fontId="5" fillId="3" borderId="41" xfId="0" applyFont="1" applyFill="1" applyBorder="1" applyAlignment="1" applyProtection="1">
      <alignment horizontal="center"/>
      <protection hidden="1"/>
    </xf>
    <xf numFmtId="0" fontId="0" fillId="0" borderId="12" xfId="0" applyBorder="1" applyAlignment="1" applyProtection="1">
      <alignment horizontal="center"/>
      <protection hidden="1"/>
    </xf>
    <xf numFmtId="0" fontId="5" fillId="0" borderId="11" xfId="0" applyFont="1" applyFill="1" applyBorder="1" applyAlignment="1" applyProtection="1">
      <alignment horizontal="center"/>
      <protection hidden="1"/>
    </xf>
    <xf numFmtId="171" fontId="4" fillId="0" borderId="13" xfId="0" applyNumberFormat="1" applyFont="1" applyFill="1" applyBorder="1" applyAlignment="1" applyProtection="1">
      <alignment horizontal="center"/>
      <protection/>
    </xf>
    <xf numFmtId="171" fontId="0" fillId="0" borderId="10" xfId="0" applyNumberFormat="1" applyBorder="1" applyAlignment="1" applyProtection="1">
      <alignment horizontal="center"/>
      <protection/>
    </xf>
    <xf numFmtId="169" fontId="4" fillId="0" borderId="13" xfId="34" applyNumberFormat="1" applyFont="1" applyFill="1" applyBorder="1" applyAlignment="1" applyProtection="1">
      <alignment/>
      <protection/>
    </xf>
    <xf numFmtId="169" fontId="0" fillId="0" borderId="10" xfId="0" applyNumberFormat="1" applyBorder="1" applyAlignment="1">
      <alignment/>
    </xf>
    <xf numFmtId="169" fontId="4" fillId="3" borderId="6" xfId="0" applyNumberFormat="1" applyFont="1" applyFill="1" applyBorder="1" applyAlignment="1" applyProtection="1">
      <alignment/>
      <protection hidden="1"/>
    </xf>
    <xf numFmtId="0" fontId="4" fillId="0" borderId="13" xfId="0" applyFont="1" applyBorder="1" applyAlignment="1">
      <alignment horizontal="center"/>
    </xf>
    <xf numFmtId="0" fontId="4" fillId="0" borderId="10" xfId="0" applyFont="1" applyBorder="1" applyAlignment="1">
      <alignment horizontal="center"/>
    </xf>
    <xf numFmtId="9" fontId="4" fillId="0" borderId="17" xfId="34" applyNumberFormat="1" applyFont="1" applyFill="1" applyBorder="1" applyAlignment="1" applyProtection="1">
      <alignment/>
      <protection/>
    </xf>
    <xf numFmtId="9" fontId="0" fillId="0" borderId="17" xfId="0" applyNumberFormat="1" applyBorder="1" applyAlignment="1">
      <alignment/>
    </xf>
    <xf numFmtId="9" fontId="4" fillId="0" borderId="13" xfId="34" applyNumberFormat="1" applyFont="1" applyFill="1" applyBorder="1" applyAlignment="1" applyProtection="1">
      <alignment/>
      <protection/>
    </xf>
    <xf numFmtId="9" fontId="0" fillId="0" borderId="10" xfId="0" applyNumberFormat="1" applyBorder="1" applyAlignment="1">
      <alignment/>
    </xf>
    <xf numFmtId="4" fontId="4" fillId="8" borderId="13" xfId="0" applyNumberFormat="1" applyFont="1" applyFill="1" applyBorder="1" applyAlignment="1" applyProtection="1">
      <alignment/>
      <protection/>
    </xf>
    <xf numFmtId="4" fontId="0" fillId="8" borderId="10" xfId="0" applyNumberFormat="1" applyFill="1" applyBorder="1" applyAlignment="1">
      <alignment/>
    </xf>
    <xf numFmtId="0" fontId="5" fillId="3" borderId="7" xfId="0" applyFont="1" applyFill="1" applyBorder="1" applyAlignment="1" applyProtection="1">
      <alignment horizontal="center" vertical="top" wrapText="1"/>
      <protection/>
    </xf>
    <xf numFmtId="0" fontId="1" fillId="3" borderId="8" xfId="0" applyFont="1" applyFill="1" applyBorder="1" applyAlignment="1">
      <alignment horizontal="center" vertical="top" wrapText="1"/>
    </xf>
    <xf numFmtId="177" fontId="4" fillId="0" borderId="13" xfId="0" applyNumberFormat="1" applyFont="1" applyBorder="1" applyAlignment="1">
      <alignment horizontal="right"/>
    </xf>
    <xf numFmtId="0" fontId="4" fillId="0" borderId="10" xfId="0" applyFont="1" applyBorder="1" applyAlignment="1">
      <alignment horizontal="right"/>
    </xf>
    <xf numFmtId="1" fontId="5" fillId="3" borderId="11" xfId="0" applyNumberFormat="1" applyFont="1" applyFill="1" applyBorder="1" applyAlignment="1" applyProtection="1">
      <alignment horizontal="center"/>
      <protection hidden="1"/>
    </xf>
    <xf numFmtId="1" fontId="5" fillId="3" borderId="11" xfId="0" applyNumberFormat="1" applyFont="1" applyFill="1" applyBorder="1" applyAlignment="1">
      <alignment horizontal="center"/>
    </xf>
    <xf numFmtId="169" fontId="4" fillId="0" borderId="41" xfId="34" applyNumberFormat="1" applyFont="1" applyFill="1" applyBorder="1" applyAlignment="1" applyProtection="1">
      <alignment/>
      <protection/>
    </xf>
    <xf numFmtId="169" fontId="0" fillId="0" borderId="12" xfId="0" applyNumberFormat="1" applyBorder="1" applyAlignment="1">
      <alignment/>
    </xf>
    <xf numFmtId="9" fontId="4" fillId="0" borderId="11" xfId="34" applyNumberFormat="1" applyFont="1" applyFill="1" applyBorder="1" applyAlignment="1" applyProtection="1">
      <alignment/>
      <protection/>
    </xf>
    <xf numFmtId="9" fontId="0" fillId="0" borderId="11" xfId="0" applyNumberFormat="1" applyBorder="1" applyAlignment="1">
      <alignment/>
    </xf>
    <xf numFmtId="0" fontId="5" fillId="3" borderId="13" xfId="0" applyFont="1" applyFill="1" applyBorder="1" applyAlignment="1" applyProtection="1">
      <alignment/>
      <protection hidden="1"/>
    </xf>
    <xf numFmtId="9" fontId="4" fillId="3" borderId="13" xfId="0" applyNumberFormat="1" applyFont="1" applyFill="1" applyBorder="1" applyAlignment="1" applyProtection="1">
      <alignment/>
      <protection hidden="1"/>
    </xf>
    <xf numFmtId="9" fontId="4" fillId="3" borderId="10" xfId="0" applyNumberFormat="1" applyFont="1" applyFill="1" applyBorder="1" applyAlignment="1" applyProtection="1">
      <alignment/>
      <protection hidden="1"/>
    </xf>
    <xf numFmtId="9" fontId="4" fillId="3" borderId="6" xfId="0" applyNumberFormat="1" applyFont="1" applyFill="1" applyBorder="1" applyAlignment="1" applyProtection="1">
      <alignment/>
      <protection hidden="1"/>
    </xf>
    <xf numFmtId="0" fontId="4" fillId="0" borderId="13" xfId="0" applyNumberFormat="1" applyFont="1" applyFill="1" applyBorder="1" applyAlignment="1" applyProtection="1">
      <alignment/>
      <protection hidden="1"/>
    </xf>
    <xf numFmtId="0" fontId="4" fillId="0" borderId="10" xfId="0" applyNumberFormat="1" applyFont="1" applyFill="1" applyBorder="1" applyAlignment="1" applyProtection="1">
      <alignment/>
      <protection hidden="1"/>
    </xf>
    <xf numFmtId="9" fontId="4" fillId="0" borderId="13" xfId="34" applyNumberFormat="1" applyFont="1" applyFill="1" applyBorder="1" applyAlignment="1" applyProtection="1" quotePrefix="1">
      <alignment vertical="top" wrapText="1"/>
      <protection/>
    </xf>
    <xf numFmtId="9" fontId="0" fillId="0" borderId="10" xfId="0" applyNumberFormat="1" applyBorder="1" applyAlignment="1">
      <alignment vertical="top" wrapText="1"/>
    </xf>
    <xf numFmtId="4" fontId="4" fillId="0" borderId="13" xfId="0" applyNumberFormat="1" applyFont="1" applyFill="1" applyBorder="1" applyAlignment="1" applyProtection="1">
      <alignment/>
      <protection hidden="1"/>
    </xf>
    <xf numFmtId="1" fontId="5" fillId="3" borderId="0" xfId="0" applyNumberFormat="1" applyFont="1" applyFill="1" applyBorder="1" applyAlignment="1" applyProtection="1">
      <alignment horizontal="center"/>
      <protection hidden="1"/>
    </xf>
    <xf numFmtId="1" fontId="5" fillId="3" borderId="0" xfId="0" applyNumberFormat="1" applyFont="1" applyFill="1" applyBorder="1" applyAlignment="1">
      <alignment horizontal="center"/>
    </xf>
    <xf numFmtId="9" fontId="0" fillId="0" borderId="10" xfId="0" applyNumberFormat="1" applyFill="1" applyBorder="1" applyAlignment="1">
      <alignment/>
    </xf>
    <xf numFmtId="3" fontId="4" fillId="0" borderId="65" xfId="34" applyNumberFormat="1" applyFont="1" applyFill="1" applyBorder="1" applyAlignment="1" applyProtection="1">
      <alignment horizontal="right"/>
      <protection/>
    </xf>
    <xf numFmtId="3" fontId="4" fillId="0" borderId="38" xfId="34" applyNumberFormat="1" applyFont="1" applyFill="1" applyBorder="1" applyAlignment="1" applyProtection="1">
      <alignment horizontal="right"/>
      <protection/>
    </xf>
    <xf numFmtId="171" fontId="5" fillId="3" borderId="10" xfId="0" applyNumberFormat="1" applyFont="1" applyFill="1" applyBorder="1" applyAlignment="1" applyProtection="1">
      <alignment/>
      <protection/>
    </xf>
    <xf numFmtId="0" fontId="0" fillId="0" borderId="5" xfId="0" applyBorder="1" applyAlignment="1">
      <alignment horizontal="left" vertical="center"/>
    </xf>
    <xf numFmtId="0" fontId="5" fillId="3" borderId="13" xfId="0" applyFont="1" applyFill="1" applyBorder="1" applyAlignment="1" applyProtection="1">
      <alignment horizontal="center" wrapText="1"/>
      <protection hidden="1"/>
    </xf>
    <xf numFmtId="0" fontId="5" fillId="3" borderId="10" xfId="0" applyFont="1" applyFill="1" applyBorder="1" applyAlignment="1" applyProtection="1">
      <alignment horizontal="center" wrapText="1"/>
      <protection hidden="1"/>
    </xf>
    <xf numFmtId="0" fontId="0" fillId="0" borderId="10" xfId="0" applyBorder="1" applyAlignment="1">
      <alignment horizontal="center" wrapText="1"/>
    </xf>
    <xf numFmtId="171" fontId="4" fillId="3" borderId="13" xfId="0" applyNumberFormat="1" applyFont="1" applyFill="1" applyBorder="1" applyAlignment="1" applyProtection="1">
      <alignment/>
      <protection/>
    </xf>
    <xf numFmtId="0" fontId="0" fillId="3" borderId="10" xfId="0" applyFill="1" applyBorder="1" applyAlignment="1">
      <alignment/>
    </xf>
    <xf numFmtId="0" fontId="4" fillId="0" borderId="9" xfId="0" applyFont="1" applyBorder="1" applyAlignment="1" applyProtection="1">
      <alignment horizontal="center"/>
      <protection hidden="1"/>
    </xf>
    <xf numFmtId="0" fontId="5" fillId="0" borderId="10" xfId="0" applyFont="1" applyBorder="1" applyAlignment="1" applyProtection="1">
      <alignment horizontal="center"/>
      <protection hidden="1"/>
    </xf>
    <xf numFmtId="4" fontId="5" fillId="3" borderId="13" xfId="0" applyNumberFormat="1" applyFont="1" applyFill="1" applyBorder="1" applyAlignment="1" applyProtection="1">
      <alignment horizontal="center"/>
      <protection hidden="1"/>
    </xf>
    <xf numFmtId="4" fontId="0" fillId="0" borderId="9" xfId="0" applyNumberFormat="1" applyBorder="1" applyAlignment="1" applyProtection="1">
      <alignment horizontal="center"/>
      <protection hidden="1"/>
    </xf>
    <xf numFmtId="4" fontId="0" fillId="0" borderId="10" xfId="0" applyNumberFormat="1" applyBorder="1" applyAlignment="1" applyProtection="1">
      <alignment horizontal="center"/>
      <protection hidden="1"/>
    </xf>
    <xf numFmtId="171" fontId="4" fillId="0" borderId="17" xfId="34" applyNumberFormat="1" applyFont="1" applyFill="1" applyBorder="1" applyAlignment="1" applyProtection="1">
      <alignment/>
      <protection/>
    </xf>
    <xf numFmtId="0" fontId="0" fillId="0" borderId="17" xfId="0" applyBorder="1" applyAlignment="1" applyProtection="1">
      <alignment/>
      <protection/>
    </xf>
    <xf numFmtId="0" fontId="0" fillId="0" borderId="10" xfId="0" applyBorder="1" applyAlignment="1" applyProtection="1">
      <alignment horizontal="center" wrapText="1"/>
      <protection hidden="1"/>
    </xf>
    <xf numFmtId="171" fontId="4" fillId="0" borderId="9" xfId="0" applyNumberFormat="1" applyFont="1" applyFill="1" applyBorder="1" applyAlignment="1" applyProtection="1">
      <alignment/>
      <protection locked="0"/>
    </xf>
    <xf numFmtId="171" fontId="4" fillId="0" borderId="41" xfId="0" applyNumberFormat="1" applyFont="1" applyFill="1" applyBorder="1" applyAlignment="1" applyProtection="1">
      <alignment/>
      <protection/>
    </xf>
    <xf numFmtId="0" fontId="0" fillId="0" borderId="12" xfId="0" applyBorder="1" applyAlignment="1">
      <alignment/>
    </xf>
    <xf numFmtId="171" fontId="4" fillId="0" borderId="42" xfId="0" applyNumberFormat="1" applyFont="1" applyFill="1" applyBorder="1" applyAlignment="1" applyProtection="1">
      <alignment/>
      <protection/>
    </xf>
    <xf numFmtId="0" fontId="5" fillId="3" borderId="13" xfId="0" applyFont="1" applyFill="1" applyBorder="1" applyAlignment="1" applyProtection="1">
      <alignment horizontal="center" vertical="top"/>
      <protection hidden="1"/>
    </xf>
    <xf numFmtId="0" fontId="0" fillId="0" borderId="9" xfId="0" applyBorder="1" applyAlignment="1">
      <alignment horizontal="center" vertical="top"/>
    </xf>
    <xf numFmtId="175" fontId="5" fillId="0" borderId="13" xfId="34" applyNumberFormat="1" applyFont="1" applyFill="1" applyBorder="1" applyAlignment="1" applyProtection="1">
      <alignment/>
      <protection/>
    </xf>
    <xf numFmtId="175" fontId="5" fillId="0" borderId="9" xfId="34" applyNumberFormat="1" applyFont="1" applyFill="1" applyBorder="1" applyAlignment="1" applyProtection="1">
      <alignment/>
      <protection/>
    </xf>
    <xf numFmtId="171" fontId="4" fillId="0" borderId="7" xfId="0" applyNumberFormat="1" applyFont="1" applyFill="1" applyBorder="1" applyAlignment="1" applyProtection="1">
      <alignment horizontal="center" vertical="center" wrapText="1"/>
      <protection/>
    </xf>
    <xf numFmtId="171" fontId="4" fillId="0" borderId="43" xfId="0" applyNumberFormat="1" applyFont="1" applyFill="1" applyBorder="1" applyAlignment="1" applyProtection="1">
      <alignment horizontal="center" vertical="center" wrapText="1"/>
      <protection/>
    </xf>
    <xf numFmtId="171" fontId="4" fillId="0" borderId="8" xfId="0" applyNumberFormat="1" applyFont="1" applyFill="1" applyBorder="1" applyAlignment="1" applyProtection="1">
      <alignment horizontal="center" vertical="center" wrapText="1"/>
      <protection/>
    </xf>
    <xf numFmtId="169" fontId="4" fillId="0" borderId="7" xfId="0" applyNumberFormat="1" applyFont="1" applyFill="1" applyBorder="1" applyAlignment="1" applyProtection="1">
      <alignment horizontal="center" vertical="center" wrapText="1"/>
      <protection/>
    </xf>
    <xf numFmtId="169" fontId="0" fillId="0" borderId="43" xfId="0" applyNumberFormat="1" applyBorder="1" applyAlignment="1">
      <alignment horizontal="center" vertical="center" wrapText="1"/>
    </xf>
    <xf numFmtId="169" fontId="0" fillId="0" borderId="8" xfId="0" applyNumberFormat="1" applyBorder="1" applyAlignment="1">
      <alignment horizontal="center" vertical="center" wrapText="1"/>
    </xf>
    <xf numFmtId="171" fontId="0" fillId="0" borderId="12" xfId="0" applyNumberFormat="1" applyBorder="1" applyAlignment="1">
      <alignment horizontal="center" vertical="center"/>
    </xf>
    <xf numFmtId="171" fontId="0" fillId="0" borderId="5" xfId="0" applyNumberFormat="1" applyBorder="1" applyAlignment="1">
      <alignment horizontal="center" vertical="center"/>
    </xf>
    <xf numFmtId="171" fontId="0" fillId="0" borderId="14" xfId="0" applyNumberFormat="1" applyBorder="1" applyAlignment="1">
      <alignment horizontal="center" vertical="center"/>
    </xf>
    <xf numFmtId="171" fontId="0" fillId="0" borderId="42" xfId="0" applyNumberFormat="1" applyBorder="1" applyAlignment="1">
      <alignment horizontal="center" vertical="center"/>
    </xf>
    <xf numFmtId="171" fontId="0" fillId="0" borderId="46" xfId="0" applyNumberFormat="1" applyBorder="1" applyAlignment="1">
      <alignment horizontal="center" vertical="center"/>
    </xf>
    <xf numFmtId="0" fontId="1" fillId="3" borderId="10" xfId="0" applyFont="1" applyFill="1" applyBorder="1" applyAlignment="1">
      <alignment/>
    </xf>
    <xf numFmtId="171" fontId="4" fillId="0" borderId="17" xfId="0" applyNumberFormat="1" applyFont="1" applyBorder="1" applyAlignment="1" applyProtection="1">
      <alignment/>
      <protection/>
    </xf>
    <xf numFmtId="0" fontId="0" fillId="0" borderId="17" xfId="0" applyBorder="1" applyAlignment="1">
      <alignment/>
    </xf>
    <xf numFmtId="0" fontId="0" fillId="0" borderId="46" xfId="0" applyBorder="1" applyAlignment="1">
      <alignment horizontal="center" wrapText="1"/>
    </xf>
    <xf numFmtId="171" fontId="4" fillId="0" borderId="6" xfId="34" applyNumberFormat="1" applyFont="1" applyFill="1" applyBorder="1" applyAlignment="1" applyProtection="1">
      <alignment/>
      <protection/>
    </xf>
    <xf numFmtId="0" fontId="0" fillId="0" borderId="6" xfId="0" applyBorder="1" applyAlignment="1" applyProtection="1">
      <alignment/>
      <protection/>
    </xf>
    <xf numFmtId="0" fontId="7" fillId="8" borderId="0" xfId="0" applyFont="1" applyFill="1" applyBorder="1" applyAlignment="1" applyProtection="1">
      <alignment/>
      <protection hidden="1"/>
    </xf>
    <xf numFmtId="171" fontId="4" fillId="8" borderId="9" xfId="34" applyNumberFormat="1" applyFont="1" applyFill="1" applyBorder="1" applyAlignment="1" applyProtection="1">
      <alignment horizontal="right"/>
      <protection/>
    </xf>
    <xf numFmtId="0" fontId="0" fillId="8" borderId="10" xfId="0" applyFont="1" applyFill="1" applyBorder="1" applyAlignment="1">
      <alignment horizontal="right"/>
    </xf>
    <xf numFmtId="1" fontId="5" fillId="3" borderId="42" xfId="0" applyNumberFormat="1" applyFont="1" applyFill="1" applyBorder="1" applyAlignment="1" applyProtection="1">
      <alignment horizontal="center"/>
      <protection hidden="1"/>
    </xf>
    <xf numFmtId="0" fontId="4" fillId="0" borderId="12" xfId="0" applyFont="1" applyBorder="1" applyAlignment="1">
      <alignment/>
    </xf>
    <xf numFmtId="0" fontId="4" fillId="0" borderId="6" xfId="0" applyFont="1" applyFill="1" applyBorder="1" applyAlignment="1" applyProtection="1">
      <alignment/>
      <protection hidden="1"/>
    </xf>
    <xf numFmtId="0" fontId="0" fillId="0" borderId="6" xfId="0" applyBorder="1" applyAlignment="1">
      <alignment/>
    </xf>
    <xf numFmtId="9" fontId="4" fillId="0" borderId="13" xfId="0" applyNumberFormat="1" applyFont="1" applyFill="1" applyBorder="1" applyAlignment="1" applyProtection="1">
      <alignment/>
      <protection locked="0"/>
    </xf>
    <xf numFmtId="171" fontId="4" fillId="0" borderId="13" xfId="0" applyNumberFormat="1" applyFont="1" applyFill="1" applyBorder="1" applyAlignment="1" applyProtection="1">
      <alignment/>
      <protection hidden="1"/>
    </xf>
    <xf numFmtId="0" fontId="4" fillId="0" borderId="10" xfId="0" applyFont="1" applyFill="1" applyBorder="1" applyAlignment="1" applyProtection="1">
      <alignment/>
      <protection hidden="1"/>
    </xf>
    <xf numFmtId="0" fontId="5" fillId="3" borderId="13" xfId="0" applyFont="1" applyFill="1" applyBorder="1" applyAlignment="1" applyProtection="1">
      <alignment horizontal="left"/>
      <protection hidden="1"/>
    </xf>
    <xf numFmtId="0" fontId="5" fillId="3" borderId="9" xfId="0" applyFont="1" applyFill="1" applyBorder="1" applyAlignment="1" applyProtection="1">
      <alignment horizontal="left"/>
      <protection hidden="1"/>
    </xf>
    <xf numFmtId="171" fontId="7" fillId="8" borderId="5" xfId="0" applyNumberFormat="1" applyFont="1" applyFill="1" applyBorder="1" applyAlignment="1" applyProtection="1">
      <alignment/>
      <protection hidden="1"/>
    </xf>
    <xf numFmtId="171" fontId="4" fillId="0" borderId="0" xfId="34" applyNumberFormat="1" applyFont="1" applyFill="1" applyBorder="1" applyAlignment="1" applyProtection="1">
      <alignment/>
      <protection/>
    </xf>
    <xf numFmtId="171" fontId="0" fillId="0" borderId="14" xfId="0" applyNumberFormat="1" applyBorder="1" applyAlignment="1" applyProtection="1">
      <alignment/>
      <protection/>
    </xf>
    <xf numFmtId="171" fontId="4" fillId="0" borderId="11" xfId="34" applyNumberFormat="1" applyFont="1" applyFill="1" applyBorder="1" applyAlignment="1" applyProtection="1">
      <alignment/>
      <protection/>
    </xf>
    <xf numFmtId="171" fontId="0" fillId="0" borderId="12" xfId="0" applyNumberFormat="1" applyBorder="1" applyAlignment="1" applyProtection="1">
      <alignment/>
      <protection/>
    </xf>
    <xf numFmtId="2" fontId="4" fillId="0" borderId="13" xfId="0" applyNumberFormat="1" applyFont="1" applyFill="1" applyBorder="1" applyAlignment="1" applyProtection="1">
      <alignment horizontal="right"/>
      <protection hidden="1"/>
    </xf>
    <xf numFmtId="2" fontId="4" fillId="0" borderId="10" xfId="0" applyNumberFormat="1" applyFont="1" applyFill="1" applyBorder="1" applyAlignment="1" applyProtection="1">
      <alignment horizontal="right"/>
      <protection hidden="1"/>
    </xf>
    <xf numFmtId="9" fontId="4" fillId="3" borderId="9" xfId="34" applyNumberFormat="1" applyFont="1" applyFill="1" applyBorder="1" applyAlignment="1" applyProtection="1">
      <alignment/>
      <protection/>
    </xf>
    <xf numFmtId="9" fontId="0" fillId="3" borderId="10" xfId="0" applyNumberFormat="1" applyFill="1" applyBorder="1" applyAlignment="1">
      <alignment/>
    </xf>
    <xf numFmtId="2" fontId="4" fillId="0" borderId="13" xfId="0" applyNumberFormat="1" applyFont="1" applyFill="1" applyBorder="1" applyAlignment="1" applyProtection="1" quotePrefix="1">
      <alignment/>
      <protection hidden="1"/>
    </xf>
    <xf numFmtId="0" fontId="0" fillId="8" borderId="0" xfId="0" applyFill="1" applyBorder="1" applyAlignment="1" applyProtection="1">
      <alignment/>
      <protection hidden="1"/>
    </xf>
    <xf numFmtId="0" fontId="5" fillId="3" borderId="6" xfId="0" applyFont="1" applyFill="1" applyBorder="1" applyAlignment="1" applyProtection="1">
      <alignment horizontal="center" vertical="top" wrapText="1"/>
      <protection/>
    </xf>
    <xf numFmtId="0" fontId="1" fillId="3" borderId="6" xfId="0" applyFont="1" applyFill="1" applyBorder="1" applyAlignment="1">
      <alignment horizontal="center" vertical="top" wrapText="1"/>
    </xf>
    <xf numFmtId="0" fontId="4" fillId="0" borderId="13" xfId="0" applyFont="1" applyBorder="1" applyAlignment="1">
      <alignment horizontal="right"/>
    </xf>
    <xf numFmtId="171" fontId="4" fillId="0" borderId="0" xfId="34" applyNumberFormat="1" applyFont="1" applyFill="1" applyBorder="1" applyAlignment="1" applyProtection="1">
      <alignment horizontal="center"/>
      <protection locked="0"/>
    </xf>
    <xf numFmtId="171" fontId="4" fillId="0" borderId="14" xfId="34" applyNumberFormat="1" applyFont="1" applyFill="1" applyBorder="1" applyAlignment="1" applyProtection="1">
      <alignment horizontal="center"/>
      <protection locked="0"/>
    </xf>
    <xf numFmtId="3" fontId="4" fillId="0" borderId="41" xfId="0" applyNumberFormat="1" applyFont="1" applyBorder="1" applyAlignment="1">
      <alignment vertical="center"/>
    </xf>
    <xf numFmtId="37" fontId="4" fillId="0" borderId="13" xfId="0" applyNumberFormat="1" applyFont="1" applyFill="1" applyBorder="1" applyAlignment="1" applyProtection="1">
      <alignment/>
      <protection locked="0"/>
    </xf>
    <xf numFmtId="4" fontId="4" fillId="0" borderId="13" xfId="0" applyNumberFormat="1" applyFont="1" applyBorder="1" applyAlignment="1" applyProtection="1">
      <alignment/>
      <protection/>
    </xf>
    <xf numFmtId="4" fontId="0" fillId="0" borderId="10" xfId="0" applyNumberFormat="1" applyBorder="1" applyAlignment="1">
      <alignment/>
    </xf>
    <xf numFmtId="0" fontId="5" fillId="3" borderId="13" xfId="0" applyFont="1" applyFill="1" applyBorder="1" applyAlignment="1">
      <alignment horizontal="center"/>
    </xf>
    <xf numFmtId="0" fontId="5" fillId="0" borderId="10" xfId="0" applyFont="1" applyBorder="1" applyAlignment="1">
      <alignment horizontal="center"/>
    </xf>
    <xf numFmtId="0" fontId="5" fillId="0" borderId="12" xfId="0" applyFont="1" applyBorder="1" applyAlignment="1">
      <alignment horizontal="center"/>
    </xf>
    <xf numFmtId="0" fontId="5" fillId="3" borderId="41" xfId="0" applyFont="1" applyFill="1" applyBorder="1" applyAlignment="1">
      <alignment horizontal="center" vertical="top"/>
    </xf>
    <xf numFmtId="0" fontId="1" fillId="3" borderId="12" xfId="0" applyFont="1" applyFill="1" applyBorder="1" applyAlignment="1">
      <alignment horizontal="center"/>
    </xf>
    <xf numFmtId="0" fontId="5" fillId="3" borderId="42" xfId="0" applyFont="1" applyFill="1" applyBorder="1" applyAlignment="1">
      <alignment horizontal="center" vertical="top"/>
    </xf>
    <xf numFmtId="0" fontId="1" fillId="3" borderId="46" xfId="0" applyFont="1" applyFill="1" applyBorder="1" applyAlignment="1">
      <alignment horizontal="center"/>
    </xf>
    <xf numFmtId="4" fontId="4" fillId="3" borderId="13" xfId="0" applyNumberFormat="1" applyFont="1" applyFill="1" applyBorder="1" applyAlignment="1" applyProtection="1">
      <alignment/>
      <protection/>
    </xf>
    <xf numFmtId="4" fontId="0" fillId="3" borderId="10" xfId="0" applyNumberFormat="1" applyFill="1" applyBorder="1" applyAlignment="1">
      <alignment/>
    </xf>
    <xf numFmtId="2" fontId="4" fillId="0" borderId="13" xfId="0" applyNumberFormat="1" applyFont="1" applyFill="1" applyBorder="1" applyAlignment="1" applyProtection="1">
      <alignment/>
      <protection hidden="1"/>
    </xf>
    <xf numFmtId="4" fontId="2" fillId="0" borderId="0" xfId="0" applyNumberFormat="1" applyFont="1" applyAlignment="1" applyProtection="1">
      <alignment/>
      <protection hidden="1"/>
    </xf>
    <xf numFmtId="0" fontId="2" fillId="0" borderId="0" xfId="0" applyFont="1" applyFill="1" applyBorder="1" applyAlignment="1" applyProtection="1">
      <alignment/>
      <protection hidden="1"/>
    </xf>
    <xf numFmtId="4" fontId="2" fillId="0" borderId="0" xfId="0" applyNumberFormat="1" applyFont="1" applyFill="1" applyBorder="1" applyAlignment="1" applyProtection="1">
      <alignment horizontal="center"/>
      <protection hidden="1"/>
    </xf>
    <xf numFmtId="0" fontId="2" fillId="0" borderId="0" xfId="0" applyFont="1" applyAlignment="1" applyProtection="1">
      <alignment horizontal="center"/>
      <protection hidden="1"/>
    </xf>
    <xf numFmtId="4" fontId="5" fillId="3" borderId="9" xfId="0" applyNumberFormat="1" applyFont="1" applyFill="1" applyBorder="1" applyAlignment="1" applyProtection="1">
      <alignment horizontal="center"/>
      <protection hidden="1"/>
    </xf>
    <xf numFmtId="4" fontId="5" fillId="3" borderId="10" xfId="0" applyNumberFormat="1" applyFont="1" applyFill="1" applyBorder="1" applyAlignment="1" applyProtection="1">
      <alignment horizontal="center"/>
      <protection hidden="1"/>
    </xf>
    <xf numFmtId="0" fontId="5" fillId="3" borderId="12" xfId="0" applyFont="1" applyFill="1" applyBorder="1" applyAlignment="1" applyProtection="1">
      <alignment horizontal="center"/>
      <protection hidden="1"/>
    </xf>
    <xf numFmtId="0" fontId="5" fillId="3" borderId="46" xfId="0" applyFont="1" applyFill="1" applyBorder="1" applyAlignment="1" applyProtection="1">
      <alignment horizontal="center" wrapText="1"/>
      <protection hidden="1"/>
    </xf>
    <xf numFmtId="171" fontId="4" fillId="0" borderId="17" xfId="0" applyNumberFormat="1" applyFont="1" applyFill="1" applyBorder="1" applyAlignment="1" applyProtection="1">
      <alignment/>
      <protection/>
    </xf>
    <xf numFmtId="171" fontId="4" fillId="0" borderId="46" xfId="0" applyNumberFormat="1" applyFont="1" applyFill="1" applyBorder="1" applyAlignment="1" applyProtection="1">
      <alignment/>
      <protection/>
    </xf>
    <xf numFmtId="175" fontId="5" fillId="7" borderId="0" xfId="34" applyNumberFormat="1" applyFont="1" applyFill="1" applyBorder="1" applyAlignment="1" applyProtection="1">
      <alignment/>
      <protection/>
    </xf>
    <xf numFmtId="0" fontId="0" fillId="7" borderId="0" xfId="0" applyFill="1" applyBorder="1" applyAlignment="1">
      <alignment/>
    </xf>
    <xf numFmtId="1" fontId="4" fillId="0" borderId="7" xfId="0" applyNumberFormat="1" applyFont="1" applyFill="1" applyBorder="1" applyAlignment="1" applyProtection="1">
      <alignment horizontal="center" vertical="center" wrapText="1"/>
      <protection locked="0"/>
    </xf>
    <xf numFmtId="1" fontId="0" fillId="0" borderId="8" xfId="0" applyNumberFormat="1" applyBorder="1" applyAlignment="1">
      <alignment horizontal="center" vertical="center" wrapText="1"/>
    </xf>
    <xf numFmtId="175" fontId="5" fillId="0" borderId="13" xfId="0" applyNumberFormat="1" applyFont="1" applyFill="1" applyBorder="1" applyAlignment="1" applyProtection="1">
      <alignment/>
      <protection locked="0"/>
    </xf>
    <xf numFmtId="0" fontId="5" fillId="3" borderId="6" xfId="0" applyFont="1" applyFill="1" applyBorder="1" applyAlignment="1" applyProtection="1">
      <alignment horizontal="center" wrapText="1"/>
      <protection hidden="1"/>
    </xf>
    <xf numFmtId="171" fontId="5" fillId="3" borderId="19" xfId="0" applyNumberFormat="1" applyFont="1" applyFill="1" applyBorder="1" applyAlignment="1" applyProtection="1">
      <alignment horizontal="right"/>
      <protection/>
    </xf>
    <xf numFmtId="0" fontId="0" fillId="3" borderId="16" xfId="0" applyFill="1" applyBorder="1" applyAlignment="1">
      <alignment horizontal="right"/>
    </xf>
    <xf numFmtId="0" fontId="0" fillId="0" borderId="16" xfId="0" applyBorder="1" applyAlignment="1">
      <alignment/>
    </xf>
    <xf numFmtId="0" fontId="5" fillId="3" borderId="7" xfId="0" applyFont="1" applyFill="1" applyBorder="1" applyAlignment="1">
      <alignment horizontal="left" vertical="center"/>
    </xf>
    <xf numFmtId="0" fontId="0" fillId="0" borderId="8" xfId="0" applyBorder="1" applyAlignment="1">
      <alignment horizontal="left" vertical="center"/>
    </xf>
    <xf numFmtId="0" fontId="0" fillId="0" borderId="9" xfId="0" applyBorder="1" applyAlignment="1">
      <alignment horizontal="left"/>
    </xf>
    <xf numFmtId="0" fontId="0" fillId="0" borderId="10" xfId="0" applyBorder="1" applyAlignment="1">
      <alignment horizontal="left"/>
    </xf>
    <xf numFmtId="0" fontId="0" fillId="10" borderId="42" xfId="0" applyFill="1" applyBorder="1" applyAlignment="1">
      <alignment/>
    </xf>
    <xf numFmtId="0" fontId="0" fillId="10" borderId="46" xfId="0" applyFill="1" applyBorder="1" applyAlignment="1">
      <alignment/>
    </xf>
    <xf numFmtId="0" fontId="0" fillId="10" borderId="5" xfId="0" applyFill="1" applyBorder="1" applyAlignment="1">
      <alignment/>
    </xf>
    <xf numFmtId="0" fontId="0" fillId="10" borderId="14" xfId="0" applyFill="1" applyBorder="1" applyAlignment="1">
      <alignment/>
    </xf>
    <xf numFmtId="171" fontId="5" fillId="3" borderId="6" xfId="0" applyNumberFormat="1" applyFont="1" applyFill="1" applyBorder="1" applyAlignment="1" applyProtection="1">
      <alignment/>
      <protection/>
    </xf>
    <xf numFmtId="171" fontId="0" fillId="0" borderId="6" xfId="0" applyNumberFormat="1" applyBorder="1" applyAlignment="1">
      <alignment/>
    </xf>
    <xf numFmtId="171" fontId="5" fillId="3" borderId="13" xfId="0" applyNumberFormat="1" applyFont="1" applyFill="1" applyBorder="1" applyAlignment="1">
      <alignment/>
    </xf>
    <xf numFmtId="171" fontId="5" fillId="3" borderId="10" xfId="0" applyNumberFormat="1" applyFont="1" applyFill="1" applyBorder="1" applyAlignment="1">
      <alignment/>
    </xf>
    <xf numFmtId="171" fontId="5" fillId="3" borderId="6" xfId="0" applyNumberFormat="1" applyFont="1" applyFill="1" applyBorder="1" applyAlignment="1" applyProtection="1">
      <alignment/>
      <protection locked="0"/>
    </xf>
    <xf numFmtId="0" fontId="4" fillId="0" borderId="10" xfId="0" applyFont="1" applyBorder="1" applyAlignment="1" applyProtection="1">
      <alignment horizontal="center"/>
      <protection hidden="1"/>
    </xf>
    <xf numFmtId="0" fontId="2" fillId="0" borderId="0" xfId="0" applyNumberFormat="1" applyFont="1" applyFill="1" applyBorder="1" applyAlignment="1" applyProtection="1">
      <alignment horizontal="center"/>
      <protection hidden="1"/>
    </xf>
    <xf numFmtId="0" fontId="0" fillId="10" borderId="41" xfId="0" applyFill="1" applyBorder="1" applyAlignment="1">
      <alignment/>
    </xf>
    <xf numFmtId="0" fontId="0" fillId="10" borderId="12" xfId="0" applyFill="1" applyBorder="1" applyAlignment="1">
      <alignment/>
    </xf>
    <xf numFmtId="0" fontId="0" fillId="3" borderId="42" xfId="0" applyFill="1" applyBorder="1" applyAlignment="1">
      <alignment/>
    </xf>
    <xf numFmtId="0" fontId="0" fillId="3" borderId="46" xfId="0" applyFill="1" applyBorder="1" applyAlignment="1">
      <alignment/>
    </xf>
    <xf numFmtId="0" fontId="5" fillId="3" borderId="10" xfId="0" applyFont="1" applyFill="1" applyBorder="1" applyAlignment="1">
      <alignment horizontal="center"/>
    </xf>
    <xf numFmtId="171" fontId="5" fillId="0" borderId="13" xfId="0" applyNumberFormat="1" applyFont="1" applyFill="1" applyBorder="1" applyAlignment="1" applyProtection="1">
      <alignment/>
      <protection locked="0"/>
    </xf>
    <xf numFmtId="171" fontId="13" fillId="0" borderId="13" xfId="0" applyNumberFormat="1" applyFont="1" applyFill="1" applyBorder="1" applyAlignment="1" applyProtection="1">
      <alignment/>
      <protection/>
    </xf>
    <xf numFmtId="176" fontId="4" fillId="0" borderId="13" xfId="0" applyNumberFormat="1" applyFont="1" applyBorder="1" applyAlignment="1" applyProtection="1">
      <alignment horizontal="right"/>
      <protection locked="0"/>
    </xf>
    <xf numFmtId="171" fontId="5" fillId="3" borderId="10" xfId="34" applyNumberFormat="1" applyFont="1" applyFill="1" applyBorder="1" applyAlignment="1" applyProtection="1">
      <alignment/>
      <protection/>
    </xf>
    <xf numFmtId="171" fontId="4" fillId="0" borderId="13" xfId="0" applyNumberFormat="1" applyFont="1" applyFill="1" applyBorder="1" applyAlignment="1" applyProtection="1">
      <alignment wrapText="1"/>
      <protection hidden="1"/>
    </xf>
    <xf numFmtId="0" fontId="4" fillId="0" borderId="10" xfId="0" applyFont="1" applyFill="1" applyBorder="1" applyAlignment="1" applyProtection="1">
      <alignment wrapText="1"/>
      <protection hidden="1"/>
    </xf>
    <xf numFmtId="0" fontId="5" fillId="0" borderId="0" xfId="0" applyFont="1" applyFill="1" applyAlignment="1" applyProtection="1">
      <alignment/>
      <protection hidden="1"/>
    </xf>
    <xf numFmtId="37" fontId="4" fillId="0" borderId="41" xfId="0" applyNumberFormat="1" applyFont="1" applyFill="1" applyBorder="1" applyAlignment="1" applyProtection="1">
      <alignment wrapText="1"/>
      <protection hidden="1"/>
    </xf>
    <xf numFmtId="0" fontId="0" fillId="0" borderId="11" xfId="0" applyBorder="1" applyAlignment="1" applyProtection="1">
      <alignment wrapText="1"/>
      <protection hidden="1"/>
    </xf>
    <xf numFmtId="0" fontId="0" fillId="0" borderId="12" xfId="0" applyBorder="1" applyAlignment="1" applyProtection="1">
      <alignment wrapText="1"/>
      <protection hidden="1"/>
    </xf>
    <xf numFmtId="0" fontId="0" fillId="0" borderId="42" xfId="0" applyBorder="1" applyAlignment="1" applyProtection="1">
      <alignment wrapText="1"/>
      <protection hidden="1"/>
    </xf>
    <xf numFmtId="0" fontId="0" fillId="0" borderId="17" xfId="0" applyBorder="1" applyAlignment="1" applyProtection="1">
      <alignment wrapText="1"/>
      <protection hidden="1"/>
    </xf>
    <xf numFmtId="0" fontId="0" fillId="0" borderId="46" xfId="0" applyBorder="1" applyAlignment="1" applyProtection="1">
      <alignment wrapText="1"/>
      <protection hidden="1"/>
    </xf>
    <xf numFmtId="0" fontId="4" fillId="3" borderId="7" xfId="0" applyFont="1" applyFill="1" applyBorder="1" applyAlignment="1" applyProtection="1">
      <alignment horizontal="center" wrapText="1"/>
      <protection hidden="1"/>
    </xf>
    <xf numFmtId="0" fontId="4" fillId="0" borderId="7" xfId="0" applyFont="1" applyBorder="1" applyAlignment="1" applyProtection="1">
      <alignment horizontal="center" wrapText="1"/>
      <protection hidden="1"/>
    </xf>
    <xf numFmtId="0" fontId="4" fillId="3" borderId="8" xfId="0" applyFont="1" applyFill="1" applyBorder="1" applyAlignment="1" applyProtection="1">
      <alignment horizontal="center" wrapText="1"/>
      <protection hidden="1"/>
    </xf>
    <xf numFmtId="0" fontId="4" fillId="0" borderId="8" xfId="0" applyFont="1" applyBorder="1" applyAlignment="1" applyProtection="1">
      <alignment horizontal="center" wrapText="1"/>
      <protection hidden="1"/>
    </xf>
    <xf numFmtId="0" fontId="0" fillId="0" borderId="8" xfId="0" applyBorder="1" applyAlignment="1" applyProtection="1">
      <alignment horizontal="center" vertical="center" wrapText="1"/>
      <protection/>
    </xf>
    <xf numFmtId="171" fontId="0" fillId="0" borderId="42" xfId="0" applyNumberFormat="1" applyBorder="1" applyAlignment="1" applyProtection="1">
      <alignment horizontal="center" vertical="center"/>
      <protection/>
    </xf>
    <xf numFmtId="171" fontId="0" fillId="0" borderId="46" xfId="0" applyNumberFormat="1" applyBorder="1" applyAlignment="1" applyProtection="1">
      <alignment horizontal="center" vertical="center"/>
      <protection/>
    </xf>
    <xf numFmtId="9" fontId="4" fillId="0" borderId="13" xfId="0" applyNumberFormat="1" applyFont="1" applyFill="1" applyBorder="1" applyAlignment="1" applyProtection="1">
      <alignment/>
      <protection hidden="1"/>
    </xf>
    <xf numFmtId="9" fontId="4" fillId="0" borderId="10" xfId="0" applyNumberFormat="1" applyFont="1" applyFill="1" applyBorder="1" applyAlignment="1" applyProtection="1">
      <alignment/>
      <protection hidden="1"/>
    </xf>
    <xf numFmtId="0" fontId="5" fillId="3" borderId="42" xfId="0" applyFont="1" applyFill="1" applyBorder="1" applyAlignment="1" applyProtection="1">
      <alignment horizontal="center"/>
      <protection hidden="1"/>
    </xf>
    <xf numFmtId="0" fontId="5" fillId="3" borderId="46" xfId="0" applyFont="1" applyFill="1" applyBorder="1" applyAlignment="1" applyProtection="1">
      <alignment horizontal="center"/>
      <protection hidden="1"/>
    </xf>
    <xf numFmtId="171" fontId="4" fillId="0" borderId="41" xfId="0" applyNumberFormat="1" applyFont="1" applyFill="1" applyBorder="1" applyAlignment="1" applyProtection="1">
      <alignment vertical="center"/>
      <protection/>
    </xf>
    <xf numFmtId="0" fontId="4" fillId="0" borderId="12" xfId="0" applyFont="1" applyFill="1" applyBorder="1" applyAlignment="1" applyProtection="1">
      <alignment vertical="center"/>
      <protection/>
    </xf>
    <xf numFmtId="182" fontId="4" fillId="0" borderId="64" xfId="0" applyNumberFormat="1" applyFont="1" applyBorder="1" applyAlignment="1">
      <alignment/>
    </xf>
    <xf numFmtId="0" fontId="0" fillId="0" borderId="66" xfId="0" applyBorder="1" applyAlignment="1">
      <alignment/>
    </xf>
    <xf numFmtId="0" fontId="4" fillId="0" borderId="13" xfId="0" applyFont="1" applyFill="1" applyBorder="1" applyAlignment="1" applyProtection="1">
      <alignment/>
      <protection locked="0"/>
    </xf>
    <xf numFmtId="0" fontId="0" fillId="0" borderId="9" xfId="0" applyFont="1" applyBorder="1" applyAlignment="1" applyProtection="1">
      <alignment/>
      <protection locked="0"/>
    </xf>
    <xf numFmtId="0" fontId="0" fillId="0" borderId="10" xfId="0" applyFont="1" applyBorder="1" applyAlignment="1" applyProtection="1">
      <alignment/>
      <protection locked="0"/>
    </xf>
    <xf numFmtId="0" fontId="5" fillId="0" borderId="17" xfId="0" applyFont="1" applyFill="1" applyBorder="1" applyAlignment="1" applyProtection="1">
      <alignment horizontal="left" wrapText="1"/>
      <protection hidden="1"/>
    </xf>
    <xf numFmtId="0" fontId="1" fillId="0" borderId="17" xfId="0" applyFont="1" applyBorder="1" applyAlignment="1">
      <alignment horizontal="left" wrapText="1"/>
    </xf>
    <xf numFmtId="0" fontId="0" fillId="0" borderId="17" xfId="0" applyBorder="1" applyAlignment="1">
      <alignment horizontal="left" wrapText="1"/>
    </xf>
    <xf numFmtId="0" fontId="5" fillId="0" borderId="17" xfId="0" applyFont="1" applyFill="1" applyBorder="1" applyAlignment="1" applyProtection="1">
      <alignment wrapText="1"/>
      <protection hidden="1"/>
    </xf>
    <xf numFmtId="0" fontId="0" fillId="0" borderId="17" xfId="0" applyBorder="1" applyAlignment="1">
      <alignment wrapText="1"/>
    </xf>
    <xf numFmtId="0" fontId="21" fillId="0" borderId="0" xfId="0" applyFont="1" applyFill="1" applyBorder="1" applyAlignment="1" applyProtection="1">
      <alignment vertical="center"/>
      <protection/>
    </xf>
    <xf numFmtId="0" fontId="1" fillId="0" borderId="0" xfId="0" applyFont="1" applyAlignment="1" applyProtection="1">
      <alignment vertical="center"/>
      <protection/>
    </xf>
  </cellXfs>
  <cellStyles count="33">
    <cellStyle name="Normal" xfId="0"/>
    <cellStyle name="Custom - Opmaakprofiel8" xfId="15"/>
    <cellStyle name="Data   - Opmaakprofiel2" xfId="16"/>
    <cellStyle name="Followed Hyperlink" xfId="17"/>
    <cellStyle name="Hyperlink" xfId="18"/>
    <cellStyle name="Comma" xfId="19"/>
    <cellStyle name="Comma [0]" xfId="20"/>
    <cellStyle name="Labels - Opmaakprofiel3" xfId="21"/>
    <cellStyle name="Normal - Opmaakprofiel1" xfId="22"/>
    <cellStyle name="Normal - Opmaakprofiel2" xfId="23"/>
    <cellStyle name="Normal - Opmaakprofiel3" xfId="24"/>
    <cellStyle name="Normal - Opmaakprofiel4" xfId="25"/>
    <cellStyle name="Normal - Opmaakprofiel5" xfId="26"/>
    <cellStyle name="Normal - Opmaakprofiel6" xfId="27"/>
    <cellStyle name="Normal - Opmaakprofiel7" xfId="28"/>
    <cellStyle name="Normal - Opmaakprofiel8" xfId="29"/>
    <cellStyle name="Percent" xfId="30"/>
    <cellStyle name="Reset  - Opmaakprofiel7" xfId="31"/>
    <cellStyle name="Standaard_1K02844" xfId="32"/>
    <cellStyle name="Standaard_26Nacalculatieformulier GGZ 2005 versie 051021" xfId="33"/>
    <cellStyle name="Tabelstandaard" xfId="34"/>
    <cellStyle name="Tabelstandaard financieel" xfId="35"/>
    <cellStyle name="Tabelstandaard negatief" xfId="36"/>
    <cellStyle name="Tabelstandaard Totaal" xfId="37"/>
    <cellStyle name="Tabelstandaard Totaal Negatief" xfId="38"/>
    <cellStyle name="Tabelstandaard Totaal_26Nacalculatieformulier GGZ 2005 versie 051021" xfId="39"/>
    <cellStyle name="Tabelstandaard_26Nacalculatieformulier GGZ 2005 versie 051021" xfId="40"/>
    <cellStyle name="Table  - Opmaakprofiel6" xfId="41"/>
    <cellStyle name="Title  - Opmaakprofiel1" xfId="42"/>
    <cellStyle name="TotCol - Opmaakprofiel5" xfId="43"/>
    <cellStyle name="TotRow - Opmaakprofiel4" xfId="44"/>
    <cellStyle name="Currency" xfId="45"/>
    <cellStyle name="Currency [0]" xfId="46"/>
  </cellStyles>
  <dxfs count="22">
    <dxf>
      <fill>
        <patternFill>
          <bgColor rgb="FFFFFF99"/>
        </patternFill>
      </fill>
      <border>
        <left>
          <color rgb="FF000000"/>
        </left>
        <right>
          <color rgb="FF000000"/>
        </right>
        <top>
          <color rgb="FF000000"/>
        </top>
        <bottom>
          <color rgb="FF000000"/>
        </bottom>
      </border>
    </dxf>
    <dxf>
      <fill>
        <patternFill>
          <bgColor rgb="FFCCFFCC"/>
        </patternFill>
      </fill>
      <border>
        <left style="thin">
          <color rgb="FF000000"/>
        </left>
        <right style="thin">
          <color rgb="FF000000"/>
        </right>
        <top style="thin"/>
        <bottom style="thin">
          <color rgb="FF000000"/>
        </bottom>
      </border>
    </dxf>
    <dxf>
      <fill>
        <patternFill>
          <bgColor rgb="FFFF0000"/>
        </patternFill>
      </fill>
      <border>
        <left>
          <color rgb="FF000000"/>
        </left>
        <right style="thin">
          <color rgb="FF000000"/>
        </right>
        <top>
          <color rgb="FF000000"/>
        </top>
        <bottom>
          <color rgb="FF000000"/>
        </bottom>
      </border>
    </dxf>
    <dxf>
      <fill>
        <patternFill>
          <bgColor rgb="FFFF0000"/>
        </patternFill>
      </fill>
      <border>
        <left>
          <color rgb="FF000000"/>
        </left>
        <right>
          <color rgb="FF000000"/>
        </right>
        <top>
          <color rgb="FF000000"/>
        </top>
        <bottom>
          <color rgb="FF000000"/>
        </bottom>
      </border>
    </dxf>
    <dxf>
      <fill>
        <patternFill>
          <bgColor rgb="FFFF0000"/>
        </patternFill>
      </fill>
      <border>
        <left>
          <color rgb="FF000000"/>
        </left>
        <right>
          <color rgb="FF000000"/>
        </right>
        <top style="thin">
          <color rgb="FF000000"/>
        </top>
        <bottom>
          <color rgb="FF000000"/>
        </bottom>
      </border>
    </dxf>
    <dxf>
      <fill>
        <patternFill>
          <bgColor rgb="FFFF0000"/>
        </patternFill>
      </fill>
      <border>
        <left>
          <color rgb="FF000000"/>
        </left>
        <right>
          <color rgb="FF000000"/>
        </right>
        <top/>
        <bottom style="thin">
          <color rgb="FF000000"/>
        </bottom>
      </border>
    </dxf>
    <dxf>
      <fill>
        <patternFill>
          <bgColor rgb="FFFF0000"/>
        </patternFill>
      </fill>
      <border>
        <left style="thin">
          <color rgb="FF000000"/>
        </left>
        <right>
          <color rgb="FF000000"/>
        </right>
        <top style="thin">
          <color rgb="FF000000"/>
        </top>
        <bottom>
          <color rgb="FF000000"/>
        </bottom>
      </border>
    </dxf>
    <dxf>
      <fill>
        <patternFill>
          <bgColor rgb="FFFF0000"/>
        </patternFill>
      </fill>
      <border>
        <left style="thin">
          <color rgb="FF000000"/>
        </left>
        <right>
          <color rgb="FF000000"/>
        </right>
        <top>
          <color rgb="FF000000"/>
        </top>
        <bottom>
          <color rgb="FF000000"/>
        </bottom>
      </border>
    </dxf>
    <dxf>
      <fill>
        <patternFill>
          <bgColor rgb="FFFF0000"/>
        </patternFill>
      </fill>
      <border>
        <left>
          <color rgb="FF000000"/>
        </left>
        <right style="thin">
          <color rgb="FF000000"/>
        </right>
        <top style="thin">
          <color rgb="FF000000"/>
        </top>
        <bottom>
          <color rgb="FF000000"/>
        </bottom>
      </border>
    </dxf>
    <dxf>
      <fill>
        <patternFill>
          <bgColor rgb="FFFF0000"/>
        </patternFill>
      </fill>
      <border>
        <left>
          <color rgb="FF000000"/>
        </left>
        <right style="thin">
          <color rgb="FF000000"/>
        </right>
        <top/>
        <bottom style="thin">
          <color rgb="FF000000"/>
        </bottom>
      </border>
    </dxf>
    <dxf>
      <fill>
        <patternFill>
          <bgColor rgb="FFFF0000"/>
        </patternFill>
      </fill>
      <border/>
    </dxf>
    <dxf>
      <fill>
        <patternFill>
          <bgColor rgb="FFFFCC99"/>
        </patternFill>
      </fill>
      <border/>
    </dxf>
    <dxf>
      <fill>
        <patternFill>
          <bgColor rgb="FFFFFFCC"/>
        </patternFill>
      </fill>
      <border/>
    </dxf>
    <dxf>
      <fill>
        <patternFill>
          <bgColor rgb="FFCCFFCC"/>
        </patternFill>
      </fill>
      <border/>
    </dxf>
    <dxf>
      <font>
        <color rgb="FF000000"/>
      </font>
      <fill>
        <patternFill>
          <bgColor rgb="FFCCFFCC"/>
        </patternFill>
      </fill>
      <border/>
    </dxf>
    <dxf>
      <fill>
        <patternFill>
          <bgColor rgb="FFFF0000"/>
        </patternFill>
      </fill>
      <border>
        <left style="thin">
          <color rgb="FF000000"/>
        </left>
        <right style="thin">
          <color rgb="FF000000"/>
        </right>
        <top style="thin"/>
        <bottom style="thin">
          <color rgb="FF000000"/>
        </bottom>
      </border>
    </dxf>
    <dxf>
      <font>
        <color auto="1"/>
      </font>
      <fill>
        <patternFill>
          <bgColor rgb="FF99CCFF"/>
        </patternFill>
      </fill>
      <border/>
    </dxf>
    <dxf>
      <font>
        <color rgb="FF800000"/>
      </font>
      <fill>
        <patternFill>
          <bgColor rgb="FFFFFFCC"/>
        </patternFill>
      </fill>
      <border/>
    </dxf>
    <dxf>
      <font>
        <b/>
        <i val="0"/>
        <color rgb="FF800000"/>
      </font>
      <fill>
        <patternFill patternType="none">
          <bgColor indexed="65"/>
        </patternFill>
      </fill>
      <border/>
    </dxf>
    <dxf>
      <font>
        <color auto="1"/>
      </font>
      <fill>
        <patternFill>
          <bgColor rgb="FFC0C0C0"/>
        </patternFill>
      </fill>
      <border/>
    </dxf>
    <dxf>
      <font>
        <color rgb="FFFFFFFF"/>
      </font>
      <fill>
        <patternFill patternType="none">
          <bgColor indexed="65"/>
        </patternFill>
      </fill>
      <border>
        <left>
          <color rgb="FF000000"/>
        </left>
        <right>
          <color rgb="FF000000"/>
        </right>
        <top>
          <color rgb="FF000000"/>
        </top>
        <bottom>
          <color rgb="FF000000"/>
        </bottom>
      </border>
    </dxf>
    <dxf>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externalLink" Target="externalLinks/externalLink5.xml" /><Relationship Id="rId17" Type="http://schemas.openxmlformats.org/officeDocument/2006/relationships/externalLink" Target="externalLinks/externalLink6.xml" /><Relationship Id="rId18" Type="http://schemas.openxmlformats.org/officeDocument/2006/relationships/externalLink" Target="externalLinks/externalLink7.xml" /><Relationship Id="rId19" Type="http://schemas.openxmlformats.org/officeDocument/2006/relationships/externalLink" Target="externalLinks/externalLink8.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latin typeface="Arial"/>
                <a:ea typeface="Arial"/>
                <a:cs typeface="Arial"/>
              </a:rPr>
              <a:t>Budgetontwikkeling klinisch</a:t>
            </a:r>
          </a:p>
        </c:rich>
      </c:tx>
      <c:layout/>
      <c:spPr>
        <a:noFill/>
        <a:ln>
          <a:noFill/>
        </a:ln>
      </c:spPr>
    </c:title>
    <c:plotArea>
      <c:layout>
        <c:manualLayout>
          <c:xMode val="edge"/>
          <c:yMode val="edge"/>
          <c:x val="0.019"/>
          <c:y val="0.1115"/>
          <c:w val="0.8355"/>
          <c:h val="0.866"/>
        </c:manualLayout>
      </c:layout>
      <c:barChart>
        <c:barDir val="col"/>
        <c:grouping val="clustered"/>
        <c:varyColors val="0"/>
        <c:ser>
          <c:idx val="0"/>
          <c:order val="0"/>
          <c:tx>
            <c:strRef>
              <c:f>'0000'!$E$679</c:f>
              <c:strCache>
                <c:ptCount val="1"/>
                <c:pt idx="0">
                  <c:v>afspr05</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'0000'!$B$680:$B$685</c:f>
              <c:strCache>
                <c:ptCount val="6"/>
                <c:pt idx="0">
                  <c:v>verslavingszorg</c:v>
                </c:pt>
                <c:pt idx="1">
                  <c:v>kinderen en jeugd</c:v>
                </c:pt>
                <c:pt idx="2">
                  <c:v>volwassenen ouderen</c:v>
                </c:pt>
                <c:pt idx="3">
                  <c:v>forensisch</c:v>
                </c:pt>
                <c:pt idx="4">
                  <c:v>klinisch intensief</c:v>
                </c:pt>
                <c:pt idx="5">
                  <c:v>beschermd wonen</c:v>
                </c:pt>
              </c:strCache>
            </c:strRef>
          </c:cat>
          <c:val>
            <c:numRef>
              <c:f>'0000'!$E$680:$E$685</c:f>
              <c:numCache>
                <c:ptCount val="6"/>
                <c:pt idx="0">
                  <c:v>0</c:v>
                </c:pt>
                <c:pt idx="1">
                  <c:v>0</c:v>
                </c:pt>
                <c:pt idx="2">
                  <c:v>0</c:v>
                </c:pt>
                <c:pt idx="3">
                  <c:v>0</c:v>
                </c:pt>
                <c:pt idx="4">
                  <c:v>0</c:v>
                </c:pt>
                <c:pt idx="5">
                  <c:v>0</c:v>
                </c:pt>
              </c:numCache>
            </c:numRef>
          </c:val>
        </c:ser>
        <c:ser>
          <c:idx val="1"/>
          <c:order val="1"/>
          <c:tx>
            <c:strRef>
              <c:f>'0000'!$F$679</c:f>
              <c:strCache>
                <c:ptCount val="1"/>
                <c:pt idx="0">
                  <c:v>werk05</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'0000'!$B$680:$B$685</c:f>
              <c:strCache>
                <c:ptCount val="6"/>
                <c:pt idx="0">
                  <c:v>verslavingszorg</c:v>
                </c:pt>
                <c:pt idx="1">
                  <c:v>kinderen en jeugd</c:v>
                </c:pt>
                <c:pt idx="2">
                  <c:v>volwassenen ouderen</c:v>
                </c:pt>
                <c:pt idx="3">
                  <c:v>forensisch</c:v>
                </c:pt>
                <c:pt idx="4">
                  <c:v>klinisch intensief</c:v>
                </c:pt>
                <c:pt idx="5">
                  <c:v>beschermd wonen</c:v>
                </c:pt>
              </c:strCache>
            </c:strRef>
          </c:cat>
          <c:val>
            <c:numRef>
              <c:f>'0000'!$F$680:$F$685</c:f>
              <c:numCache>
                <c:ptCount val="6"/>
                <c:pt idx="0">
                  <c:v>0</c:v>
                </c:pt>
                <c:pt idx="1">
                  <c:v>0</c:v>
                </c:pt>
                <c:pt idx="2">
                  <c:v>0</c:v>
                </c:pt>
                <c:pt idx="3">
                  <c:v>0</c:v>
                </c:pt>
                <c:pt idx="4">
                  <c:v>0</c:v>
                </c:pt>
                <c:pt idx="5">
                  <c:v>0</c:v>
                </c:pt>
              </c:numCache>
            </c:numRef>
          </c:val>
        </c:ser>
        <c:ser>
          <c:idx val="2"/>
          <c:order val="2"/>
          <c:tx>
            <c:strRef>
              <c:f>'0000'!$G$679</c:f>
              <c:strCache>
                <c:ptCount val="1"/>
                <c:pt idx="0">
                  <c:v>afspr06</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'0000'!$B$680:$B$685</c:f>
              <c:strCache>
                <c:ptCount val="6"/>
                <c:pt idx="0">
                  <c:v>verslavingszorg</c:v>
                </c:pt>
                <c:pt idx="1">
                  <c:v>kinderen en jeugd</c:v>
                </c:pt>
                <c:pt idx="2">
                  <c:v>volwassenen ouderen</c:v>
                </c:pt>
                <c:pt idx="3">
                  <c:v>forensisch</c:v>
                </c:pt>
                <c:pt idx="4">
                  <c:v>klinisch intensief</c:v>
                </c:pt>
                <c:pt idx="5">
                  <c:v>beschermd wonen</c:v>
                </c:pt>
              </c:strCache>
            </c:strRef>
          </c:cat>
          <c:val>
            <c:numRef>
              <c:f>'0000'!$G$680:$G$685</c:f>
              <c:numCache>
                <c:ptCount val="6"/>
                <c:pt idx="0">
                  <c:v>0</c:v>
                </c:pt>
                <c:pt idx="1">
                  <c:v>0</c:v>
                </c:pt>
                <c:pt idx="2">
                  <c:v>0</c:v>
                </c:pt>
                <c:pt idx="3">
                  <c:v>0</c:v>
                </c:pt>
                <c:pt idx="4">
                  <c:v>0</c:v>
                </c:pt>
                <c:pt idx="5">
                  <c:v>0</c:v>
                </c:pt>
              </c:numCache>
            </c:numRef>
          </c:val>
        </c:ser>
        <c:axId val="30332048"/>
        <c:axId val="4552977"/>
      </c:barChart>
      <c:catAx>
        <c:axId val="30332048"/>
        <c:scaling>
          <c:orientation val="minMax"/>
        </c:scaling>
        <c:axPos val="b"/>
        <c:delete val="0"/>
        <c:numFmt formatCode="General" sourceLinked="1"/>
        <c:majorTickMark val="out"/>
        <c:minorTickMark val="none"/>
        <c:tickLblPos val="nextTo"/>
        <c:crossAx val="4552977"/>
        <c:crosses val="autoZero"/>
        <c:auto val="1"/>
        <c:lblOffset val="100"/>
        <c:noMultiLvlLbl val="0"/>
      </c:catAx>
      <c:valAx>
        <c:axId val="4552977"/>
        <c:scaling>
          <c:orientation val="minMax"/>
          <c:min val="0"/>
        </c:scaling>
        <c:axPos val="l"/>
        <c:majorGridlines/>
        <c:delete val="0"/>
        <c:numFmt formatCode="General" sourceLinked="1"/>
        <c:majorTickMark val="out"/>
        <c:minorTickMark val="none"/>
        <c:tickLblPos val="nextTo"/>
        <c:crossAx val="30332048"/>
        <c:crossesAt val="1"/>
        <c:crossBetween val="between"/>
        <c:dispUnits/>
      </c:valAx>
      <c:spPr>
        <a:solidFill>
          <a:srgbClr val="C0C0C0"/>
        </a:solidFill>
        <a:ln w="12700">
          <a:solidFill>
            <a:srgbClr val="808080"/>
          </a:solidFill>
        </a:ln>
      </c:spPr>
    </c:plotArea>
    <c:legend>
      <c:legendPos val="r"/>
      <c:layout>
        <c:manualLayout>
          <c:xMode val="edge"/>
          <c:yMode val="edge"/>
          <c:x val="0.86225"/>
          <c:y val="0.86025"/>
          <c:w val="0.13775"/>
          <c:h val="0.1397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Budgetontwikkeling klinisch totaal</a:t>
            </a:r>
          </a:p>
        </c:rich>
      </c:tx>
      <c:layout>
        <c:manualLayout>
          <c:xMode val="factor"/>
          <c:yMode val="factor"/>
          <c:x val="0"/>
          <c:y val="-0.0035"/>
        </c:manualLayout>
      </c:layout>
      <c:spPr>
        <a:noFill/>
        <a:ln>
          <a:noFill/>
        </a:ln>
      </c:spPr>
    </c:title>
    <c:plotArea>
      <c:layout>
        <c:manualLayout>
          <c:xMode val="edge"/>
          <c:yMode val="edge"/>
          <c:x val="0.02175"/>
          <c:y val="0.111"/>
          <c:w val="0.9565"/>
          <c:h val="0.8665"/>
        </c:manualLayout>
      </c:layout>
      <c:barChart>
        <c:barDir val="col"/>
        <c:grouping val="clustered"/>
        <c:varyColors val="0"/>
        <c:ser>
          <c:idx val="0"/>
          <c:order val="0"/>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strRef>
              <c:f>'0000'!$E$679:$G$679</c:f>
              <c:strCache>
                <c:ptCount val="3"/>
                <c:pt idx="0">
                  <c:v>afspr05</c:v>
                </c:pt>
                <c:pt idx="1">
                  <c:v>werk05</c:v>
                </c:pt>
                <c:pt idx="2">
                  <c:v>afspr06</c:v>
                </c:pt>
              </c:strCache>
            </c:strRef>
          </c:cat>
          <c:val>
            <c:numRef>
              <c:f>'0000'!$E$686:$G$686</c:f>
              <c:numCache>
                <c:ptCount val="3"/>
                <c:pt idx="0">
                  <c:v>0</c:v>
                </c:pt>
                <c:pt idx="1">
                  <c:v>0</c:v>
                </c:pt>
                <c:pt idx="2">
                  <c:v>0</c:v>
                </c:pt>
              </c:numCache>
            </c:numRef>
          </c:val>
        </c:ser>
        <c:axId val="40976794"/>
        <c:axId val="33246827"/>
      </c:barChart>
      <c:catAx>
        <c:axId val="40976794"/>
        <c:scaling>
          <c:orientation val="minMax"/>
        </c:scaling>
        <c:axPos val="b"/>
        <c:delete val="0"/>
        <c:numFmt formatCode="General" sourceLinked="1"/>
        <c:majorTickMark val="out"/>
        <c:minorTickMark val="none"/>
        <c:tickLblPos val="nextTo"/>
        <c:crossAx val="33246827"/>
        <c:crosses val="autoZero"/>
        <c:auto val="1"/>
        <c:lblOffset val="100"/>
        <c:noMultiLvlLbl val="0"/>
      </c:catAx>
      <c:valAx>
        <c:axId val="33246827"/>
        <c:scaling>
          <c:orientation val="minMax"/>
          <c:min val="0"/>
        </c:scaling>
        <c:axPos val="l"/>
        <c:majorGridlines/>
        <c:delete val="0"/>
        <c:numFmt formatCode="General" sourceLinked="1"/>
        <c:majorTickMark val="out"/>
        <c:minorTickMark val="none"/>
        <c:tickLblPos val="nextTo"/>
        <c:crossAx val="40976794"/>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latin typeface="Arial"/>
                <a:ea typeface="Arial"/>
                <a:cs typeface="Arial"/>
              </a:rPr>
              <a:t>Budgetontwikkeling ambulante productie</a:t>
            </a:r>
          </a:p>
        </c:rich>
      </c:tx>
      <c:layout/>
      <c:spPr>
        <a:noFill/>
        <a:ln>
          <a:noFill/>
        </a:ln>
      </c:spPr>
    </c:title>
    <c:plotArea>
      <c:layout/>
      <c:barChart>
        <c:barDir val="col"/>
        <c:grouping val="clustered"/>
        <c:varyColors val="0"/>
        <c:ser>
          <c:idx val="0"/>
          <c:order val="0"/>
          <c:tx>
            <c:strRef>
              <c:f>'0000'!$E$679</c:f>
              <c:strCache>
                <c:ptCount val="1"/>
                <c:pt idx="0">
                  <c:v>afspr05</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'0000'!$B$693:$B$700</c:f>
              <c:strCache>
                <c:ptCount val="8"/>
                <c:pt idx="0">
                  <c:v>deeltijd</c:v>
                </c:pt>
                <c:pt idx="1">
                  <c:v>kinderen/jeugd</c:v>
                </c:pt>
                <c:pt idx="2">
                  <c:v>volwassenen</c:v>
                </c:pt>
                <c:pt idx="3">
                  <c:v>ouderen</c:v>
                </c:pt>
                <c:pt idx="4">
                  <c:v>verslaving</c:v>
                </c:pt>
                <c:pt idx="5">
                  <c:v>forensisch</c:v>
                </c:pt>
                <c:pt idx="6">
                  <c:v>diensterl/prev.</c:v>
                </c:pt>
                <c:pt idx="7">
                  <c:v>ov.prod.kosten</c:v>
                </c:pt>
              </c:strCache>
            </c:strRef>
          </c:cat>
          <c:val>
            <c:numRef>
              <c:f>'0000'!$E$693:$E$700</c:f>
              <c:numCache>
                <c:ptCount val="8"/>
                <c:pt idx="0">
                  <c:v>0</c:v>
                </c:pt>
                <c:pt idx="1">
                  <c:v>0</c:v>
                </c:pt>
                <c:pt idx="2">
                  <c:v>0</c:v>
                </c:pt>
                <c:pt idx="3">
                  <c:v>0</c:v>
                </c:pt>
                <c:pt idx="4">
                  <c:v>0</c:v>
                </c:pt>
                <c:pt idx="5">
                  <c:v>0</c:v>
                </c:pt>
                <c:pt idx="6">
                  <c:v>0</c:v>
                </c:pt>
                <c:pt idx="7">
                  <c:v>0</c:v>
                </c:pt>
              </c:numCache>
            </c:numRef>
          </c:val>
        </c:ser>
        <c:ser>
          <c:idx val="1"/>
          <c:order val="1"/>
          <c:tx>
            <c:strRef>
              <c:f>'0000'!$F$679</c:f>
              <c:strCache>
                <c:ptCount val="1"/>
                <c:pt idx="0">
                  <c:v>werk05</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'0000'!$B$693:$B$700</c:f>
              <c:strCache>
                <c:ptCount val="8"/>
                <c:pt idx="0">
                  <c:v>deeltijd</c:v>
                </c:pt>
                <c:pt idx="1">
                  <c:v>kinderen/jeugd</c:v>
                </c:pt>
                <c:pt idx="2">
                  <c:v>volwassenen</c:v>
                </c:pt>
                <c:pt idx="3">
                  <c:v>ouderen</c:v>
                </c:pt>
                <c:pt idx="4">
                  <c:v>verslaving</c:v>
                </c:pt>
                <c:pt idx="5">
                  <c:v>forensisch</c:v>
                </c:pt>
                <c:pt idx="6">
                  <c:v>diensterl/prev.</c:v>
                </c:pt>
                <c:pt idx="7">
                  <c:v>ov.prod.kosten</c:v>
                </c:pt>
              </c:strCache>
            </c:strRef>
          </c:cat>
          <c:val>
            <c:numRef>
              <c:f>'0000'!$F$693:$F$700</c:f>
              <c:numCache>
                <c:ptCount val="8"/>
                <c:pt idx="0">
                  <c:v>0</c:v>
                </c:pt>
                <c:pt idx="1">
                  <c:v>0</c:v>
                </c:pt>
                <c:pt idx="2">
                  <c:v>0</c:v>
                </c:pt>
                <c:pt idx="3">
                  <c:v>0</c:v>
                </c:pt>
                <c:pt idx="4">
                  <c:v>0</c:v>
                </c:pt>
                <c:pt idx="5">
                  <c:v>0</c:v>
                </c:pt>
                <c:pt idx="6">
                  <c:v>0</c:v>
                </c:pt>
                <c:pt idx="7">
                  <c:v>0</c:v>
                </c:pt>
              </c:numCache>
            </c:numRef>
          </c:val>
        </c:ser>
        <c:ser>
          <c:idx val="2"/>
          <c:order val="2"/>
          <c:tx>
            <c:strRef>
              <c:f>'0000'!$G$679</c:f>
              <c:strCache>
                <c:ptCount val="1"/>
                <c:pt idx="0">
                  <c:v>afspr06</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'0000'!$B$693:$B$700</c:f>
              <c:strCache>
                <c:ptCount val="8"/>
                <c:pt idx="0">
                  <c:v>deeltijd</c:v>
                </c:pt>
                <c:pt idx="1">
                  <c:v>kinderen/jeugd</c:v>
                </c:pt>
                <c:pt idx="2">
                  <c:v>volwassenen</c:v>
                </c:pt>
                <c:pt idx="3">
                  <c:v>ouderen</c:v>
                </c:pt>
                <c:pt idx="4">
                  <c:v>verslaving</c:v>
                </c:pt>
                <c:pt idx="5">
                  <c:v>forensisch</c:v>
                </c:pt>
                <c:pt idx="6">
                  <c:v>diensterl/prev.</c:v>
                </c:pt>
                <c:pt idx="7">
                  <c:v>ov.prod.kosten</c:v>
                </c:pt>
              </c:strCache>
            </c:strRef>
          </c:cat>
          <c:val>
            <c:numRef>
              <c:f>'0000'!$G$693:$G$700</c:f>
              <c:numCache>
                <c:ptCount val="8"/>
                <c:pt idx="0">
                  <c:v>0</c:v>
                </c:pt>
                <c:pt idx="1">
                  <c:v>0</c:v>
                </c:pt>
                <c:pt idx="2">
                  <c:v>0</c:v>
                </c:pt>
                <c:pt idx="3">
                  <c:v>0</c:v>
                </c:pt>
                <c:pt idx="4">
                  <c:v>0</c:v>
                </c:pt>
                <c:pt idx="5">
                  <c:v>0</c:v>
                </c:pt>
                <c:pt idx="6">
                  <c:v>0</c:v>
                </c:pt>
                <c:pt idx="7">
                  <c:v>0</c:v>
                </c:pt>
              </c:numCache>
            </c:numRef>
          </c:val>
        </c:ser>
        <c:axId val="30785988"/>
        <c:axId val="8638437"/>
      </c:barChart>
      <c:catAx>
        <c:axId val="30785988"/>
        <c:scaling>
          <c:orientation val="minMax"/>
        </c:scaling>
        <c:axPos val="b"/>
        <c:delete val="0"/>
        <c:numFmt formatCode="General" sourceLinked="1"/>
        <c:majorTickMark val="out"/>
        <c:minorTickMark val="none"/>
        <c:tickLblPos val="nextTo"/>
        <c:crossAx val="8638437"/>
        <c:crosses val="autoZero"/>
        <c:auto val="1"/>
        <c:lblOffset val="100"/>
        <c:noMultiLvlLbl val="0"/>
      </c:catAx>
      <c:valAx>
        <c:axId val="8638437"/>
        <c:scaling>
          <c:orientation val="minMax"/>
          <c:min val="0"/>
        </c:scaling>
        <c:axPos val="l"/>
        <c:majorGridlines/>
        <c:delete val="0"/>
        <c:numFmt formatCode="General" sourceLinked="1"/>
        <c:majorTickMark val="out"/>
        <c:minorTickMark val="none"/>
        <c:tickLblPos val="nextTo"/>
        <c:crossAx val="30785988"/>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Budgetontwikkeling ambulant totaal</a:t>
            </a:r>
          </a:p>
        </c:rich>
      </c:tx>
      <c:layout/>
      <c:spPr>
        <a:noFill/>
        <a:ln>
          <a:noFill/>
        </a:ln>
      </c:spPr>
    </c:title>
    <c:plotArea>
      <c:layout/>
      <c:barChart>
        <c:barDir val="col"/>
        <c:grouping val="stack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'0000'!$E$679:$G$679</c:f>
              <c:strCache>
                <c:ptCount val="3"/>
                <c:pt idx="0">
                  <c:v>afspr05</c:v>
                </c:pt>
                <c:pt idx="1">
                  <c:v>werk05</c:v>
                </c:pt>
                <c:pt idx="2">
                  <c:v>afspr06</c:v>
                </c:pt>
              </c:strCache>
            </c:strRef>
          </c:cat>
          <c:val>
            <c:numRef>
              <c:f>'0000'!$E$701:$G$701</c:f>
              <c:numCache>
                <c:ptCount val="3"/>
                <c:pt idx="0">
                  <c:v>0</c:v>
                </c:pt>
                <c:pt idx="1">
                  <c:v>0</c:v>
                </c:pt>
                <c:pt idx="2">
                  <c:v>0</c:v>
                </c:pt>
              </c:numCache>
            </c:numRef>
          </c:val>
        </c:ser>
        <c:overlap val="100"/>
        <c:axId val="10637070"/>
        <c:axId val="28624767"/>
      </c:barChart>
      <c:catAx>
        <c:axId val="10637070"/>
        <c:scaling>
          <c:orientation val="minMax"/>
        </c:scaling>
        <c:axPos val="b"/>
        <c:delete val="0"/>
        <c:numFmt formatCode="General" sourceLinked="1"/>
        <c:majorTickMark val="out"/>
        <c:minorTickMark val="none"/>
        <c:tickLblPos val="nextTo"/>
        <c:crossAx val="28624767"/>
        <c:crosses val="autoZero"/>
        <c:auto val="1"/>
        <c:lblOffset val="100"/>
        <c:noMultiLvlLbl val="0"/>
      </c:catAx>
      <c:valAx>
        <c:axId val="28624767"/>
        <c:scaling>
          <c:orientation val="minMax"/>
          <c:min val="0"/>
        </c:scaling>
        <c:axPos val="l"/>
        <c:majorGridlines/>
        <c:delete val="0"/>
        <c:numFmt formatCode="General" sourceLinked="1"/>
        <c:majorTickMark val="out"/>
        <c:minorTickMark val="none"/>
        <c:tickLblPos val="nextTo"/>
        <c:crossAx val="10637070"/>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chart" Target="/xl/charts/chart1.xml" /><Relationship Id="rId3" Type="http://schemas.openxmlformats.org/officeDocument/2006/relationships/chart" Target="/xl/charts/chart2.xml" /><Relationship Id="rId4" Type="http://schemas.openxmlformats.org/officeDocument/2006/relationships/chart" Target="/xl/charts/chart3.xml" /><Relationship Id="rId5"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xdr:colOff>
      <xdr:row>11</xdr:row>
      <xdr:rowOff>0</xdr:rowOff>
    </xdr:from>
    <xdr:to>
      <xdr:col>2</xdr:col>
      <xdr:colOff>180975</xdr:colOff>
      <xdr:row>11</xdr:row>
      <xdr:rowOff>0</xdr:rowOff>
    </xdr:to>
    <xdr:sp>
      <xdr:nvSpPr>
        <xdr:cNvPr id="1" name="Rectangle 1"/>
        <xdr:cNvSpPr>
          <a:spLocks/>
        </xdr:cNvSpPr>
      </xdr:nvSpPr>
      <xdr:spPr>
        <a:xfrm>
          <a:off x="1247775" y="2809875"/>
          <a:ext cx="114300" cy="0"/>
        </a:xfrm>
        <a:prstGeom prst="rect">
          <a:avLst/>
        </a:prstGeom>
        <a:solidFill>
          <a:srgbClr val="800000"/>
        </a:solidFill>
        <a:ln w="952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11</xdr:row>
      <xdr:rowOff>0</xdr:rowOff>
    </xdr:from>
    <xdr:to>
      <xdr:col>2</xdr:col>
      <xdr:colOff>180975</xdr:colOff>
      <xdr:row>11</xdr:row>
      <xdr:rowOff>0</xdr:rowOff>
    </xdr:to>
    <xdr:sp>
      <xdr:nvSpPr>
        <xdr:cNvPr id="2" name="Rectangle 2"/>
        <xdr:cNvSpPr>
          <a:spLocks/>
        </xdr:cNvSpPr>
      </xdr:nvSpPr>
      <xdr:spPr>
        <a:xfrm>
          <a:off x="1247775" y="2809875"/>
          <a:ext cx="114300" cy="0"/>
        </a:xfrm>
        <a:prstGeom prst="rect">
          <a:avLst/>
        </a:prstGeom>
        <a:solidFill>
          <a:srgbClr val="800000"/>
        </a:solidFill>
        <a:ln w="952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11</xdr:row>
      <xdr:rowOff>0</xdr:rowOff>
    </xdr:from>
    <xdr:to>
      <xdr:col>2</xdr:col>
      <xdr:colOff>180975</xdr:colOff>
      <xdr:row>11</xdr:row>
      <xdr:rowOff>0</xdr:rowOff>
    </xdr:to>
    <xdr:sp>
      <xdr:nvSpPr>
        <xdr:cNvPr id="3" name="Rectangle 3"/>
        <xdr:cNvSpPr>
          <a:spLocks/>
        </xdr:cNvSpPr>
      </xdr:nvSpPr>
      <xdr:spPr>
        <a:xfrm>
          <a:off x="1247775" y="2809875"/>
          <a:ext cx="114300" cy="0"/>
        </a:xfrm>
        <a:prstGeom prst="rect">
          <a:avLst/>
        </a:prstGeom>
        <a:solidFill>
          <a:srgbClr val="800000"/>
        </a:solidFill>
        <a:ln w="952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11</xdr:row>
      <xdr:rowOff>0</xdr:rowOff>
    </xdr:from>
    <xdr:to>
      <xdr:col>2</xdr:col>
      <xdr:colOff>180975</xdr:colOff>
      <xdr:row>11</xdr:row>
      <xdr:rowOff>0</xdr:rowOff>
    </xdr:to>
    <xdr:sp>
      <xdr:nvSpPr>
        <xdr:cNvPr id="4" name="Rectangle 4"/>
        <xdr:cNvSpPr>
          <a:spLocks/>
        </xdr:cNvSpPr>
      </xdr:nvSpPr>
      <xdr:spPr>
        <a:xfrm>
          <a:off x="1247775" y="2809875"/>
          <a:ext cx="114300" cy="0"/>
        </a:xfrm>
        <a:prstGeom prst="rect">
          <a:avLst/>
        </a:prstGeom>
        <a:solidFill>
          <a:srgbClr val="800000"/>
        </a:solidFill>
        <a:ln w="952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11</xdr:row>
      <xdr:rowOff>0</xdr:rowOff>
    </xdr:from>
    <xdr:to>
      <xdr:col>2</xdr:col>
      <xdr:colOff>180975</xdr:colOff>
      <xdr:row>11</xdr:row>
      <xdr:rowOff>0</xdr:rowOff>
    </xdr:to>
    <xdr:sp>
      <xdr:nvSpPr>
        <xdr:cNvPr id="5" name="Rectangle 5"/>
        <xdr:cNvSpPr>
          <a:spLocks/>
        </xdr:cNvSpPr>
      </xdr:nvSpPr>
      <xdr:spPr>
        <a:xfrm>
          <a:off x="1247775" y="2809875"/>
          <a:ext cx="114300" cy="0"/>
        </a:xfrm>
        <a:prstGeom prst="rect">
          <a:avLst/>
        </a:prstGeom>
        <a:solidFill>
          <a:srgbClr val="800000"/>
        </a:solidFill>
        <a:ln w="952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11</xdr:row>
      <xdr:rowOff>0</xdr:rowOff>
    </xdr:from>
    <xdr:to>
      <xdr:col>2</xdr:col>
      <xdr:colOff>180975</xdr:colOff>
      <xdr:row>11</xdr:row>
      <xdr:rowOff>0</xdr:rowOff>
    </xdr:to>
    <xdr:sp>
      <xdr:nvSpPr>
        <xdr:cNvPr id="6" name="Rectangle 6"/>
        <xdr:cNvSpPr>
          <a:spLocks/>
        </xdr:cNvSpPr>
      </xdr:nvSpPr>
      <xdr:spPr>
        <a:xfrm>
          <a:off x="1247775" y="2809875"/>
          <a:ext cx="114300" cy="0"/>
        </a:xfrm>
        <a:prstGeom prst="rect">
          <a:avLst/>
        </a:prstGeom>
        <a:solidFill>
          <a:srgbClr val="800000"/>
        </a:solidFill>
        <a:ln w="952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11</xdr:row>
      <xdr:rowOff>0</xdr:rowOff>
    </xdr:from>
    <xdr:to>
      <xdr:col>2</xdr:col>
      <xdr:colOff>180975</xdr:colOff>
      <xdr:row>11</xdr:row>
      <xdr:rowOff>0</xdr:rowOff>
    </xdr:to>
    <xdr:sp>
      <xdr:nvSpPr>
        <xdr:cNvPr id="7" name="Rectangle 7"/>
        <xdr:cNvSpPr>
          <a:spLocks/>
        </xdr:cNvSpPr>
      </xdr:nvSpPr>
      <xdr:spPr>
        <a:xfrm>
          <a:off x="1247775" y="2809875"/>
          <a:ext cx="114300" cy="0"/>
        </a:xfrm>
        <a:prstGeom prst="rect">
          <a:avLst/>
        </a:prstGeom>
        <a:solidFill>
          <a:srgbClr val="800000"/>
        </a:solidFill>
        <a:ln w="952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20</xdr:row>
      <xdr:rowOff>47625</xdr:rowOff>
    </xdr:from>
    <xdr:to>
      <xdr:col>2</xdr:col>
      <xdr:colOff>180975</xdr:colOff>
      <xdr:row>20</xdr:row>
      <xdr:rowOff>123825</xdr:rowOff>
    </xdr:to>
    <xdr:sp>
      <xdr:nvSpPr>
        <xdr:cNvPr id="8" name="Rectangle 8"/>
        <xdr:cNvSpPr>
          <a:spLocks/>
        </xdr:cNvSpPr>
      </xdr:nvSpPr>
      <xdr:spPr>
        <a:xfrm>
          <a:off x="1247775" y="4314825"/>
          <a:ext cx="114300" cy="76200"/>
        </a:xfrm>
        <a:prstGeom prst="rect">
          <a:avLst/>
        </a:prstGeom>
        <a:solidFill>
          <a:srgbClr val="800000"/>
        </a:solidFill>
        <a:ln w="952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16</xdr:row>
      <xdr:rowOff>47625</xdr:rowOff>
    </xdr:from>
    <xdr:to>
      <xdr:col>2</xdr:col>
      <xdr:colOff>180975</xdr:colOff>
      <xdr:row>16</xdr:row>
      <xdr:rowOff>123825</xdr:rowOff>
    </xdr:to>
    <xdr:sp>
      <xdr:nvSpPr>
        <xdr:cNvPr id="9" name="Rectangle 17"/>
        <xdr:cNvSpPr>
          <a:spLocks/>
        </xdr:cNvSpPr>
      </xdr:nvSpPr>
      <xdr:spPr>
        <a:xfrm>
          <a:off x="1247775" y="3667125"/>
          <a:ext cx="114300" cy="76200"/>
        </a:xfrm>
        <a:prstGeom prst="rect">
          <a:avLst/>
        </a:prstGeom>
        <a:solidFill>
          <a:srgbClr val="800000"/>
        </a:solidFill>
        <a:ln w="952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11</xdr:row>
      <xdr:rowOff>47625</xdr:rowOff>
    </xdr:from>
    <xdr:to>
      <xdr:col>2</xdr:col>
      <xdr:colOff>180975</xdr:colOff>
      <xdr:row>11</xdr:row>
      <xdr:rowOff>123825</xdr:rowOff>
    </xdr:to>
    <xdr:sp>
      <xdr:nvSpPr>
        <xdr:cNvPr id="10" name="Rectangle 18"/>
        <xdr:cNvSpPr>
          <a:spLocks/>
        </xdr:cNvSpPr>
      </xdr:nvSpPr>
      <xdr:spPr>
        <a:xfrm>
          <a:off x="1247775" y="2857500"/>
          <a:ext cx="114300" cy="76200"/>
        </a:xfrm>
        <a:prstGeom prst="rect">
          <a:avLst/>
        </a:prstGeom>
        <a:solidFill>
          <a:srgbClr val="800000"/>
        </a:solidFill>
        <a:ln w="952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11</xdr:col>
      <xdr:colOff>409575</xdr:colOff>
      <xdr:row>0</xdr:row>
      <xdr:rowOff>142875</xdr:rowOff>
    </xdr:from>
    <xdr:to>
      <xdr:col>13</xdr:col>
      <xdr:colOff>304800</xdr:colOff>
      <xdr:row>2</xdr:row>
      <xdr:rowOff>257175</xdr:rowOff>
    </xdr:to>
    <xdr:pic>
      <xdr:nvPicPr>
        <xdr:cNvPr id="11" name="LogoKop1"/>
        <xdr:cNvPicPr preferRelativeResize="1">
          <a:picLocks noChangeAspect="1"/>
        </xdr:cNvPicPr>
      </xdr:nvPicPr>
      <xdr:blipFill>
        <a:blip r:embed="rId1"/>
        <a:stretch>
          <a:fillRect/>
        </a:stretch>
      </xdr:blipFill>
      <xdr:spPr>
        <a:xfrm>
          <a:off x="7419975" y="142875"/>
          <a:ext cx="1466850" cy="571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48</xdr:row>
      <xdr:rowOff>0</xdr:rowOff>
    </xdr:from>
    <xdr:to>
      <xdr:col>10</xdr:col>
      <xdr:colOff>0</xdr:colOff>
      <xdr:row>48</xdr:row>
      <xdr:rowOff>0</xdr:rowOff>
    </xdr:to>
    <xdr:grpSp>
      <xdr:nvGrpSpPr>
        <xdr:cNvPr id="1" name="Group 6"/>
        <xdr:cNvGrpSpPr>
          <a:grpSpLocks/>
        </xdr:cNvGrpSpPr>
      </xdr:nvGrpSpPr>
      <xdr:grpSpPr>
        <a:xfrm>
          <a:off x="8410575" y="14906625"/>
          <a:ext cx="0" cy="0"/>
          <a:chOff x="769" y="35"/>
          <a:chExt cx="110" cy="41"/>
        </a:xfrm>
        <a:solidFill>
          <a:srgbClr val="FFFFFF"/>
        </a:solidFill>
      </xdr:grpSpPr>
      <xdr:sp>
        <xdr:nvSpPr>
          <xdr:cNvPr id="2" name="Rectangle 7"/>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3" name="Rectangle 8"/>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9"/>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5" name="Rectangle 10"/>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0</xdr:colOff>
      <xdr:row>84</xdr:row>
      <xdr:rowOff>0</xdr:rowOff>
    </xdr:from>
    <xdr:to>
      <xdr:col>10</xdr:col>
      <xdr:colOff>0</xdr:colOff>
      <xdr:row>84</xdr:row>
      <xdr:rowOff>0</xdr:rowOff>
    </xdr:to>
    <xdr:grpSp>
      <xdr:nvGrpSpPr>
        <xdr:cNvPr id="6" name="Group 36"/>
        <xdr:cNvGrpSpPr>
          <a:grpSpLocks/>
        </xdr:cNvGrpSpPr>
      </xdr:nvGrpSpPr>
      <xdr:grpSpPr>
        <a:xfrm>
          <a:off x="8410575" y="25622250"/>
          <a:ext cx="0" cy="0"/>
          <a:chOff x="769" y="35"/>
          <a:chExt cx="110" cy="41"/>
        </a:xfrm>
        <a:solidFill>
          <a:srgbClr val="FFFFFF"/>
        </a:solidFill>
      </xdr:grpSpPr>
      <xdr:sp>
        <xdr:nvSpPr>
          <xdr:cNvPr id="7" name="Rectangle 37"/>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8" name="Rectangle 38"/>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9" name="Picture 39"/>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10" name="Rectangle 40"/>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0</xdr:colOff>
      <xdr:row>63</xdr:row>
      <xdr:rowOff>0</xdr:rowOff>
    </xdr:from>
    <xdr:to>
      <xdr:col>10</xdr:col>
      <xdr:colOff>0</xdr:colOff>
      <xdr:row>63</xdr:row>
      <xdr:rowOff>0</xdr:rowOff>
    </xdr:to>
    <xdr:grpSp>
      <xdr:nvGrpSpPr>
        <xdr:cNvPr id="11" name="Group 46"/>
        <xdr:cNvGrpSpPr>
          <a:grpSpLocks/>
        </xdr:cNvGrpSpPr>
      </xdr:nvGrpSpPr>
      <xdr:grpSpPr>
        <a:xfrm>
          <a:off x="8410575" y="20593050"/>
          <a:ext cx="0" cy="0"/>
          <a:chOff x="769" y="35"/>
          <a:chExt cx="110" cy="41"/>
        </a:xfrm>
        <a:solidFill>
          <a:srgbClr val="FFFFFF"/>
        </a:solidFill>
      </xdr:grpSpPr>
      <xdr:sp>
        <xdr:nvSpPr>
          <xdr:cNvPr id="12" name="Rectangle 47"/>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13" name="Rectangle 48"/>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14" name="Picture 49"/>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15" name="Rectangle 50"/>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absolute">
    <xdr:from>
      <xdr:col>10</xdr:col>
      <xdr:colOff>66675</xdr:colOff>
      <xdr:row>1</xdr:row>
      <xdr:rowOff>0</xdr:rowOff>
    </xdr:from>
    <xdr:to>
      <xdr:col>10</xdr:col>
      <xdr:colOff>514350</xdr:colOff>
      <xdr:row>2</xdr:row>
      <xdr:rowOff>9525</xdr:rowOff>
    </xdr:to>
    <xdr:pic>
      <xdr:nvPicPr>
        <xdr:cNvPr id="16" name="LogoKop1"/>
        <xdr:cNvPicPr preferRelativeResize="1">
          <a:picLocks noChangeAspect="1"/>
        </xdr:cNvPicPr>
      </xdr:nvPicPr>
      <xdr:blipFill>
        <a:blip r:embed="rId2"/>
        <a:stretch>
          <a:fillRect/>
        </a:stretch>
      </xdr:blipFill>
      <xdr:spPr>
        <a:xfrm>
          <a:off x="8477250" y="161925"/>
          <a:ext cx="447675" cy="1714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45</xdr:row>
      <xdr:rowOff>123825</xdr:rowOff>
    </xdr:from>
    <xdr:to>
      <xdr:col>20</xdr:col>
      <xdr:colOff>0</xdr:colOff>
      <xdr:row>46</xdr:row>
      <xdr:rowOff>0</xdr:rowOff>
    </xdr:to>
    <xdr:sp>
      <xdr:nvSpPr>
        <xdr:cNvPr id="1" name="Rectangle 2"/>
        <xdr:cNvSpPr>
          <a:spLocks/>
        </xdr:cNvSpPr>
      </xdr:nvSpPr>
      <xdr:spPr>
        <a:xfrm>
          <a:off x="0" y="7610475"/>
          <a:ext cx="10410825" cy="381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0</xdr:col>
      <xdr:colOff>0</xdr:colOff>
      <xdr:row>92</xdr:row>
      <xdr:rowOff>123825</xdr:rowOff>
    </xdr:from>
    <xdr:to>
      <xdr:col>20</xdr:col>
      <xdr:colOff>0</xdr:colOff>
      <xdr:row>93</xdr:row>
      <xdr:rowOff>9525</xdr:rowOff>
    </xdr:to>
    <xdr:sp>
      <xdr:nvSpPr>
        <xdr:cNvPr id="2" name="Rectangle 3"/>
        <xdr:cNvSpPr>
          <a:spLocks/>
        </xdr:cNvSpPr>
      </xdr:nvSpPr>
      <xdr:spPr>
        <a:xfrm>
          <a:off x="0" y="15220950"/>
          <a:ext cx="10410825" cy="476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0</xdr:col>
      <xdr:colOff>0</xdr:colOff>
      <xdr:row>135</xdr:row>
      <xdr:rowOff>123825</xdr:rowOff>
    </xdr:from>
    <xdr:to>
      <xdr:col>20</xdr:col>
      <xdr:colOff>0</xdr:colOff>
      <xdr:row>136</xdr:row>
      <xdr:rowOff>0</xdr:rowOff>
    </xdr:to>
    <xdr:sp>
      <xdr:nvSpPr>
        <xdr:cNvPr id="3" name="Rectangle 4"/>
        <xdr:cNvSpPr>
          <a:spLocks/>
        </xdr:cNvSpPr>
      </xdr:nvSpPr>
      <xdr:spPr>
        <a:xfrm>
          <a:off x="0" y="22183725"/>
          <a:ext cx="10410825" cy="381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0</xdr:col>
      <xdr:colOff>0</xdr:colOff>
      <xdr:row>273</xdr:row>
      <xdr:rowOff>123825</xdr:rowOff>
    </xdr:from>
    <xdr:to>
      <xdr:col>20</xdr:col>
      <xdr:colOff>0</xdr:colOff>
      <xdr:row>274</xdr:row>
      <xdr:rowOff>0</xdr:rowOff>
    </xdr:to>
    <xdr:sp>
      <xdr:nvSpPr>
        <xdr:cNvPr id="4" name="Rectangle 6"/>
        <xdr:cNvSpPr>
          <a:spLocks/>
        </xdr:cNvSpPr>
      </xdr:nvSpPr>
      <xdr:spPr>
        <a:xfrm>
          <a:off x="0" y="44281725"/>
          <a:ext cx="10410825" cy="381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0</xdr:col>
      <xdr:colOff>0</xdr:colOff>
      <xdr:row>368</xdr:row>
      <xdr:rowOff>123825</xdr:rowOff>
    </xdr:from>
    <xdr:to>
      <xdr:col>20</xdr:col>
      <xdr:colOff>0</xdr:colOff>
      <xdr:row>369</xdr:row>
      <xdr:rowOff>0</xdr:rowOff>
    </xdr:to>
    <xdr:sp>
      <xdr:nvSpPr>
        <xdr:cNvPr id="5" name="Rectangle 8"/>
        <xdr:cNvSpPr>
          <a:spLocks/>
        </xdr:cNvSpPr>
      </xdr:nvSpPr>
      <xdr:spPr>
        <a:xfrm>
          <a:off x="0" y="59607450"/>
          <a:ext cx="10410825" cy="381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0</xdr:col>
      <xdr:colOff>0</xdr:colOff>
      <xdr:row>415</xdr:row>
      <xdr:rowOff>123825</xdr:rowOff>
    </xdr:from>
    <xdr:to>
      <xdr:col>20</xdr:col>
      <xdr:colOff>0</xdr:colOff>
      <xdr:row>415</xdr:row>
      <xdr:rowOff>161925</xdr:rowOff>
    </xdr:to>
    <xdr:sp>
      <xdr:nvSpPr>
        <xdr:cNvPr id="6" name="Rectangle 25"/>
        <xdr:cNvSpPr>
          <a:spLocks/>
        </xdr:cNvSpPr>
      </xdr:nvSpPr>
      <xdr:spPr>
        <a:xfrm>
          <a:off x="0" y="67217925"/>
          <a:ext cx="10410825" cy="381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0</xdr:col>
      <xdr:colOff>0</xdr:colOff>
      <xdr:row>322</xdr:row>
      <xdr:rowOff>9525</xdr:rowOff>
    </xdr:from>
    <xdr:to>
      <xdr:col>20</xdr:col>
      <xdr:colOff>0</xdr:colOff>
      <xdr:row>322</xdr:row>
      <xdr:rowOff>47625</xdr:rowOff>
    </xdr:to>
    <xdr:sp>
      <xdr:nvSpPr>
        <xdr:cNvPr id="7" name="Rectangle 29"/>
        <xdr:cNvSpPr>
          <a:spLocks/>
        </xdr:cNvSpPr>
      </xdr:nvSpPr>
      <xdr:spPr>
        <a:xfrm>
          <a:off x="0" y="52044600"/>
          <a:ext cx="10410825" cy="381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0</xdr:col>
      <xdr:colOff>0</xdr:colOff>
      <xdr:row>231</xdr:row>
      <xdr:rowOff>123825</xdr:rowOff>
    </xdr:from>
    <xdr:to>
      <xdr:col>20</xdr:col>
      <xdr:colOff>0</xdr:colOff>
      <xdr:row>231</xdr:row>
      <xdr:rowOff>161925</xdr:rowOff>
    </xdr:to>
    <xdr:sp>
      <xdr:nvSpPr>
        <xdr:cNvPr id="8" name="Rectangle 57"/>
        <xdr:cNvSpPr>
          <a:spLocks/>
        </xdr:cNvSpPr>
      </xdr:nvSpPr>
      <xdr:spPr>
        <a:xfrm>
          <a:off x="0" y="37471350"/>
          <a:ext cx="10410825" cy="381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0</xdr:col>
      <xdr:colOff>0</xdr:colOff>
      <xdr:row>461</xdr:row>
      <xdr:rowOff>123825</xdr:rowOff>
    </xdr:from>
    <xdr:to>
      <xdr:col>20</xdr:col>
      <xdr:colOff>0</xdr:colOff>
      <xdr:row>462</xdr:row>
      <xdr:rowOff>0</xdr:rowOff>
    </xdr:to>
    <xdr:sp>
      <xdr:nvSpPr>
        <xdr:cNvPr id="9" name="Rectangle 59"/>
        <xdr:cNvSpPr>
          <a:spLocks/>
        </xdr:cNvSpPr>
      </xdr:nvSpPr>
      <xdr:spPr>
        <a:xfrm>
          <a:off x="0" y="74752200"/>
          <a:ext cx="10410825" cy="381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0</xdr:col>
      <xdr:colOff>0</xdr:colOff>
      <xdr:row>502</xdr:row>
      <xdr:rowOff>123825</xdr:rowOff>
    </xdr:from>
    <xdr:to>
      <xdr:col>20</xdr:col>
      <xdr:colOff>0</xdr:colOff>
      <xdr:row>503</xdr:row>
      <xdr:rowOff>0</xdr:rowOff>
    </xdr:to>
    <xdr:sp>
      <xdr:nvSpPr>
        <xdr:cNvPr id="10" name="Rectangle 61"/>
        <xdr:cNvSpPr>
          <a:spLocks/>
        </xdr:cNvSpPr>
      </xdr:nvSpPr>
      <xdr:spPr>
        <a:xfrm>
          <a:off x="0" y="81391125"/>
          <a:ext cx="10410825" cy="381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0</xdr:col>
      <xdr:colOff>0</xdr:colOff>
      <xdr:row>551</xdr:row>
      <xdr:rowOff>123825</xdr:rowOff>
    </xdr:from>
    <xdr:to>
      <xdr:col>20</xdr:col>
      <xdr:colOff>0</xdr:colOff>
      <xdr:row>552</xdr:row>
      <xdr:rowOff>0</xdr:rowOff>
    </xdr:to>
    <xdr:sp>
      <xdr:nvSpPr>
        <xdr:cNvPr id="11" name="Rectangle 63"/>
        <xdr:cNvSpPr>
          <a:spLocks/>
        </xdr:cNvSpPr>
      </xdr:nvSpPr>
      <xdr:spPr>
        <a:xfrm>
          <a:off x="0" y="89020650"/>
          <a:ext cx="10410825" cy="381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0</xdr:col>
      <xdr:colOff>0</xdr:colOff>
      <xdr:row>588</xdr:row>
      <xdr:rowOff>123825</xdr:rowOff>
    </xdr:from>
    <xdr:to>
      <xdr:col>20</xdr:col>
      <xdr:colOff>0</xdr:colOff>
      <xdr:row>589</xdr:row>
      <xdr:rowOff>0</xdr:rowOff>
    </xdr:to>
    <xdr:sp>
      <xdr:nvSpPr>
        <xdr:cNvPr id="12" name="Rectangle 64"/>
        <xdr:cNvSpPr>
          <a:spLocks/>
        </xdr:cNvSpPr>
      </xdr:nvSpPr>
      <xdr:spPr>
        <a:xfrm>
          <a:off x="0" y="95011875"/>
          <a:ext cx="10410825" cy="381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0</xdr:col>
      <xdr:colOff>0</xdr:colOff>
      <xdr:row>621</xdr:row>
      <xdr:rowOff>123825</xdr:rowOff>
    </xdr:from>
    <xdr:to>
      <xdr:col>20</xdr:col>
      <xdr:colOff>0</xdr:colOff>
      <xdr:row>622</xdr:row>
      <xdr:rowOff>0</xdr:rowOff>
    </xdr:to>
    <xdr:sp>
      <xdr:nvSpPr>
        <xdr:cNvPr id="13" name="Rectangle 65"/>
        <xdr:cNvSpPr>
          <a:spLocks/>
        </xdr:cNvSpPr>
      </xdr:nvSpPr>
      <xdr:spPr>
        <a:xfrm>
          <a:off x="0" y="100355400"/>
          <a:ext cx="10410825" cy="381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0</xdr:col>
      <xdr:colOff>0</xdr:colOff>
      <xdr:row>183</xdr:row>
      <xdr:rowOff>123825</xdr:rowOff>
    </xdr:from>
    <xdr:to>
      <xdr:col>20</xdr:col>
      <xdr:colOff>0</xdr:colOff>
      <xdr:row>184</xdr:row>
      <xdr:rowOff>0</xdr:rowOff>
    </xdr:to>
    <xdr:sp>
      <xdr:nvSpPr>
        <xdr:cNvPr id="14" name="Rectangle 92"/>
        <xdr:cNvSpPr>
          <a:spLocks/>
        </xdr:cNvSpPr>
      </xdr:nvSpPr>
      <xdr:spPr>
        <a:xfrm>
          <a:off x="0" y="29803725"/>
          <a:ext cx="10410825" cy="381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editAs="absolute">
    <xdr:from>
      <xdr:col>17</xdr:col>
      <xdr:colOff>638175</xdr:colOff>
      <xdr:row>0</xdr:row>
      <xdr:rowOff>76200</xdr:rowOff>
    </xdr:from>
    <xdr:to>
      <xdr:col>19</xdr:col>
      <xdr:colOff>171450</xdr:colOff>
      <xdr:row>1</xdr:row>
      <xdr:rowOff>95250</xdr:rowOff>
    </xdr:to>
    <xdr:pic>
      <xdr:nvPicPr>
        <xdr:cNvPr id="15" name="LogoKop1"/>
        <xdr:cNvPicPr preferRelativeResize="1">
          <a:picLocks noChangeAspect="1"/>
        </xdr:cNvPicPr>
      </xdr:nvPicPr>
      <xdr:blipFill>
        <a:blip r:embed="rId1"/>
        <a:stretch>
          <a:fillRect/>
        </a:stretch>
      </xdr:blipFill>
      <xdr:spPr>
        <a:xfrm>
          <a:off x="9534525" y="76200"/>
          <a:ext cx="447675" cy="219075"/>
        </a:xfrm>
        <a:prstGeom prst="rect">
          <a:avLst/>
        </a:prstGeom>
        <a:noFill/>
        <a:ln w="9525" cmpd="sng">
          <a:noFill/>
        </a:ln>
      </xdr:spPr>
    </xdr:pic>
    <xdr:clientData/>
  </xdr:twoCellAnchor>
  <xdr:twoCellAnchor>
    <xdr:from>
      <xdr:col>0</xdr:col>
      <xdr:colOff>76200</xdr:colOff>
      <xdr:row>675</xdr:row>
      <xdr:rowOff>38100</xdr:rowOff>
    </xdr:from>
    <xdr:to>
      <xdr:col>7</xdr:col>
      <xdr:colOff>381000</xdr:colOff>
      <xdr:row>702</xdr:row>
      <xdr:rowOff>95250</xdr:rowOff>
    </xdr:to>
    <xdr:graphicFrame>
      <xdr:nvGraphicFramePr>
        <xdr:cNvPr id="16" name="Chart 102"/>
        <xdr:cNvGraphicFramePr/>
      </xdr:nvGraphicFramePr>
      <xdr:xfrm>
        <a:off x="76200" y="108556425"/>
        <a:ext cx="5095875" cy="4429125"/>
      </xdr:xfrm>
      <a:graphic>
        <a:graphicData uri="http://schemas.openxmlformats.org/drawingml/2006/chart">
          <c:chart xmlns:c="http://schemas.openxmlformats.org/drawingml/2006/chart" r:id="rId2"/>
        </a:graphicData>
      </a:graphic>
    </xdr:graphicFrame>
    <xdr:clientData/>
  </xdr:twoCellAnchor>
  <xdr:twoCellAnchor>
    <xdr:from>
      <xdr:col>10</xdr:col>
      <xdr:colOff>38100</xdr:colOff>
      <xdr:row>675</xdr:row>
      <xdr:rowOff>38100</xdr:rowOff>
    </xdr:from>
    <xdr:to>
      <xdr:col>20</xdr:col>
      <xdr:colOff>0</xdr:colOff>
      <xdr:row>702</xdr:row>
      <xdr:rowOff>76200</xdr:rowOff>
    </xdr:to>
    <xdr:graphicFrame>
      <xdr:nvGraphicFramePr>
        <xdr:cNvPr id="17" name="Chart 103"/>
        <xdr:cNvGraphicFramePr/>
      </xdr:nvGraphicFramePr>
      <xdr:xfrm>
        <a:off x="5981700" y="108556425"/>
        <a:ext cx="4429125" cy="4410075"/>
      </xdr:xfrm>
      <a:graphic>
        <a:graphicData uri="http://schemas.openxmlformats.org/drawingml/2006/chart">
          <c:chart xmlns:c="http://schemas.openxmlformats.org/drawingml/2006/chart" r:id="rId3"/>
        </a:graphicData>
      </a:graphic>
    </xdr:graphicFrame>
    <xdr:clientData/>
  </xdr:twoCellAnchor>
  <xdr:twoCellAnchor>
    <xdr:from>
      <xdr:col>0</xdr:col>
      <xdr:colOff>95250</xdr:colOff>
      <xdr:row>707</xdr:row>
      <xdr:rowOff>142875</xdr:rowOff>
    </xdr:from>
    <xdr:to>
      <xdr:col>7</xdr:col>
      <xdr:colOff>428625</xdr:colOff>
      <xdr:row>735</xdr:row>
      <xdr:rowOff>38100</xdr:rowOff>
    </xdr:to>
    <xdr:graphicFrame>
      <xdr:nvGraphicFramePr>
        <xdr:cNvPr id="18" name="Chart 104"/>
        <xdr:cNvGraphicFramePr/>
      </xdr:nvGraphicFramePr>
      <xdr:xfrm>
        <a:off x="95250" y="113842800"/>
        <a:ext cx="5124450" cy="4429125"/>
      </xdr:xfrm>
      <a:graphic>
        <a:graphicData uri="http://schemas.openxmlformats.org/drawingml/2006/chart">
          <c:chart xmlns:c="http://schemas.openxmlformats.org/drawingml/2006/chart" r:id="rId4"/>
        </a:graphicData>
      </a:graphic>
    </xdr:graphicFrame>
    <xdr:clientData/>
  </xdr:twoCellAnchor>
  <xdr:twoCellAnchor>
    <xdr:from>
      <xdr:col>10</xdr:col>
      <xdr:colOff>38100</xdr:colOff>
      <xdr:row>707</xdr:row>
      <xdr:rowOff>142875</xdr:rowOff>
    </xdr:from>
    <xdr:to>
      <xdr:col>20</xdr:col>
      <xdr:colOff>38100</xdr:colOff>
      <xdr:row>735</xdr:row>
      <xdr:rowOff>38100</xdr:rowOff>
    </xdr:to>
    <xdr:graphicFrame>
      <xdr:nvGraphicFramePr>
        <xdr:cNvPr id="19" name="Chart 105"/>
        <xdr:cNvGraphicFramePr/>
      </xdr:nvGraphicFramePr>
      <xdr:xfrm>
        <a:off x="5981700" y="113842800"/>
        <a:ext cx="4467225" cy="442912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671</xdr:row>
      <xdr:rowOff>123825</xdr:rowOff>
    </xdr:from>
    <xdr:to>
      <xdr:col>20</xdr:col>
      <xdr:colOff>0</xdr:colOff>
      <xdr:row>672</xdr:row>
      <xdr:rowOff>0</xdr:rowOff>
    </xdr:to>
    <xdr:sp>
      <xdr:nvSpPr>
        <xdr:cNvPr id="20" name="Rectangle 106"/>
        <xdr:cNvSpPr>
          <a:spLocks/>
        </xdr:cNvSpPr>
      </xdr:nvSpPr>
      <xdr:spPr>
        <a:xfrm>
          <a:off x="0" y="107994450"/>
          <a:ext cx="10410825" cy="381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0</xdr:col>
      <xdr:colOff>0</xdr:colOff>
      <xdr:row>704</xdr:row>
      <xdr:rowOff>123825</xdr:rowOff>
    </xdr:from>
    <xdr:to>
      <xdr:col>20</xdr:col>
      <xdr:colOff>0</xdr:colOff>
      <xdr:row>705</xdr:row>
      <xdr:rowOff>0</xdr:rowOff>
    </xdr:to>
    <xdr:sp>
      <xdr:nvSpPr>
        <xdr:cNvPr id="21" name="Rectangle 107"/>
        <xdr:cNvSpPr>
          <a:spLocks/>
        </xdr:cNvSpPr>
      </xdr:nvSpPr>
      <xdr:spPr>
        <a:xfrm>
          <a:off x="0" y="113337975"/>
          <a:ext cx="10410825" cy="381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5</xdr:col>
      <xdr:colOff>0</xdr:colOff>
      <xdr:row>0</xdr:row>
      <xdr:rowOff>0</xdr:rowOff>
    </xdr:to>
    <xdr:sp>
      <xdr:nvSpPr>
        <xdr:cNvPr id="1" name="Rectangle 1"/>
        <xdr:cNvSpPr>
          <a:spLocks/>
        </xdr:cNvSpPr>
      </xdr:nvSpPr>
      <xdr:spPr>
        <a:xfrm>
          <a:off x="381000" y="0"/>
          <a:ext cx="4229100" cy="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1</xdr:col>
      <xdr:colOff>0</xdr:colOff>
      <xdr:row>0</xdr:row>
      <xdr:rowOff>0</xdr:rowOff>
    </xdr:from>
    <xdr:to>
      <xdr:col>5</xdr:col>
      <xdr:colOff>0</xdr:colOff>
      <xdr:row>0</xdr:row>
      <xdr:rowOff>0</xdr:rowOff>
    </xdr:to>
    <xdr:sp>
      <xdr:nvSpPr>
        <xdr:cNvPr id="2" name="Rectangle 2"/>
        <xdr:cNvSpPr>
          <a:spLocks/>
        </xdr:cNvSpPr>
      </xdr:nvSpPr>
      <xdr:spPr>
        <a:xfrm>
          <a:off x="381000" y="0"/>
          <a:ext cx="4229100" cy="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1</xdr:col>
      <xdr:colOff>0</xdr:colOff>
      <xdr:row>0</xdr:row>
      <xdr:rowOff>0</xdr:rowOff>
    </xdr:from>
    <xdr:to>
      <xdr:col>5</xdr:col>
      <xdr:colOff>0</xdr:colOff>
      <xdr:row>0</xdr:row>
      <xdr:rowOff>0</xdr:rowOff>
    </xdr:to>
    <xdr:sp>
      <xdr:nvSpPr>
        <xdr:cNvPr id="3" name="Rectangle 3"/>
        <xdr:cNvSpPr>
          <a:spLocks/>
        </xdr:cNvSpPr>
      </xdr:nvSpPr>
      <xdr:spPr>
        <a:xfrm>
          <a:off x="381000" y="0"/>
          <a:ext cx="4229100" cy="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1</xdr:col>
      <xdr:colOff>0</xdr:colOff>
      <xdr:row>0</xdr:row>
      <xdr:rowOff>0</xdr:rowOff>
    </xdr:from>
    <xdr:to>
      <xdr:col>5</xdr:col>
      <xdr:colOff>0</xdr:colOff>
      <xdr:row>0</xdr:row>
      <xdr:rowOff>0</xdr:rowOff>
    </xdr:to>
    <xdr:sp>
      <xdr:nvSpPr>
        <xdr:cNvPr id="4" name="Rectangle 4"/>
        <xdr:cNvSpPr>
          <a:spLocks/>
        </xdr:cNvSpPr>
      </xdr:nvSpPr>
      <xdr:spPr>
        <a:xfrm>
          <a:off x="381000" y="0"/>
          <a:ext cx="4229100" cy="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1</xdr:col>
      <xdr:colOff>0</xdr:colOff>
      <xdr:row>0</xdr:row>
      <xdr:rowOff>0</xdr:rowOff>
    </xdr:from>
    <xdr:to>
      <xdr:col>5</xdr:col>
      <xdr:colOff>0</xdr:colOff>
      <xdr:row>0</xdr:row>
      <xdr:rowOff>0</xdr:rowOff>
    </xdr:to>
    <xdr:sp>
      <xdr:nvSpPr>
        <xdr:cNvPr id="5" name="Rectangle 5"/>
        <xdr:cNvSpPr>
          <a:spLocks/>
        </xdr:cNvSpPr>
      </xdr:nvSpPr>
      <xdr:spPr>
        <a:xfrm>
          <a:off x="381000" y="0"/>
          <a:ext cx="4229100" cy="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1</xdr:col>
      <xdr:colOff>0</xdr:colOff>
      <xdr:row>0</xdr:row>
      <xdr:rowOff>0</xdr:rowOff>
    </xdr:from>
    <xdr:to>
      <xdr:col>5</xdr:col>
      <xdr:colOff>0</xdr:colOff>
      <xdr:row>0</xdr:row>
      <xdr:rowOff>0</xdr:rowOff>
    </xdr:to>
    <xdr:sp>
      <xdr:nvSpPr>
        <xdr:cNvPr id="6" name="Rectangle 6"/>
        <xdr:cNvSpPr>
          <a:spLocks/>
        </xdr:cNvSpPr>
      </xdr:nvSpPr>
      <xdr:spPr>
        <a:xfrm>
          <a:off x="381000" y="0"/>
          <a:ext cx="4229100" cy="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5</xdr:col>
      <xdr:colOff>0</xdr:colOff>
      <xdr:row>0</xdr:row>
      <xdr:rowOff>0</xdr:rowOff>
    </xdr:from>
    <xdr:to>
      <xdr:col>5</xdr:col>
      <xdr:colOff>0</xdr:colOff>
      <xdr:row>0</xdr:row>
      <xdr:rowOff>0</xdr:rowOff>
    </xdr:to>
    <xdr:grpSp>
      <xdr:nvGrpSpPr>
        <xdr:cNvPr id="7" name="Group 7"/>
        <xdr:cNvGrpSpPr>
          <a:grpSpLocks/>
        </xdr:cNvGrpSpPr>
      </xdr:nvGrpSpPr>
      <xdr:grpSpPr>
        <a:xfrm>
          <a:off x="4610100" y="0"/>
          <a:ext cx="0" cy="0"/>
          <a:chOff x="769" y="1"/>
          <a:chExt cx="110" cy="41"/>
        </a:xfrm>
        <a:solidFill>
          <a:srgbClr val="FFFFFF"/>
        </a:solidFill>
      </xdr:grpSpPr>
      <xdr:grpSp>
        <xdr:nvGrpSpPr>
          <xdr:cNvPr id="8" name="Group 8"/>
          <xdr:cNvGrpSpPr>
            <a:grpSpLocks/>
          </xdr:cNvGrpSpPr>
        </xdr:nvGrpSpPr>
        <xdr:grpSpPr>
          <a:xfrm>
            <a:off x="846" y="1"/>
            <a:ext cx="0" cy="41"/>
            <a:chOff x="769" y="35"/>
            <a:chExt cx="110" cy="41"/>
          </a:xfrm>
          <a:solidFill>
            <a:srgbClr val="FFFFFF"/>
          </a:solidFill>
        </xdr:grpSpPr>
        <xdr:sp>
          <xdr:nvSpPr>
            <xdr:cNvPr id="9" name="Rectangle 9"/>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10" name="Rectangle 10"/>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11" name="Picture 11"/>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12" name="Rectangle 12"/>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3" name="Rectangle 13"/>
          <xdr:cNvSpPr>
            <a:spLocks/>
          </xdr:cNvSpPr>
        </xdr:nvSpPr>
        <xdr:spPr>
          <a:xfrm>
            <a:off x="790" y="21"/>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14" name="Rectangle 14"/>
          <xdr:cNvSpPr>
            <a:spLocks/>
          </xdr:cNvSpPr>
        </xdr:nvSpPr>
        <xdr:spPr>
          <a:xfrm>
            <a:off x="769" y="13"/>
            <a:ext cx="93" cy="2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15" name="Picture 15"/>
          <xdr:cNvPicPr preferRelativeResize="1">
            <a:picLocks noChangeAspect="1"/>
          </xdr:cNvPicPr>
        </xdr:nvPicPr>
        <xdr:blipFill>
          <a:blip r:embed="rId1"/>
          <a:stretch>
            <a:fillRect/>
          </a:stretch>
        </xdr:blipFill>
        <xdr:spPr>
          <a:xfrm>
            <a:off x="772" y="1"/>
            <a:ext cx="83" cy="39"/>
          </a:xfrm>
          <a:prstGeom prst="rect">
            <a:avLst/>
          </a:prstGeom>
          <a:noFill/>
          <a:ln w="9525" cmpd="sng">
            <a:noFill/>
          </a:ln>
        </xdr:spPr>
      </xdr:pic>
      <xdr:sp>
        <xdr:nvSpPr>
          <xdr:cNvPr id="16" name="Rectangle 16"/>
          <xdr:cNvSpPr>
            <a:spLocks/>
          </xdr:cNvSpPr>
        </xdr:nvSpPr>
        <xdr:spPr>
          <a:xfrm>
            <a:off x="834" y="1"/>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xdr:col>
      <xdr:colOff>0</xdr:colOff>
      <xdr:row>0</xdr:row>
      <xdr:rowOff>0</xdr:rowOff>
    </xdr:from>
    <xdr:to>
      <xdr:col>5</xdr:col>
      <xdr:colOff>0</xdr:colOff>
      <xdr:row>0</xdr:row>
      <xdr:rowOff>0</xdr:rowOff>
    </xdr:to>
    <xdr:sp>
      <xdr:nvSpPr>
        <xdr:cNvPr id="17" name="Rectangle 17"/>
        <xdr:cNvSpPr>
          <a:spLocks/>
        </xdr:cNvSpPr>
      </xdr:nvSpPr>
      <xdr:spPr>
        <a:xfrm>
          <a:off x="381000" y="0"/>
          <a:ext cx="4229100" cy="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1</xdr:col>
      <xdr:colOff>0</xdr:colOff>
      <xdr:row>0</xdr:row>
      <xdr:rowOff>0</xdr:rowOff>
    </xdr:from>
    <xdr:to>
      <xdr:col>5</xdr:col>
      <xdr:colOff>0</xdr:colOff>
      <xdr:row>0</xdr:row>
      <xdr:rowOff>0</xdr:rowOff>
    </xdr:to>
    <xdr:sp>
      <xdr:nvSpPr>
        <xdr:cNvPr id="18" name="Rectangle 18"/>
        <xdr:cNvSpPr>
          <a:spLocks/>
        </xdr:cNvSpPr>
      </xdr:nvSpPr>
      <xdr:spPr>
        <a:xfrm>
          <a:off x="381000" y="0"/>
          <a:ext cx="4229100" cy="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1</xdr:col>
      <xdr:colOff>0</xdr:colOff>
      <xdr:row>0</xdr:row>
      <xdr:rowOff>0</xdr:rowOff>
    </xdr:from>
    <xdr:to>
      <xdr:col>5</xdr:col>
      <xdr:colOff>0</xdr:colOff>
      <xdr:row>0</xdr:row>
      <xdr:rowOff>0</xdr:rowOff>
    </xdr:to>
    <xdr:sp>
      <xdr:nvSpPr>
        <xdr:cNvPr id="19" name="Rectangle 19"/>
        <xdr:cNvSpPr>
          <a:spLocks/>
        </xdr:cNvSpPr>
      </xdr:nvSpPr>
      <xdr:spPr>
        <a:xfrm>
          <a:off x="381000" y="0"/>
          <a:ext cx="4229100" cy="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1</xdr:col>
      <xdr:colOff>0</xdr:colOff>
      <xdr:row>0</xdr:row>
      <xdr:rowOff>0</xdr:rowOff>
    </xdr:from>
    <xdr:to>
      <xdr:col>5</xdr:col>
      <xdr:colOff>0</xdr:colOff>
      <xdr:row>0</xdr:row>
      <xdr:rowOff>0</xdr:rowOff>
    </xdr:to>
    <xdr:sp>
      <xdr:nvSpPr>
        <xdr:cNvPr id="20" name="Rectangle 20"/>
        <xdr:cNvSpPr>
          <a:spLocks/>
        </xdr:cNvSpPr>
      </xdr:nvSpPr>
      <xdr:spPr>
        <a:xfrm>
          <a:off x="381000" y="0"/>
          <a:ext cx="4229100" cy="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1</xdr:col>
      <xdr:colOff>0</xdr:colOff>
      <xdr:row>0</xdr:row>
      <xdr:rowOff>0</xdr:rowOff>
    </xdr:from>
    <xdr:to>
      <xdr:col>5</xdr:col>
      <xdr:colOff>0</xdr:colOff>
      <xdr:row>0</xdr:row>
      <xdr:rowOff>0</xdr:rowOff>
    </xdr:to>
    <xdr:sp>
      <xdr:nvSpPr>
        <xdr:cNvPr id="21" name="Rectangle 21"/>
        <xdr:cNvSpPr>
          <a:spLocks/>
        </xdr:cNvSpPr>
      </xdr:nvSpPr>
      <xdr:spPr>
        <a:xfrm>
          <a:off x="381000" y="0"/>
          <a:ext cx="4229100" cy="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1</xdr:col>
      <xdr:colOff>0</xdr:colOff>
      <xdr:row>0</xdr:row>
      <xdr:rowOff>0</xdr:rowOff>
    </xdr:from>
    <xdr:to>
      <xdr:col>5</xdr:col>
      <xdr:colOff>0</xdr:colOff>
      <xdr:row>0</xdr:row>
      <xdr:rowOff>0</xdr:rowOff>
    </xdr:to>
    <xdr:sp>
      <xdr:nvSpPr>
        <xdr:cNvPr id="22" name="Rectangle 22"/>
        <xdr:cNvSpPr>
          <a:spLocks/>
        </xdr:cNvSpPr>
      </xdr:nvSpPr>
      <xdr:spPr>
        <a:xfrm>
          <a:off x="381000" y="0"/>
          <a:ext cx="4229100" cy="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1</xdr:col>
      <xdr:colOff>0</xdr:colOff>
      <xdr:row>0</xdr:row>
      <xdr:rowOff>0</xdr:rowOff>
    </xdr:from>
    <xdr:to>
      <xdr:col>5</xdr:col>
      <xdr:colOff>0</xdr:colOff>
      <xdr:row>0</xdr:row>
      <xdr:rowOff>0</xdr:rowOff>
    </xdr:to>
    <xdr:sp>
      <xdr:nvSpPr>
        <xdr:cNvPr id="23" name="Rectangle 23"/>
        <xdr:cNvSpPr>
          <a:spLocks/>
        </xdr:cNvSpPr>
      </xdr:nvSpPr>
      <xdr:spPr>
        <a:xfrm>
          <a:off x="381000" y="0"/>
          <a:ext cx="4229100" cy="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1</xdr:col>
      <xdr:colOff>0</xdr:colOff>
      <xdr:row>0</xdr:row>
      <xdr:rowOff>0</xdr:rowOff>
    </xdr:from>
    <xdr:to>
      <xdr:col>5</xdr:col>
      <xdr:colOff>0</xdr:colOff>
      <xdr:row>0</xdr:row>
      <xdr:rowOff>0</xdr:rowOff>
    </xdr:to>
    <xdr:sp>
      <xdr:nvSpPr>
        <xdr:cNvPr id="24" name="Rectangle 24"/>
        <xdr:cNvSpPr>
          <a:spLocks/>
        </xdr:cNvSpPr>
      </xdr:nvSpPr>
      <xdr:spPr>
        <a:xfrm>
          <a:off x="381000" y="0"/>
          <a:ext cx="4229100" cy="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editAs="absolute">
    <xdr:from>
      <xdr:col>14</xdr:col>
      <xdr:colOff>590550</xdr:colOff>
      <xdr:row>0</xdr:row>
      <xdr:rowOff>66675</xdr:rowOff>
    </xdr:from>
    <xdr:to>
      <xdr:col>15</xdr:col>
      <xdr:colOff>428625</xdr:colOff>
      <xdr:row>1</xdr:row>
      <xdr:rowOff>0</xdr:rowOff>
    </xdr:to>
    <xdr:pic>
      <xdr:nvPicPr>
        <xdr:cNvPr id="25" name="LogoKop1"/>
        <xdr:cNvPicPr preferRelativeResize="1">
          <a:picLocks noChangeAspect="1"/>
        </xdr:cNvPicPr>
      </xdr:nvPicPr>
      <xdr:blipFill>
        <a:blip r:embed="rId2"/>
        <a:stretch>
          <a:fillRect/>
        </a:stretch>
      </xdr:blipFill>
      <xdr:spPr>
        <a:xfrm>
          <a:off x="12458700" y="66675"/>
          <a:ext cx="447675" cy="1714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10</xdr:col>
      <xdr:colOff>161925</xdr:colOff>
      <xdr:row>21</xdr:row>
      <xdr:rowOff>19050</xdr:rowOff>
    </xdr:from>
    <xdr:to>
      <xdr:col>10</xdr:col>
      <xdr:colOff>609600</xdr:colOff>
      <xdr:row>22</xdr:row>
      <xdr:rowOff>0</xdr:rowOff>
    </xdr:to>
    <xdr:pic>
      <xdr:nvPicPr>
        <xdr:cNvPr id="1" name="LogoKop1"/>
        <xdr:cNvPicPr preferRelativeResize="1">
          <a:picLocks noChangeAspect="1"/>
        </xdr:cNvPicPr>
      </xdr:nvPicPr>
      <xdr:blipFill>
        <a:blip r:embed="rId1"/>
        <a:stretch>
          <a:fillRect/>
        </a:stretch>
      </xdr:blipFill>
      <xdr:spPr>
        <a:xfrm>
          <a:off x="10191750" y="3952875"/>
          <a:ext cx="447675" cy="1714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kmr3\ggz\Budgetaanvragen\Standaard\2002\test\12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kmr3\ggz\Budgetaanvragen\Formulieren\2002\test\12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ygnus\ty$\DOCUME~1\by\LOCALS~1\Temp\Mp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kmr3\ggz\Budgetaanvragen\Budget%202002\12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DOCUME~1\by\LOCALS~1\Temp\Mp1.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YGNUS\iloa$\kmr3\ggz\Budgetaanvragen\Standaard\2002\test\120.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YGNUS\iloa$\kmr3\ggz\Budgetaanvragen\Formulieren\2002\test\120.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ygnus\afd\DOCUME~1\by\LOCALS~1\Temp\Mp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_03007"/>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_03007"/>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lad1"/>
      <sheetName val="Mp1"/>
      <sheetName val="I_03007"/>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I_03007"/>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lad1"/>
      <sheetName val="Mp1"/>
      <sheetName val="I_03007"/>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I_03007"/>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I_03007"/>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Blad1"/>
      <sheetName val="Mp1"/>
      <sheetName val="I_0300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are@ctg-zaio.nl"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4.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oleObject" Target="../embeddings/oleObject_7_0.bin" /><Relationship Id="rId2" Type="http://schemas.openxmlformats.org/officeDocument/2006/relationships/vmlDrawing" Target="../drawings/vmlDrawing4.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5.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W98"/>
  <sheetViews>
    <sheetView showGridLines="0" tabSelected="1" workbookViewId="0" topLeftCell="A1">
      <selection activeCell="A1" sqref="A1"/>
    </sheetView>
  </sheetViews>
  <sheetFormatPr defaultColWidth="9.140625" defaultRowHeight="12.75"/>
  <cols>
    <col min="1" max="1" width="8.57421875" style="0" customWidth="1"/>
    <col min="4" max="4" width="10.28125" style="0" customWidth="1"/>
    <col min="5" max="5" width="14.28125" style="0" customWidth="1"/>
    <col min="6" max="6" width="13.421875" style="0" customWidth="1"/>
    <col min="9" max="9" width="8.7109375" style="0" customWidth="1"/>
    <col min="10" max="10" width="6.00390625" style="0" customWidth="1"/>
    <col min="11" max="11" width="7.28125" style="0" customWidth="1"/>
    <col min="12" max="12" width="14.28125" style="0" customWidth="1"/>
    <col min="13" max="13" width="9.28125" style="0" customWidth="1"/>
    <col min="14" max="14" width="9.421875" style="0" customWidth="1"/>
    <col min="19" max="19" width="5.28125" style="0" hidden="1" customWidth="1"/>
    <col min="20" max="20" width="14.421875" style="0" hidden="1" customWidth="1"/>
    <col min="21" max="21" width="17.8515625" style="0" hidden="1" customWidth="1"/>
    <col min="22" max="22" width="17.7109375" style="0" hidden="1" customWidth="1"/>
    <col min="23" max="23" width="17.421875" style="0" hidden="1" customWidth="1"/>
    <col min="24" max="26" width="9.140625" style="0" hidden="1" customWidth="1"/>
  </cols>
  <sheetData>
    <row r="1" spans="1:14" ht="12" customHeight="1">
      <c r="A1" s="282"/>
      <c r="B1" s="283"/>
      <c r="C1" s="283"/>
      <c r="D1" s="283"/>
      <c r="E1" s="173"/>
      <c r="F1" s="173"/>
      <c r="G1" s="174"/>
      <c r="K1" s="175"/>
      <c r="L1" s="175"/>
      <c r="M1" s="174"/>
      <c r="N1" s="174"/>
    </row>
    <row r="2" spans="1:14" ht="24" customHeight="1">
      <c r="A2" s="284" t="s">
        <v>1260</v>
      </c>
      <c r="B2" s="176"/>
      <c r="C2" s="176"/>
      <c r="D2" s="176"/>
      <c r="E2" s="285"/>
      <c r="F2" s="285"/>
      <c r="G2" s="705">
        <f>G5</f>
        <v>0</v>
      </c>
      <c r="K2" s="177"/>
      <c r="L2" s="177"/>
      <c r="M2" s="176"/>
      <c r="N2" s="176"/>
    </row>
    <row r="3" spans="1:14" ht="29.25" customHeight="1">
      <c r="A3" s="922">
        <v>1</v>
      </c>
      <c r="B3" s="844"/>
      <c r="C3" s="844"/>
      <c r="D3" s="845"/>
      <c r="E3" s="286"/>
      <c r="F3" s="287"/>
      <c r="G3" s="706"/>
      <c r="J3" s="133"/>
      <c r="K3" s="180"/>
      <c r="L3" s="288"/>
      <c r="M3" s="178"/>
      <c r="N3" s="178"/>
    </row>
    <row r="4" spans="1:14" ht="36" customHeight="1">
      <c r="A4" s="1197" t="str">
        <f>LOOKUP(A3,S16:U19)</f>
        <v> </v>
      </c>
      <c r="B4" s="1198"/>
      <c r="C4" s="1198"/>
      <c r="D4" s="1186"/>
      <c r="E4" s="849">
        <v>2006</v>
      </c>
      <c r="F4" s="1187" t="str">
        <f>LOOKUP(A3,S16:V19)</f>
        <v> </v>
      </c>
      <c r="G4" s="1188"/>
      <c r="H4" s="1188"/>
      <c r="I4" s="1188"/>
      <c r="J4" s="1188"/>
      <c r="K4" s="848"/>
      <c r="L4" s="904" t="s">
        <v>1141</v>
      </c>
      <c r="M4" s="1179">
        <v>38937</v>
      </c>
      <c r="N4" s="1180"/>
    </row>
    <row r="5" spans="1:16" ht="17.25" customHeight="1">
      <c r="A5" s="1189" t="str">
        <f>LOOKUP(A3,S16:W20)</f>
        <v> </v>
      </c>
      <c r="B5" s="1190"/>
      <c r="C5" s="1190"/>
      <c r="D5" s="1190"/>
      <c r="E5" s="1190"/>
      <c r="F5" s="1190"/>
      <c r="G5" s="731"/>
      <c r="H5" s="1189"/>
      <c r="I5" s="1190"/>
      <c r="J5" s="1190"/>
      <c r="K5" s="1190"/>
      <c r="L5" s="1190"/>
      <c r="M5" s="1190"/>
      <c r="N5" s="1190"/>
      <c r="P5" s="1049"/>
    </row>
    <row r="6" spans="1:16" ht="15" customHeight="1">
      <c r="A6" s="1190"/>
      <c r="B6" s="1190"/>
      <c r="C6" s="1190"/>
      <c r="D6" s="1190"/>
      <c r="E6" s="1190"/>
      <c r="F6" s="1190"/>
      <c r="G6" s="731"/>
      <c r="H6" s="1190"/>
      <c r="I6" s="1190"/>
      <c r="J6" s="1190"/>
      <c r="K6" s="1190"/>
      <c r="L6" s="1190"/>
      <c r="M6" s="1190"/>
      <c r="N6" s="1190"/>
      <c r="P6" s="908"/>
    </row>
    <row r="7" spans="1:14" ht="26.25" customHeight="1">
      <c r="A7" s="184" t="s">
        <v>793</v>
      </c>
      <c r="B7" s="179"/>
      <c r="C7" s="66"/>
      <c r="D7" s="66"/>
      <c r="E7" s="66"/>
      <c r="F7" s="294"/>
      <c r="G7" s="70"/>
      <c r="H7" s="70"/>
      <c r="I7" s="180"/>
      <c r="J7" s="180"/>
      <c r="K7" s="180"/>
      <c r="L7" s="182"/>
      <c r="M7" s="183"/>
      <c r="N7" s="183"/>
    </row>
    <row r="8" spans="1:14" ht="30" customHeight="1">
      <c r="A8" s="184"/>
      <c r="B8" s="1182" t="s">
        <v>1994</v>
      </c>
      <c r="C8" s="1183"/>
      <c r="D8" s="1183"/>
      <c r="E8" s="1183"/>
      <c r="F8" s="1183"/>
      <c r="G8" s="1183"/>
      <c r="H8" s="1183"/>
      <c r="I8" s="1183"/>
      <c r="J8" s="1183"/>
      <c r="K8" s="1183"/>
      <c r="L8" s="1183"/>
      <c r="M8" s="1183"/>
      <c r="N8" s="183"/>
    </row>
    <row r="9" spans="1:14" ht="6" customHeight="1" thickBot="1">
      <c r="A9" s="185"/>
      <c r="B9" s="185"/>
      <c r="C9" s="185"/>
      <c r="D9" s="185"/>
      <c r="E9" s="185"/>
      <c r="F9" s="185"/>
      <c r="G9" s="185"/>
      <c r="H9" s="185"/>
      <c r="I9" s="185"/>
      <c r="J9" s="185"/>
      <c r="K9" s="185"/>
      <c r="L9" s="185"/>
      <c r="M9" s="185"/>
      <c r="N9" s="185"/>
    </row>
    <row r="10" spans="1:20" ht="12.75">
      <c r="A10" s="66"/>
      <c r="B10" s="186"/>
      <c r="C10" s="187" t="s">
        <v>1756</v>
      </c>
      <c r="D10" s="188"/>
      <c r="E10" s="188"/>
      <c r="F10" s="188"/>
      <c r="G10" s="188"/>
      <c r="H10" s="188"/>
      <c r="I10" s="189"/>
      <c r="J10" s="189"/>
      <c r="K10" s="189"/>
      <c r="L10" s="189"/>
      <c r="M10" s="190"/>
      <c r="N10" s="66"/>
      <c r="S10" s="888" t="s">
        <v>115</v>
      </c>
      <c r="T10" s="704" t="s">
        <v>116</v>
      </c>
    </row>
    <row r="11" spans="1:20" ht="12.75">
      <c r="A11" s="66"/>
      <c r="B11" s="191"/>
      <c r="D11" s="70"/>
      <c r="E11" s="70"/>
      <c r="F11" s="70"/>
      <c r="G11" s="70"/>
      <c r="H11" s="70"/>
      <c r="I11" s="180"/>
      <c r="J11" s="180"/>
      <c r="K11" s="180"/>
      <c r="L11" s="180"/>
      <c r="M11" s="192"/>
      <c r="N11" s="66"/>
      <c r="S11" s="889">
        <v>1</v>
      </c>
      <c r="T11" s="890" t="s">
        <v>629</v>
      </c>
    </row>
    <row r="12" spans="1:20" ht="12.75" customHeight="1">
      <c r="A12" s="66"/>
      <c r="B12" s="191"/>
      <c r="C12" s="70"/>
      <c r="D12" s="1170" t="s">
        <v>1602</v>
      </c>
      <c r="E12" s="1171"/>
      <c r="F12" s="1171"/>
      <c r="G12" s="1171"/>
      <c r="H12" s="1171"/>
      <c r="I12" s="1171"/>
      <c r="J12" s="1171"/>
      <c r="K12" s="1171"/>
      <c r="L12" s="1171"/>
      <c r="M12" s="192"/>
      <c r="N12" s="66"/>
      <c r="S12" s="889">
        <v>2</v>
      </c>
      <c r="T12" s="890" t="s">
        <v>117</v>
      </c>
    </row>
    <row r="13" spans="1:20" ht="12.75">
      <c r="A13" s="66"/>
      <c r="B13" s="191"/>
      <c r="C13" s="70"/>
      <c r="D13" s="1170"/>
      <c r="E13" s="1171"/>
      <c r="F13" s="1171"/>
      <c r="G13" s="1171"/>
      <c r="H13" s="1171"/>
      <c r="I13" s="1171"/>
      <c r="J13" s="1171"/>
      <c r="K13" s="1171"/>
      <c r="L13" s="1171"/>
      <c r="M13" s="192"/>
      <c r="N13" s="66"/>
      <c r="S13" s="891">
        <v>3</v>
      </c>
      <c r="T13" s="892" t="s">
        <v>118</v>
      </c>
    </row>
    <row r="14" spans="1:14" ht="12.75">
      <c r="A14" s="66"/>
      <c r="B14" s="191"/>
      <c r="C14" s="70"/>
      <c r="D14" s="1170"/>
      <c r="E14" s="1171"/>
      <c r="F14" s="1171"/>
      <c r="G14" s="1171"/>
      <c r="H14" s="1171"/>
      <c r="I14" s="1171"/>
      <c r="J14" s="1171"/>
      <c r="K14" s="1171"/>
      <c r="L14" s="1171"/>
      <c r="M14" s="192"/>
      <c r="N14" s="66"/>
    </row>
    <row r="15" spans="1:23" ht="12.75">
      <c r="A15" s="66"/>
      <c r="B15" s="191"/>
      <c r="D15" s="1171"/>
      <c r="E15" s="1171"/>
      <c r="F15" s="1171"/>
      <c r="G15" s="1171"/>
      <c r="H15" s="1171"/>
      <c r="I15" s="1171"/>
      <c r="J15" s="1171"/>
      <c r="K15" s="1171"/>
      <c r="L15" s="1171"/>
      <c r="M15" s="192"/>
      <c r="N15" s="66"/>
      <c r="S15" s="893" t="s">
        <v>115</v>
      </c>
      <c r="T15" s="894" t="s">
        <v>119</v>
      </c>
      <c r="U15" s="895" t="s">
        <v>120</v>
      </c>
      <c r="V15" s="895" t="s">
        <v>121</v>
      </c>
      <c r="W15" s="895" t="s">
        <v>122</v>
      </c>
    </row>
    <row r="16" spans="1:23" ht="12.75">
      <c r="A16" s="66"/>
      <c r="B16" s="191"/>
      <c r="C16" s="70"/>
      <c r="D16" s="1171"/>
      <c r="E16" s="1171"/>
      <c r="F16" s="1171"/>
      <c r="G16" s="1171"/>
      <c r="H16" s="1171"/>
      <c r="I16" s="1171"/>
      <c r="J16" s="1171"/>
      <c r="K16" s="1171"/>
      <c r="L16" s="1171"/>
      <c r="M16" s="192"/>
      <c r="N16" s="66"/>
      <c r="S16" s="896">
        <v>1</v>
      </c>
      <c r="T16" s="897" t="s">
        <v>513</v>
      </c>
      <c r="U16" s="896" t="s">
        <v>1761</v>
      </c>
      <c r="V16" s="896" t="s">
        <v>1761</v>
      </c>
      <c r="W16" s="896" t="s">
        <v>1761</v>
      </c>
    </row>
    <row r="17" spans="1:23" ht="12.75" customHeight="1">
      <c r="A17" s="66"/>
      <c r="B17" s="191"/>
      <c r="C17" s="70"/>
      <c r="D17" s="1184" t="s">
        <v>511</v>
      </c>
      <c r="E17" s="1184"/>
      <c r="F17" s="1184"/>
      <c r="G17" s="1184"/>
      <c r="H17" s="1184"/>
      <c r="I17" s="1184"/>
      <c r="J17" s="1184"/>
      <c r="K17" s="1184"/>
      <c r="L17" s="1184"/>
      <c r="M17" s="192"/>
      <c r="N17" s="66"/>
      <c r="S17" s="896">
        <v>2</v>
      </c>
      <c r="T17" s="897" t="s">
        <v>123</v>
      </c>
      <c r="U17" s="897" t="s">
        <v>1414</v>
      </c>
      <c r="V17" s="896" t="s">
        <v>1242</v>
      </c>
      <c r="W17" s="896" t="s">
        <v>1761</v>
      </c>
    </row>
    <row r="18" spans="1:23" ht="12.75">
      <c r="A18" s="66"/>
      <c r="B18" s="191"/>
      <c r="C18" s="70"/>
      <c r="D18" s="1184"/>
      <c r="E18" s="1184"/>
      <c r="F18" s="1184"/>
      <c r="G18" s="1184"/>
      <c r="H18" s="1184"/>
      <c r="I18" s="1184"/>
      <c r="J18" s="1184"/>
      <c r="K18" s="1184"/>
      <c r="L18" s="1184"/>
      <c r="M18" s="192"/>
      <c r="N18" s="66"/>
      <c r="S18" s="896">
        <v>3</v>
      </c>
      <c r="T18" s="897" t="s">
        <v>2316</v>
      </c>
      <c r="U18" s="897" t="s">
        <v>2316</v>
      </c>
      <c r="V18" s="896" t="str">
        <f>IF(N29&lt;(U25+14),"Inzenden vóór 15 juli 2006","Inzenden vóór 15 oktober 2006")</f>
        <v>Inzenden vóór 15 oktober 2006</v>
      </c>
      <c r="W18" s="896" t="s">
        <v>1761</v>
      </c>
    </row>
    <row r="19" spans="1:23" ht="12.75">
      <c r="A19" s="66"/>
      <c r="B19" s="191"/>
      <c r="C19" s="70"/>
      <c r="D19" s="1184"/>
      <c r="E19" s="1184"/>
      <c r="F19" s="1184"/>
      <c r="G19" s="1184"/>
      <c r="H19" s="1184"/>
      <c r="I19" s="1184"/>
      <c r="J19" s="1184"/>
      <c r="K19" s="1184"/>
      <c r="L19" s="1184"/>
      <c r="M19" s="192"/>
      <c r="N19" s="66"/>
      <c r="S19" s="898">
        <v>4</v>
      </c>
      <c r="T19" s="899" t="s">
        <v>1765</v>
      </c>
      <c r="U19" s="899" t="s">
        <v>1765</v>
      </c>
      <c r="V19" s="898" t="s">
        <v>1766</v>
      </c>
      <c r="W19" s="898" t="s">
        <v>1764</v>
      </c>
    </row>
    <row r="20" spans="1:14" ht="12.75">
      <c r="A20" s="66"/>
      <c r="B20" s="191"/>
      <c r="C20" s="70"/>
      <c r="D20" s="1184"/>
      <c r="E20" s="1184"/>
      <c r="F20" s="1184"/>
      <c r="G20" s="1184"/>
      <c r="H20" s="1184"/>
      <c r="I20" s="1184"/>
      <c r="J20" s="1184"/>
      <c r="K20" s="1184"/>
      <c r="L20" s="1184"/>
      <c r="M20" s="192"/>
      <c r="N20" s="66"/>
    </row>
    <row r="21" spans="1:14" ht="12.75" customHeight="1">
      <c r="A21" s="66"/>
      <c r="B21" s="191"/>
      <c r="C21" s="70"/>
      <c r="D21" s="1185" t="s">
        <v>2205</v>
      </c>
      <c r="E21" s="1185"/>
      <c r="F21" s="1185"/>
      <c r="G21" s="1185"/>
      <c r="H21" s="1185"/>
      <c r="I21" s="1185"/>
      <c r="J21" s="1185"/>
      <c r="K21" s="1185"/>
      <c r="L21" s="1185"/>
      <c r="M21" s="192"/>
      <c r="N21" s="66"/>
    </row>
    <row r="22" spans="1:14" ht="12.75">
      <c r="A22" s="66"/>
      <c r="B22" s="191"/>
      <c r="C22" s="70"/>
      <c r="D22" s="1185"/>
      <c r="E22" s="1185"/>
      <c r="F22" s="1185"/>
      <c r="G22" s="1185"/>
      <c r="H22" s="1185"/>
      <c r="I22" s="1185"/>
      <c r="J22" s="1185"/>
      <c r="K22" s="1185"/>
      <c r="L22" s="1185"/>
      <c r="M22" s="192"/>
      <c r="N22" s="66"/>
    </row>
    <row r="23" spans="1:21" ht="12.75">
      <c r="A23" s="66"/>
      <c r="B23" s="191"/>
      <c r="C23" s="70"/>
      <c r="D23" s="1185"/>
      <c r="E23" s="1185"/>
      <c r="F23" s="1185"/>
      <c r="G23" s="1185"/>
      <c r="H23" s="1185"/>
      <c r="I23" s="1185"/>
      <c r="J23" s="1185"/>
      <c r="K23" s="1185"/>
      <c r="L23" s="1185"/>
      <c r="M23" s="192"/>
      <c r="N23" s="66"/>
      <c r="T23" s="893" t="s">
        <v>1767</v>
      </c>
      <c r="U23" s="893" t="s">
        <v>1768</v>
      </c>
    </row>
    <row r="24" spans="1:21" ht="12.75">
      <c r="A24" s="66"/>
      <c r="B24" s="191"/>
      <c r="C24" s="70"/>
      <c r="D24" s="180"/>
      <c r="E24" s="180"/>
      <c r="F24" s="180"/>
      <c r="G24" s="180"/>
      <c r="H24" s="180"/>
      <c r="I24" s="180"/>
      <c r="J24" s="180"/>
      <c r="K24" s="180"/>
      <c r="L24" s="180"/>
      <c r="M24" s="192"/>
      <c r="N24" s="66"/>
      <c r="T24" s="900">
        <v>38777</v>
      </c>
      <c r="U24" s="901">
        <f>T24</f>
        <v>38777</v>
      </c>
    </row>
    <row r="25" spans="1:21" ht="12.75">
      <c r="A25" s="66"/>
      <c r="B25" s="191"/>
      <c r="C25" s="70"/>
      <c r="D25" s="765" t="str">
        <f>IF(D26=TRUE,"      Invulvelden gearceerd","      Invulvelden niet gearceerd")</f>
        <v>      Invulvelden gearceerd</v>
      </c>
      <c r="E25" s="193"/>
      <c r="F25" s="193"/>
      <c r="G25" s="293" t="s">
        <v>1603</v>
      </c>
      <c r="I25" s="295"/>
      <c r="M25" s="194"/>
      <c r="N25" s="66"/>
      <c r="T25" s="900">
        <v>38913</v>
      </c>
      <c r="U25" s="901">
        <f>T25</f>
        <v>38913</v>
      </c>
    </row>
    <row r="26" spans="1:21" ht="13.5" thickBot="1">
      <c r="A26" s="195"/>
      <c r="B26" s="196"/>
      <c r="C26" s="197"/>
      <c r="D26" s="198" t="b">
        <v>1</v>
      </c>
      <c r="E26" s="199"/>
      <c r="F26" s="199"/>
      <c r="G26" s="197"/>
      <c r="H26" s="197"/>
      <c r="I26" s="198"/>
      <c r="J26" s="199"/>
      <c r="K26" s="199"/>
      <c r="L26" s="200"/>
      <c r="M26" s="201"/>
      <c r="N26" s="195"/>
      <c r="T26" s="900">
        <v>39005</v>
      </c>
      <c r="U26" s="901">
        <f>T26</f>
        <v>39005</v>
      </c>
    </row>
    <row r="27" spans="10:21" ht="12.75">
      <c r="J27" s="472"/>
      <c r="K27" s="472"/>
      <c r="L27" s="473"/>
      <c r="M27" s="384"/>
      <c r="N27" s="195"/>
      <c r="T27" s="997"/>
      <c r="U27" s="998"/>
    </row>
    <row r="28" spans="1:21" ht="12.75">
      <c r="A28" s="847"/>
      <c r="B28" s="384"/>
      <c r="C28" s="383"/>
      <c r="D28" s="471"/>
      <c r="E28" s="472"/>
      <c r="F28" s="472"/>
      <c r="G28" s="383"/>
      <c r="H28" s="383"/>
      <c r="I28" s="1080">
        <f>Uitvoerbestand!A1</f>
        <v>38999</v>
      </c>
      <c r="J28" s="472"/>
      <c r="K28" s="704" t="s">
        <v>1693</v>
      </c>
      <c r="L28" s="745" t="str">
        <f>'0000'!X326</f>
        <v>0</v>
      </c>
      <c r="M28" s="1181" t="s">
        <v>1752</v>
      </c>
      <c r="N28" s="1210"/>
      <c r="T28" s="895" t="s">
        <v>1509</v>
      </c>
      <c r="U28" s="895"/>
    </row>
    <row r="29" spans="1:21" ht="12.75">
      <c r="A29" s="847"/>
      <c r="C29" s="383"/>
      <c r="D29" s="471"/>
      <c r="E29" s="472"/>
      <c r="F29" s="472"/>
      <c r="G29" s="970"/>
      <c r="H29" s="971"/>
      <c r="J29" s="1081">
        <f>IF(I28&lt;&gt;M29,"! ","")</f>
      </c>
      <c r="K29" s="459" t="s">
        <v>901</v>
      </c>
      <c r="L29" s="460"/>
      <c r="M29" s="840">
        <f ca="1">TODAY()</f>
        <v>38999</v>
      </c>
      <c r="N29" s="764">
        <f>M29</f>
        <v>38999</v>
      </c>
      <c r="O29" s="478"/>
      <c r="T29" s="895" t="s">
        <v>1508</v>
      </c>
      <c r="U29" s="1082">
        <v>38791</v>
      </c>
    </row>
    <row r="30" spans="1:21" ht="12.75">
      <c r="A30" s="847"/>
      <c r="C30" s="383"/>
      <c r="D30" s="383"/>
      <c r="E30" s="383"/>
      <c r="F30" s="383"/>
      <c r="G30" s="383"/>
      <c r="H30" s="383"/>
      <c r="I30" s="471"/>
      <c r="J30" s="182"/>
      <c r="K30" s="474" t="s">
        <v>1753</v>
      </c>
      <c r="L30" s="475"/>
      <c r="M30" s="1175" t="s">
        <v>1834</v>
      </c>
      <c r="N30" s="1176"/>
      <c r="O30" s="479"/>
      <c r="T30" s="895" t="s">
        <v>682</v>
      </c>
      <c r="U30" s="1082">
        <v>39114</v>
      </c>
    </row>
    <row r="31" spans="1:15" ht="12.75">
      <c r="A31" s="203" t="s">
        <v>708</v>
      </c>
      <c r="B31" s="204"/>
      <c r="C31" s="204"/>
      <c r="D31" s="204"/>
      <c r="E31" s="205" t="s">
        <v>1757</v>
      </c>
      <c r="F31" s="206" t="s">
        <v>1758</v>
      </c>
      <c r="G31" s="207"/>
      <c r="H31" s="207"/>
      <c r="I31" s="207"/>
      <c r="J31" s="207"/>
      <c r="K31" s="476" t="s">
        <v>1754</v>
      </c>
      <c r="L31" s="477"/>
      <c r="M31" s="1177"/>
      <c r="N31" s="1178"/>
      <c r="O31" s="479"/>
    </row>
    <row r="32" spans="1:21" ht="12.75">
      <c r="A32" s="962" t="str">
        <f>IF(F32=0,"Hiernaast uw CTG/ZAio nummer invullen a.u.b. !"," ")</f>
        <v>Hiernaast uw CTG/ZAio nummer invullen a.u.b. !</v>
      </c>
      <c r="B32" s="210"/>
      <c r="C32" s="210"/>
      <c r="D32" s="208"/>
      <c r="E32" s="211">
        <v>120</v>
      </c>
      <c r="F32" s="1140"/>
      <c r="G32" s="207"/>
      <c r="H32" s="207"/>
      <c r="I32" s="207"/>
      <c r="J32" s="207"/>
      <c r="K32" s="181" t="s">
        <v>1755</v>
      </c>
      <c r="L32" s="252"/>
      <c r="M32" s="1209" t="e">
        <f>VLOOKUP('0000'!$A$3,NAW!$B$2:$D$240,3,FALSE)</f>
        <v>#N/A</v>
      </c>
      <c r="N32" s="1210"/>
      <c r="O32" s="479"/>
      <c r="T32" s="893" t="s">
        <v>1830</v>
      </c>
      <c r="U32" s="893" t="s">
        <v>1768</v>
      </c>
    </row>
    <row r="33" spans="1:21" ht="12.75">
      <c r="A33" s="289"/>
      <c r="B33" s="212"/>
      <c r="C33" s="212"/>
      <c r="D33" s="208"/>
      <c r="E33" s="208"/>
      <c r="F33" s="290"/>
      <c r="G33" s="208"/>
      <c r="H33" s="208"/>
      <c r="I33" s="208"/>
      <c r="J33" s="208"/>
      <c r="K33" s="208"/>
      <c r="L33" s="208"/>
      <c r="M33" s="763"/>
      <c r="N33" s="208"/>
      <c r="T33" s="900">
        <v>39083</v>
      </c>
      <c r="U33" s="901">
        <f>T33</f>
        <v>39083</v>
      </c>
    </row>
    <row r="34" spans="1:20" ht="12.75">
      <c r="A34" s="213" t="s">
        <v>130</v>
      </c>
      <c r="B34" s="214"/>
      <c r="C34" s="208"/>
      <c r="D34" s="1205"/>
      <c r="E34" s="1206"/>
      <c r="F34" s="1199"/>
      <c r="G34" s="215"/>
      <c r="H34" s="216" t="s">
        <v>131</v>
      </c>
      <c r="I34" s="209"/>
      <c r="J34" s="210" t="e">
        <f>VLOOKUP('0000'!$A$3,NAW!$B$2:$T$240,19,FALSE)</f>
        <v>#N/A</v>
      </c>
      <c r="K34" s="1172"/>
      <c r="L34" s="1173"/>
      <c r="M34" s="1173"/>
      <c r="N34" s="1174"/>
      <c r="T34" t="s">
        <v>1831</v>
      </c>
    </row>
    <row r="35" spans="1:20" ht="12.75">
      <c r="A35" s="217" t="s">
        <v>132</v>
      </c>
      <c r="B35" s="218"/>
      <c r="C35" s="218"/>
      <c r="D35" s="1220"/>
      <c r="E35" s="1221"/>
      <c r="F35" s="1222"/>
      <c r="G35" s="215"/>
      <c r="H35" s="217" t="s">
        <v>132</v>
      </c>
      <c r="I35" s="218"/>
      <c r="J35" s="218"/>
      <c r="K35" s="1223"/>
      <c r="L35" s="1224"/>
      <c r="M35" s="1224"/>
      <c r="N35" s="1225"/>
      <c r="T35" t="s">
        <v>1832</v>
      </c>
    </row>
    <row r="36" spans="1:14" ht="12.75">
      <c r="A36" s="216" t="s">
        <v>133</v>
      </c>
      <c r="B36" s="210"/>
      <c r="C36" s="210"/>
      <c r="D36" s="386" t="s">
        <v>629</v>
      </c>
      <c r="E36" s="1206"/>
      <c r="F36" s="1203"/>
      <c r="G36" s="215"/>
      <c r="H36" s="216" t="s">
        <v>133</v>
      </c>
      <c r="I36" s="210"/>
      <c r="J36" s="210"/>
      <c r="K36" s="386" t="s">
        <v>629</v>
      </c>
      <c r="L36" s="1206"/>
      <c r="M36" s="1202"/>
      <c r="N36" s="1203"/>
    </row>
    <row r="37" spans="1:14" ht="12.75">
      <c r="A37" s="219" t="s">
        <v>134</v>
      </c>
      <c r="B37" s="220"/>
      <c r="C37" s="220"/>
      <c r="D37" s="1191"/>
      <c r="E37" s="1192"/>
      <c r="F37" s="1193"/>
      <c r="G37" s="215"/>
      <c r="H37" s="219" t="s">
        <v>134</v>
      </c>
      <c r="I37" s="220"/>
      <c r="J37" s="220"/>
      <c r="K37" s="1194"/>
      <c r="L37" s="1195"/>
      <c r="M37" s="1195"/>
      <c r="N37" s="1196"/>
    </row>
    <row r="38" spans="1:14" ht="12.75">
      <c r="A38" s="219" t="s">
        <v>135</v>
      </c>
      <c r="B38" s="220"/>
      <c r="C38" s="220"/>
      <c r="D38" s="1191"/>
      <c r="E38" s="1192"/>
      <c r="F38" s="1193"/>
      <c r="G38" s="215"/>
      <c r="H38" s="219" t="s">
        <v>135</v>
      </c>
      <c r="I38" s="220"/>
      <c r="J38" s="220"/>
      <c r="K38" s="1194"/>
      <c r="L38" s="1195"/>
      <c r="M38" s="1195"/>
      <c r="N38" s="1196"/>
    </row>
    <row r="39" spans="1:14" ht="12.75">
      <c r="A39" s="217" t="s">
        <v>136</v>
      </c>
      <c r="B39" s="218"/>
      <c r="C39" s="218"/>
      <c r="D39" s="1220"/>
      <c r="E39" s="1221"/>
      <c r="F39" s="1222"/>
      <c r="G39" s="215"/>
      <c r="H39" s="217" t="s">
        <v>136</v>
      </c>
      <c r="I39" s="218"/>
      <c r="J39" s="218"/>
      <c r="K39" s="1223"/>
      <c r="L39" s="1224"/>
      <c r="M39" s="1224"/>
      <c r="N39" s="1225"/>
    </row>
    <row r="40" spans="1:14" ht="12.75">
      <c r="A40" s="543" t="s">
        <v>712</v>
      </c>
      <c r="B40" s="208"/>
      <c r="C40" s="208"/>
      <c r="D40" s="208"/>
      <c r="E40" s="208"/>
      <c r="F40" s="727" t="s">
        <v>1700</v>
      </c>
      <c r="G40" s="215"/>
      <c r="H40" s="543"/>
      <c r="I40" s="208"/>
      <c r="J40" s="208"/>
      <c r="K40" s="208"/>
      <c r="L40" s="208"/>
      <c r="M40" s="208"/>
      <c r="N40" s="727"/>
    </row>
    <row r="41" spans="1:14" ht="12.75">
      <c r="A41" s="221" t="s">
        <v>719</v>
      </c>
      <c r="B41" s="222"/>
      <c r="C41" s="222"/>
      <c r="D41" s="222"/>
      <c r="E41" s="222"/>
      <c r="F41" s="223"/>
      <c r="G41" s="215"/>
      <c r="H41" s="221" t="s">
        <v>720</v>
      </c>
      <c r="I41" s="222"/>
      <c r="J41" s="222"/>
      <c r="K41" s="222"/>
      <c r="L41" s="222"/>
      <c r="M41" s="222"/>
      <c r="N41" s="223"/>
    </row>
    <row r="42" spans="1:14" ht="8.25" customHeight="1">
      <c r="A42" s="843"/>
      <c r="B42" s="224"/>
      <c r="C42" s="224"/>
      <c r="D42" s="224"/>
      <c r="E42" s="224"/>
      <c r="F42" s="225"/>
      <c r="G42" s="215"/>
      <c r="H42" s="843"/>
      <c r="I42" s="224"/>
      <c r="J42" s="224"/>
      <c r="K42" s="224"/>
      <c r="L42" s="224"/>
      <c r="M42" s="224"/>
      <c r="N42" s="225"/>
    </row>
    <row r="43" spans="1:14" ht="12.75">
      <c r="A43" s="916" t="str">
        <f>IF(foutmeldingen!E27&gt;0,"nog niet ondertekenen, er is een foutmelding, zie tab foutmeldingen"," ")</f>
        <v>nog niet ondertekenen, er is een foutmelding, zie tab foutmeldingen</v>
      </c>
      <c r="B43" s="133"/>
      <c r="C43" s="224"/>
      <c r="D43" s="224"/>
      <c r="E43" s="224"/>
      <c r="F43" s="225"/>
      <c r="G43" s="215"/>
      <c r="H43" s="916" t="str">
        <f>IF(foutmeldingen!E27&gt;0,"nog niet ondertekenen, er is een foutmelding, zie tab foutmeldingen"," ")</f>
        <v>nog niet ondertekenen, er is een foutmelding, zie tab foutmeldingen</v>
      </c>
      <c r="J43" s="224"/>
      <c r="K43" s="224"/>
      <c r="L43" s="224"/>
      <c r="M43" s="224"/>
      <c r="N43" s="225"/>
    </row>
    <row r="44" spans="1:14" ht="12.75">
      <c r="A44" s="843"/>
      <c r="B44" s="224"/>
      <c r="C44" s="224"/>
      <c r="D44" s="224"/>
      <c r="E44" s="224"/>
      <c r="F44" s="226" t="s">
        <v>137</v>
      </c>
      <c r="G44" s="215"/>
      <c r="H44" s="843"/>
      <c r="I44" s="224"/>
      <c r="J44" s="224"/>
      <c r="K44" s="224"/>
      <c r="L44" s="224"/>
      <c r="M44" s="224"/>
      <c r="N44" s="226" t="s">
        <v>137</v>
      </c>
    </row>
    <row r="45" spans="1:14" ht="12.75">
      <c r="A45" s="1226"/>
      <c r="B45" s="1204"/>
      <c r="C45" s="227" t="s">
        <v>138</v>
      </c>
      <c r="D45" s="1200"/>
      <c r="E45" s="1201"/>
      <c r="F45" s="228" t="s">
        <v>139</v>
      </c>
      <c r="G45" s="215"/>
      <c r="H45" s="1226"/>
      <c r="I45" s="1204"/>
      <c r="J45" s="227" t="s">
        <v>138</v>
      </c>
      <c r="K45" s="1200"/>
      <c r="L45" s="1201"/>
      <c r="M45" s="1201"/>
      <c r="N45" s="228" t="s">
        <v>139</v>
      </c>
    </row>
    <row r="46" spans="1:14" ht="11.25" customHeight="1">
      <c r="A46" s="208"/>
      <c r="B46" s="208"/>
      <c r="C46" s="208"/>
      <c r="D46" s="208"/>
      <c r="E46" s="208"/>
      <c r="F46" s="208"/>
      <c r="G46" s="215"/>
      <c r="H46" s="208"/>
      <c r="I46" s="208"/>
      <c r="J46" s="208"/>
      <c r="K46" s="208"/>
      <c r="L46" s="208"/>
      <c r="M46" s="208"/>
      <c r="N46" s="208"/>
    </row>
    <row r="47" spans="1:14" ht="12.75" customHeight="1">
      <c r="A47" s="464" t="s">
        <v>711</v>
      </c>
      <c r="B47" s="208"/>
      <c r="C47" s="208"/>
      <c r="D47" s="208"/>
      <c r="E47" s="208"/>
      <c r="F47" s="208"/>
      <c r="G47" s="215"/>
      <c r="H47" s="208"/>
      <c r="I47" s="208"/>
      <c r="J47" s="208"/>
      <c r="K47" s="208"/>
      <c r="L47" s="208"/>
      <c r="M47" s="208"/>
      <c r="N47" s="208"/>
    </row>
    <row r="48" spans="1:14" ht="10.5" customHeight="1">
      <c r="A48" s="1218"/>
      <c r="B48" s="1219"/>
      <c r="C48" s="1219"/>
      <c r="D48" s="1219"/>
      <c r="E48" s="1219"/>
      <c r="F48" s="1219"/>
      <c r="G48" s="1219"/>
      <c r="H48" s="1219"/>
      <c r="I48" s="1219"/>
      <c r="J48" s="1219"/>
      <c r="K48" s="1219"/>
      <c r="L48" s="1219"/>
      <c r="M48" s="1219"/>
      <c r="N48" s="1219"/>
    </row>
    <row r="49" spans="1:14" ht="48.75" customHeight="1">
      <c r="A49" s="1218" t="s">
        <v>1126</v>
      </c>
      <c r="B49" s="1219"/>
      <c r="C49" s="1219"/>
      <c r="D49" s="1219"/>
      <c r="E49" s="1219"/>
      <c r="F49" s="1219"/>
      <c r="G49" s="1219"/>
      <c r="H49" s="1219"/>
      <c r="I49" s="1219"/>
      <c r="J49" s="1219"/>
      <c r="K49" s="1219"/>
      <c r="L49" s="1219"/>
      <c r="M49" s="1219"/>
      <c r="N49" s="1219"/>
    </row>
    <row r="50" spans="1:14" ht="11.25" customHeight="1">
      <c r="A50" s="66"/>
      <c r="B50" s="179"/>
      <c r="C50" s="66"/>
      <c r="D50" s="66"/>
      <c r="E50" s="66"/>
      <c r="F50" s="66"/>
      <c r="G50" s="66"/>
      <c r="H50" s="66"/>
      <c r="I50" s="66"/>
      <c r="J50" s="179"/>
      <c r="K50" s="179"/>
      <c r="L50" s="179"/>
      <c r="M50" s="66"/>
      <c r="N50" s="66"/>
    </row>
    <row r="51" spans="1:14" ht="12.75">
      <c r="A51" s="469" t="str">
        <f>IF(OR($A$3=3,$A$3=4),"Mutatie budget cf regel 1132 op jaarbasis","Budget cf regel 1132 op jaarbasis")</f>
        <v>Budget cf regel 1132 op jaarbasis</v>
      </c>
      <c r="B51" s="470"/>
      <c r="C51" s="470"/>
      <c r="D51" s="460"/>
      <c r="E51" s="252"/>
      <c r="F51" s="963">
        <f>IF(A3=1,0,'0000'!G313)</f>
        <v>0</v>
      </c>
      <c r="G51" s="297"/>
      <c r="H51" s="459" t="s">
        <v>1127</v>
      </c>
      <c r="I51" s="460"/>
      <c r="J51" s="460"/>
      <c r="K51" s="460"/>
      <c r="L51" s="252"/>
      <c r="M51" s="1217">
        <f>IF(A3=1,0,'0000'!G311)</f>
        <v>0</v>
      </c>
      <c r="N51" s="1208"/>
    </row>
    <row r="52" spans="1:14" ht="12.75">
      <c r="A52" s="469" t="str">
        <f>IF(OR(A3=3,A3=4),"Mutatie budget cf regel 1132 op kasbasis","Budget cf regel 1132 op kasbasis")</f>
        <v>Budget cf regel 1132 op kasbasis</v>
      </c>
      <c r="B52" s="470"/>
      <c r="C52" s="470"/>
      <c r="D52" s="460"/>
      <c r="E52" s="252"/>
      <c r="F52" s="963">
        <f>IF(G2=0,F51,F51/365*(U33-G2))</f>
        <v>0</v>
      </c>
      <c r="H52" s="459" t="s">
        <v>105</v>
      </c>
      <c r="I52" s="460"/>
      <c r="J52" s="460"/>
      <c r="K52" s="252"/>
      <c r="L52" s="252"/>
      <c r="M52" s="1217">
        <f>IF(A3=1,0,'0000'!R299)</f>
        <v>0</v>
      </c>
      <c r="N52" s="1208"/>
    </row>
    <row r="53" spans="1:14" ht="12.75">
      <c r="A53" s="480" t="s">
        <v>709</v>
      </c>
      <c r="B53" s="460"/>
      <c r="C53" s="460"/>
      <c r="D53" s="460"/>
      <c r="E53" s="460"/>
      <c r="F53" s="964">
        <f>IF(A3=1,0,Extramuraal!K144)</f>
        <v>0</v>
      </c>
      <c r="H53" s="1211" t="s">
        <v>1128</v>
      </c>
      <c r="I53" s="1212"/>
      <c r="J53" s="1212"/>
      <c r="K53" s="1212"/>
      <c r="L53" s="1213"/>
      <c r="M53" s="10"/>
      <c r="N53" s="10"/>
    </row>
    <row r="54" spans="1:14" ht="12.75">
      <c r="A54" s="480" t="s">
        <v>710</v>
      </c>
      <c r="B54" s="460"/>
      <c r="C54" s="460"/>
      <c r="D54" s="638"/>
      <c r="E54" s="785"/>
      <c r="F54" s="964">
        <f>F53</f>
        <v>0</v>
      </c>
      <c r="H54" s="1214"/>
      <c r="I54" s="1215"/>
      <c r="J54" s="1215"/>
      <c r="K54" s="1215"/>
      <c r="L54" s="1216"/>
      <c r="M54" s="1207">
        <f>IF(A3=1,0,'0000'!S408+'0000'!S401)</f>
        <v>0</v>
      </c>
      <c r="N54" s="1208"/>
    </row>
    <row r="55" spans="1:6" ht="12.75">
      <c r="A55" s="459" t="str">
        <f>IF(OR($A$3=3,$A$3=4),"Mutatie afspraken tlv de contracteerruimte op","Totaal afspraken tlv de contracteerruimte op")</f>
        <v>Totaal afspraken tlv de contracteerruimte op</v>
      </c>
      <c r="B55" s="460"/>
      <c r="C55" s="460"/>
      <c r="D55" s="460"/>
      <c r="E55" s="907" t="str">
        <f>IF(G2=0,"jaar én kasbasis","kasbasis")</f>
        <v>jaar én kasbasis</v>
      </c>
      <c r="F55" s="964">
        <f>IF(A3=1,0,IF(G2=0,'0000'!G266,0))</f>
        <v>0</v>
      </c>
    </row>
    <row r="57" ht="12.75">
      <c r="A57" s="537"/>
    </row>
    <row r="58" spans="1:13" ht="14.25">
      <c r="A58" s="906"/>
      <c r="B58" s="883"/>
      <c r="C58" s="883"/>
      <c r="D58" s="883"/>
      <c r="E58" s="883"/>
      <c r="F58" s="883"/>
      <c r="G58" s="884"/>
      <c r="H58" s="884"/>
      <c r="I58" s="133"/>
      <c r="J58" s="133"/>
      <c r="K58" s="133"/>
      <c r="L58" s="133"/>
      <c r="M58" s="133"/>
    </row>
    <row r="59" spans="1:14" ht="12.75">
      <c r="A59" s="882"/>
      <c r="B59" s="133"/>
      <c r="C59" s="133"/>
      <c r="D59" s="133"/>
      <c r="E59" s="133"/>
      <c r="F59" s="133"/>
      <c r="G59" s="495"/>
      <c r="H59" s="133"/>
      <c r="I59" s="133"/>
      <c r="J59" s="133"/>
      <c r="K59" s="133"/>
      <c r="L59" s="133"/>
      <c r="M59" s="133"/>
      <c r="N59" s="133"/>
    </row>
    <row r="60" spans="1:14" ht="12.75">
      <c r="A60" s="882"/>
      <c r="B60" s="133"/>
      <c r="C60" s="133"/>
      <c r="D60" s="133"/>
      <c r="E60" s="133"/>
      <c r="F60" s="133"/>
      <c r="G60" s="885"/>
      <c r="H60" s="133"/>
      <c r="I60" s="133"/>
      <c r="J60" s="133"/>
      <c r="K60" s="133"/>
      <c r="L60" s="133"/>
      <c r="M60" s="133"/>
      <c r="N60" s="133"/>
    </row>
    <row r="61" spans="1:14" ht="12.75">
      <c r="A61" s="882"/>
      <c r="B61" s="133"/>
      <c r="C61" s="133"/>
      <c r="D61" s="133"/>
      <c r="E61" s="133"/>
      <c r="F61" s="133"/>
      <c r="G61" s="886"/>
      <c r="H61" s="846"/>
      <c r="I61" s="133"/>
      <c r="J61" s="133"/>
      <c r="K61" s="133"/>
      <c r="L61" s="133"/>
      <c r="M61" s="133"/>
      <c r="N61" s="133"/>
    </row>
    <row r="62" spans="1:14" ht="12.75">
      <c r="A62" s="882"/>
      <c r="B62" s="133"/>
      <c r="C62" s="133"/>
      <c r="D62" s="133"/>
      <c r="E62" s="133"/>
      <c r="F62" s="133"/>
      <c r="G62" s="886"/>
      <c r="H62" s="846"/>
      <c r="I62" s="133"/>
      <c r="J62" s="133"/>
      <c r="K62" s="133"/>
      <c r="L62" s="133"/>
      <c r="M62" s="133"/>
      <c r="N62" s="133"/>
    </row>
    <row r="63" spans="1:14" ht="12.75">
      <c r="A63" s="882"/>
      <c r="B63" s="133"/>
      <c r="C63" s="133"/>
      <c r="D63" s="133"/>
      <c r="E63" s="133"/>
      <c r="F63" s="133"/>
      <c r="G63" s="886"/>
      <c r="H63" s="846"/>
      <c r="I63" s="133"/>
      <c r="J63" s="133"/>
      <c r="K63" s="133"/>
      <c r="L63" s="133"/>
      <c r="M63" s="133"/>
      <c r="N63" s="133"/>
    </row>
    <row r="64" spans="1:14" ht="12.75">
      <c r="A64" s="882"/>
      <c r="B64" s="133"/>
      <c r="C64" s="133"/>
      <c r="D64" s="133"/>
      <c r="E64" s="133"/>
      <c r="F64" s="133"/>
      <c r="G64" s="887"/>
      <c r="H64" s="133"/>
      <c r="I64" s="133"/>
      <c r="J64" s="133"/>
      <c r="K64" s="133"/>
      <c r="L64" s="133"/>
      <c r="M64" s="133"/>
      <c r="N64" s="133"/>
    </row>
    <row r="65" spans="1:14" ht="12.75">
      <c r="A65" s="882"/>
      <c r="B65" s="133"/>
      <c r="C65" s="133"/>
      <c r="D65" s="133"/>
      <c r="E65" s="133"/>
      <c r="F65" s="133"/>
      <c r="G65" s="886"/>
      <c r="H65" s="133"/>
      <c r="I65" s="133"/>
      <c r="J65" s="133"/>
      <c r="K65" s="133"/>
      <c r="L65" s="133"/>
      <c r="M65" s="133"/>
      <c r="N65" s="133"/>
    </row>
    <row r="66" spans="1:14" ht="12.75">
      <c r="A66" s="882"/>
      <c r="B66" s="133"/>
      <c r="C66" s="133"/>
      <c r="D66" s="133"/>
      <c r="E66" s="133"/>
      <c r="F66" s="133"/>
      <c r="G66" s="886"/>
      <c r="H66" s="133"/>
      <c r="I66" s="133"/>
      <c r="J66" s="133"/>
      <c r="K66" s="133"/>
      <c r="L66" s="133"/>
      <c r="M66" s="133"/>
      <c r="N66" s="133"/>
    </row>
    <row r="67" spans="1:14" ht="12.75">
      <c r="A67" s="882"/>
      <c r="B67" s="133"/>
      <c r="C67" s="133"/>
      <c r="D67" s="133"/>
      <c r="E67" s="133"/>
      <c r="F67" s="133"/>
      <c r="G67" s="886"/>
      <c r="H67" s="133"/>
      <c r="I67" s="133"/>
      <c r="J67" s="133"/>
      <c r="K67" s="133"/>
      <c r="L67" s="133"/>
      <c r="M67" s="133"/>
      <c r="N67" s="133"/>
    </row>
    <row r="68" spans="1:14" ht="12.75">
      <c r="A68" s="882"/>
      <c r="B68" s="133"/>
      <c r="C68" s="133"/>
      <c r="D68" s="133"/>
      <c r="E68" s="133"/>
      <c r="F68" s="133"/>
      <c r="G68" s="887"/>
      <c r="H68" s="133"/>
      <c r="I68" s="133"/>
      <c r="J68" s="133"/>
      <c r="K68" s="133"/>
      <c r="L68" s="133"/>
      <c r="M68" s="133"/>
      <c r="N68" s="133"/>
    </row>
    <row r="69" spans="1:14" ht="12.75">
      <c r="A69" s="882"/>
      <c r="B69" s="133"/>
      <c r="C69" s="133"/>
      <c r="D69" s="133"/>
      <c r="E69" s="133"/>
      <c r="F69" s="133"/>
      <c r="G69" s="886"/>
      <c r="H69" s="133"/>
      <c r="I69" s="133"/>
      <c r="J69" s="133"/>
      <c r="K69" s="133"/>
      <c r="L69" s="133"/>
      <c r="M69" s="133"/>
      <c r="N69" s="133"/>
    </row>
    <row r="70" spans="1:14" ht="12.75">
      <c r="A70" s="882"/>
      <c r="B70" s="133"/>
      <c r="C70" s="133"/>
      <c r="D70" s="133"/>
      <c r="E70" s="133"/>
      <c r="F70" s="133"/>
      <c r="G70" s="886"/>
      <c r="H70" s="133"/>
      <c r="I70" s="133"/>
      <c r="J70" s="133"/>
      <c r="K70" s="133"/>
      <c r="L70" s="133"/>
      <c r="M70" s="133"/>
      <c r="N70" s="133"/>
    </row>
    <row r="71" spans="1:14" ht="12.75">
      <c r="A71" s="882"/>
      <c r="B71" s="133"/>
      <c r="C71" s="133"/>
      <c r="D71" s="133"/>
      <c r="E71" s="133"/>
      <c r="F71" s="133"/>
      <c r="G71" s="886"/>
      <c r="H71" s="133"/>
      <c r="I71" s="133"/>
      <c r="J71" s="133"/>
      <c r="K71" s="133"/>
      <c r="L71" s="133"/>
      <c r="M71" s="133"/>
      <c r="N71" s="133"/>
    </row>
    <row r="72" spans="1:14" ht="12.75">
      <c r="A72" s="882"/>
      <c r="B72" s="133"/>
      <c r="C72" s="133"/>
      <c r="D72" s="133"/>
      <c r="E72" s="133"/>
      <c r="F72" s="133"/>
      <c r="G72" s="887"/>
      <c r="H72" s="133"/>
      <c r="I72" s="133"/>
      <c r="J72" s="133"/>
      <c r="K72" s="133"/>
      <c r="L72" s="873"/>
      <c r="M72" s="874"/>
      <c r="N72" s="133"/>
    </row>
    <row r="73" spans="1:14" ht="12.75">
      <c r="A73" s="882"/>
      <c r="B73" s="133"/>
      <c r="C73" s="133"/>
      <c r="D73" s="133"/>
      <c r="E73" s="133"/>
      <c r="F73" s="133"/>
      <c r="G73" s="133"/>
      <c r="H73" s="133"/>
      <c r="I73" s="133"/>
      <c r="J73" s="133"/>
      <c r="K73" s="133"/>
      <c r="L73" s="133"/>
      <c r="M73" s="133"/>
      <c r="N73" s="133"/>
    </row>
    <row r="74" spans="1:14" ht="12.75">
      <c r="A74" s="882"/>
      <c r="B74" s="133"/>
      <c r="C74" s="133"/>
      <c r="D74" s="133"/>
      <c r="E74" s="133"/>
      <c r="F74" s="133"/>
      <c r="G74" s="886"/>
      <c r="H74" s="133"/>
      <c r="I74" s="133"/>
      <c r="J74" s="133"/>
      <c r="K74" s="133"/>
      <c r="L74" s="133"/>
      <c r="M74" s="133"/>
      <c r="N74" s="133"/>
    </row>
    <row r="75" spans="1:14" ht="12.75">
      <c r="A75" s="882"/>
      <c r="B75" s="133"/>
      <c r="C75" s="133"/>
      <c r="D75" s="133"/>
      <c r="E75" s="133"/>
      <c r="F75" s="133"/>
      <c r="G75" s="886"/>
      <c r="H75" s="133"/>
      <c r="I75" s="133"/>
      <c r="J75" s="133"/>
      <c r="K75" s="133"/>
      <c r="L75" s="133"/>
      <c r="M75" s="133"/>
      <c r="N75" s="133"/>
    </row>
    <row r="76" spans="1:14" ht="12.75">
      <c r="A76" s="882"/>
      <c r="B76" s="133"/>
      <c r="C76" s="133"/>
      <c r="D76" s="133"/>
      <c r="E76" s="133"/>
      <c r="F76" s="133"/>
      <c r="G76" s="886"/>
      <c r="H76" s="133"/>
      <c r="I76" s="133"/>
      <c r="J76" s="133"/>
      <c r="K76" s="133"/>
      <c r="L76" s="133"/>
      <c r="M76" s="133"/>
      <c r="N76" s="133"/>
    </row>
    <row r="77" spans="1:14" ht="12.75">
      <c r="A77" s="882"/>
      <c r="B77" s="133"/>
      <c r="C77" s="133"/>
      <c r="D77" s="133"/>
      <c r="E77" s="133"/>
      <c r="F77" s="133"/>
      <c r="G77" s="886"/>
      <c r="H77" s="133"/>
      <c r="I77" s="133"/>
      <c r="J77" s="133"/>
      <c r="K77" s="133"/>
      <c r="L77" s="133"/>
      <c r="M77" s="133"/>
      <c r="N77" s="133"/>
    </row>
    <row r="78" spans="1:14" ht="12.75">
      <c r="A78" s="882"/>
      <c r="B78" s="133"/>
      <c r="C78" s="133"/>
      <c r="D78" s="133"/>
      <c r="E78" s="133"/>
      <c r="F78" s="133"/>
      <c r="G78" s="886"/>
      <c r="H78" s="133"/>
      <c r="I78" s="133"/>
      <c r="J78" s="133"/>
      <c r="K78" s="133"/>
      <c r="L78" s="133"/>
      <c r="M78" s="133"/>
      <c r="N78" s="133"/>
    </row>
    <row r="79" spans="1:14" ht="12.75">
      <c r="A79" s="882"/>
      <c r="B79" s="133"/>
      <c r="C79" s="133"/>
      <c r="D79" s="133"/>
      <c r="E79" s="133"/>
      <c r="F79" s="133"/>
      <c r="G79" s="886"/>
      <c r="H79" s="133"/>
      <c r="I79" s="133"/>
      <c r="J79" s="133"/>
      <c r="K79" s="133"/>
      <c r="L79" s="133"/>
      <c r="M79" s="133"/>
      <c r="N79" s="133"/>
    </row>
    <row r="80" spans="1:14" ht="12.75">
      <c r="A80" s="882"/>
      <c r="B80" s="133"/>
      <c r="C80" s="133"/>
      <c r="D80" s="133"/>
      <c r="E80" s="133"/>
      <c r="F80" s="133"/>
      <c r="G80" s="886"/>
      <c r="H80" s="133"/>
      <c r="I80" s="133"/>
      <c r="J80" s="133"/>
      <c r="K80" s="133"/>
      <c r="L80" s="133"/>
      <c r="M80" s="133"/>
      <c r="N80" s="133"/>
    </row>
    <row r="81" spans="1:14" ht="12.75">
      <c r="A81" s="882"/>
      <c r="B81" s="133"/>
      <c r="C81" s="133"/>
      <c r="D81" s="133"/>
      <c r="E81" s="133"/>
      <c r="F81" s="133"/>
      <c r="G81" s="886"/>
      <c r="H81" s="133"/>
      <c r="I81" s="133"/>
      <c r="J81" s="133"/>
      <c r="K81" s="133"/>
      <c r="L81" s="133"/>
      <c r="M81" s="133"/>
      <c r="N81" s="133"/>
    </row>
    <row r="82" spans="1:14" ht="12.75">
      <c r="A82" s="882"/>
      <c r="B82" s="133"/>
      <c r="C82" s="133"/>
      <c r="D82" s="133"/>
      <c r="E82" s="133"/>
      <c r="F82" s="133"/>
      <c r="G82" s="886"/>
      <c r="H82" s="133"/>
      <c r="I82" s="133"/>
      <c r="J82" s="133"/>
      <c r="K82" s="133"/>
      <c r="L82" s="133"/>
      <c r="M82" s="133"/>
      <c r="N82" s="133"/>
    </row>
    <row r="83" spans="1:13" ht="12.75">
      <c r="A83" s="133"/>
      <c r="B83" s="133"/>
      <c r="C83" s="133"/>
      <c r="D83" s="133"/>
      <c r="E83" s="133"/>
      <c r="F83" s="133"/>
      <c r="G83" s="886"/>
      <c r="H83" s="133"/>
      <c r="I83" s="133"/>
      <c r="J83" s="133"/>
      <c r="K83" s="133"/>
      <c r="L83" s="133"/>
      <c r="M83" s="133"/>
    </row>
    <row r="84" spans="1:13" ht="12.75">
      <c r="A84" s="133"/>
      <c r="B84" s="133"/>
      <c r="C84" s="133"/>
      <c r="D84" s="133"/>
      <c r="E84" s="133"/>
      <c r="F84" s="133"/>
      <c r="G84" s="886"/>
      <c r="H84" s="133"/>
      <c r="I84" s="133"/>
      <c r="J84" s="133"/>
      <c r="K84" s="133"/>
      <c r="L84" s="133"/>
      <c r="M84" s="133"/>
    </row>
    <row r="85" spans="1:13" ht="12.75">
      <c r="A85" s="133"/>
      <c r="B85" s="133"/>
      <c r="C85" s="133"/>
      <c r="D85" s="133"/>
      <c r="E85" s="133"/>
      <c r="F85" s="133"/>
      <c r="G85" s="135"/>
      <c r="H85" s="133"/>
      <c r="I85" s="133"/>
      <c r="J85" s="133"/>
      <c r="K85" s="133"/>
      <c r="L85" s="133"/>
      <c r="M85" s="133"/>
    </row>
    <row r="86" spans="1:13" ht="12.75">
      <c r="A86" s="133"/>
      <c r="B86" s="133"/>
      <c r="C86" s="133"/>
      <c r="D86" s="133"/>
      <c r="E86" s="133"/>
      <c r="F86" s="133"/>
      <c r="G86" s="135"/>
      <c r="H86" s="133"/>
      <c r="I86" s="133"/>
      <c r="J86" s="133"/>
      <c r="K86" s="133"/>
      <c r="L86" s="133"/>
      <c r="M86" s="133"/>
    </row>
    <row r="87" spans="1:13" ht="14.25">
      <c r="A87" s="906"/>
      <c r="B87" s="133"/>
      <c r="C87" s="133"/>
      <c r="D87" s="133"/>
      <c r="E87" s="133"/>
      <c r="F87" s="133"/>
      <c r="G87" s="495"/>
      <c r="H87" s="133"/>
      <c r="I87" s="133"/>
      <c r="J87" s="133"/>
      <c r="K87" s="133"/>
      <c r="L87" s="133"/>
      <c r="M87" s="133"/>
    </row>
    <row r="88" spans="1:13" ht="12.75">
      <c r="A88" s="882"/>
      <c r="B88" s="133"/>
      <c r="C88" s="133"/>
      <c r="D88" s="133"/>
      <c r="E88" s="133"/>
      <c r="F88" s="133"/>
      <c r="G88" s="133"/>
      <c r="H88" s="133"/>
      <c r="I88" s="133"/>
      <c r="J88" s="133"/>
      <c r="K88" s="133"/>
      <c r="L88" s="133"/>
      <c r="M88" s="133"/>
    </row>
    <row r="89" spans="1:13" ht="12.75">
      <c r="A89" s="882"/>
      <c r="B89" s="133"/>
      <c r="C89" s="133"/>
      <c r="D89" s="133"/>
      <c r="E89" s="133"/>
      <c r="F89" s="133"/>
      <c r="G89" s="133"/>
      <c r="H89" s="133"/>
      <c r="I89" s="133"/>
      <c r="J89" s="133"/>
      <c r="K89" s="133"/>
      <c r="L89" s="133"/>
      <c r="M89" s="133"/>
    </row>
    <row r="90" spans="1:13" ht="12.75">
      <c r="A90" s="882"/>
      <c r="B90" s="133"/>
      <c r="C90" s="133"/>
      <c r="D90" s="133"/>
      <c r="E90" s="133"/>
      <c r="F90" s="133"/>
      <c r="G90" s="133"/>
      <c r="H90" s="133"/>
      <c r="I90" s="133"/>
      <c r="J90" s="133"/>
      <c r="K90" s="133"/>
      <c r="L90" s="133"/>
      <c r="M90" s="133"/>
    </row>
    <row r="91" spans="1:13" ht="12.75">
      <c r="A91" s="882"/>
      <c r="B91" s="133"/>
      <c r="C91" s="133"/>
      <c r="D91" s="133"/>
      <c r="E91" s="133"/>
      <c r="F91" s="133"/>
      <c r="G91" s="133"/>
      <c r="H91" s="133"/>
      <c r="I91" s="133"/>
      <c r="J91" s="133"/>
      <c r="K91" s="133"/>
      <c r="L91" s="133"/>
      <c r="M91" s="133"/>
    </row>
    <row r="92" spans="1:13" ht="12.75">
      <c r="A92" s="882"/>
      <c r="B92" s="133"/>
      <c r="C92" s="133"/>
      <c r="D92" s="133"/>
      <c r="E92" s="133"/>
      <c r="F92" s="133"/>
      <c r="G92" s="133"/>
      <c r="H92" s="133"/>
      <c r="I92" s="133"/>
      <c r="J92" s="133"/>
      <c r="K92" s="133"/>
      <c r="L92" s="133"/>
      <c r="M92" s="133"/>
    </row>
    <row r="93" spans="1:13" ht="12.75">
      <c r="A93" s="882"/>
      <c r="B93" s="133"/>
      <c r="C93" s="133"/>
      <c r="D93" s="133"/>
      <c r="E93" s="133"/>
      <c r="F93" s="133"/>
      <c r="G93" s="133"/>
      <c r="H93" s="133"/>
      <c r="I93" s="133"/>
      <c r="J93" s="133"/>
      <c r="K93" s="133"/>
      <c r="L93" s="133"/>
      <c r="M93" s="133"/>
    </row>
    <row r="94" spans="1:13" ht="12.75">
      <c r="A94" s="882"/>
      <c r="B94" s="133"/>
      <c r="C94" s="133"/>
      <c r="D94" s="133"/>
      <c r="E94" s="133"/>
      <c r="F94" s="133"/>
      <c r="G94" s="133"/>
      <c r="H94" s="133"/>
      <c r="I94" s="133"/>
      <c r="J94" s="133"/>
      <c r="K94" s="133"/>
      <c r="L94" s="133"/>
      <c r="M94" s="133"/>
    </row>
    <row r="95" spans="1:13" ht="12.75">
      <c r="A95" s="133"/>
      <c r="B95" s="133"/>
      <c r="C95" s="133"/>
      <c r="D95" s="133"/>
      <c r="E95" s="133"/>
      <c r="F95" s="133"/>
      <c r="G95" s="133"/>
      <c r="H95" s="133"/>
      <c r="I95" s="133"/>
      <c r="J95" s="133"/>
      <c r="K95" s="133"/>
      <c r="L95" s="133"/>
      <c r="M95" s="133"/>
    </row>
    <row r="96" spans="1:13" ht="12.75">
      <c r="A96" s="133"/>
      <c r="B96" s="133"/>
      <c r="C96" s="133"/>
      <c r="D96" s="133"/>
      <c r="E96" s="133"/>
      <c r="F96" s="133"/>
      <c r="G96" s="133"/>
      <c r="H96" s="133"/>
      <c r="I96" s="133"/>
      <c r="J96" s="133"/>
      <c r="K96" s="133"/>
      <c r="L96" s="133"/>
      <c r="M96" s="133"/>
    </row>
    <row r="97" spans="1:13" ht="12.75">
      <c r="A97" s="133"/>
      <c r="B97" s="133"/>
      <c r="C97" s="133"/>
      <c r="D97" s="133"/>
      <c r="E97" s="133"/>
      <c r="F97" s="133"/>
      <c r="G97" s="133"/>
      <c r="H97" s="133"/>
      <c r="I97" s="133"/>
      <c r="J97" s="133"/>
      <c r="K97" s="133"/>
      <c r="L97" s="133"/>
      <c r="M97" s="133"/>
    </row>
    <row r="98" spans="1:13" ht="12.75">
      <c r="A98" s="133"/>
      <c r="B98" s="133"/>
      <c r="C98" s="133"/>
      <c r="D98" s="133"/>
      <c r="E98" s="133"/>
      <c r="F98" s="133"/>
      <c r="G98" s="133"/>
      <c r="H98" s="133"/>
      <c r="I98" s="133"/>
      <c r="J98" s="133"/>
      <c r="K98" s="133"/>
      <c r="L98" s="133"/>
      <c r="M98" s="133"/>
    </row>
  </sheetData>
  <sheetProtection password="A722" sheet="1" objects="1" scenarios="1"/>
  <mergeCells count="35">
    <mergeCell ref="D37:F37"/>
    <mergeCell ref="K37:N37"/>
    <mergeCell ref="M28:N28"/>
    <mergeCell ref="B8:M8"/>
    <mergeCell ref="D17:L20"/>
    <mergeCell ref="D21:L23"/>
    <mergeCell ref="D12:L16"/>
    <mergeCell ref="K34:N34"/>
    <mergeCell ref="M30:N30"/>
    <mergeCell ref="M31:N31"/>
    <mergeCell ref="A4:D4"/>
    <mergeCell ref="F4:J4"/>
    <mergeCell ref="H5:N6"/>
    <mergeCell ref="M4:N4"/>
    <mergeCell ref="A5:F6"/>
    <mergeCell ref="M51:N51"/>
    <mergeCell ref="D45:E45"/>
    <mergeCell ref="L36:N36"/>
    <mergeCell ref="D35:F35"/>
    <mergeCell ref="K39:N39"/>
    <mergeCell ref="E36:F36"/>
    <mergeCell ref="D38:F38"/>
    <mergeCell ref="K38:N38"/>
    <mergeCell ref="K45:M45"/>
    <mergeCell ref="H45:I45"/>
    <mergeCell ref="M54:N54"/>
    <mergeCell ref="M32:N32"/>
    <mergeCell ref="H53:L54"/>
    <mergeCell ref="M52:N52"/>
    <mergeCell ref="A49:N49"/>
    <mergeCell ref="D39:F39"/>
    <mergeCell ref="K35:N35"/>
    <mergeCell ref="A45:B45"/>
    <mergeCell ref="D34:F34"/>
    <mergeCell ref="A48:N48"/>
  </mergeCells>
  <conditionalFormatting sqref="H5 A5">
    <cfRule type="expression" priority="1" dxfId="0" stopIfTrue="1">
      <formula>IP3="mutatieformulier"</formula>
    </cfRule>
  </conditionalFormatting>
  <conditionalFormatting sqref="G5">
    <cfRule type="expression" priority="2" dxfId="1" stopIfTrue="1">
      <formula>A3=4</formula>
    </cfRule>
  </conditionalFormatting>
  <conditionalFormatting sqref="J29">
    <cfRule type="expression" priority="3" dxfId="2" stopIfTrue="1">
      <formula>$G$84&gt;0</formula>
    </cfRule>
  </conditionalFormatting>
  <conditionalFormatting sqref="B29:H29">
    <cfRule type="expression" priority="4" dxfId="3" stopIfTrue="1">
      <formula>$G$84&gt;0</formula>
    </cfRule>
  </conditionalFormatting>
  <conditionalFormatting sqref="B28:H28">
    <cfRule type="expression" priority="5" dxfId="4" stopIfTrue="1">
      <formula>$G$84&gt;0</formula>
    </cfRule>
  </conditionalFormatting>
  <conditionalFormatting sqref="B30:H30">
    <cfRule type="expression" priority="6" dxfId="5" stopIfTrue="1">
      <formula>$G$84&gt;0</formula>
    </cfRule>
  </conditionalFormatting>
  <conditionalFormatting sqref="A28">
    <cfRule type="expression" priority="7" dxfId="6" stopIfTrue="1">
      <formula>$G$84&gt;0</formula>
    </cfRule>
  </conditionalFormatting>
  <conditionalFormatting sqref="A29:A30">
    <cfRule type="expression" priority="8" dxfId="7" stopIfTrue="1">
      <formula>$G$84&gt;0</formula>
    </cfRule>
  </conditionalFormatting>
  <conditionalFormatting sqref="I28">
    <cfRule type="expression" priority="9" dxfId="8" stopIfTrue="1">
      <formula>$G$84&gt;0</formula>
    </cfRule>
  </conditionalFormatting>
  <conditionalFormatting sqref="I30">
    <cfRule type="expression" priority="10" dxfId="9" stopIfTrue="1">
      <formula>$G$84&gt;0</formula>
    </cfRule>
  </conditionalFormatting>
  <conditionalFormatting sqref="G72">
    <cfRule type="expression" priority="11" dxfId="10" stopIfTrue="1">
      <formula>$G$72&gt;0</formula>
    </cfRule>
  </conditionalFormatting>
  <conditionalFormatting sqref="G64">
    <cfRule type="expression" priority="12" dxfId="10" stopIfTrue="1">
      <formula>$G$64&gt;0</formula>
    </cfRule>
  </conditionalFormatting>
  <conditionalFormatting sqref="G68">
    <cfRule type="expression" priority="13" dxfId="10" stopIfTrue="1">
      <formula>$G$68&gt;0</formula>
    </cfRule>
  </conditionalFormatting>
  <conditionalFormatting sqref="G60">
    <cfRule type="expression" priority="14" dxfId="10" stopIfTrue="1">
      <formula>$G$60&gt;0</formula>
    </cfRule>
  </conditionalFormatting>
  <conditionalFormatting sqref="D50:F50 K50:N50 K46:N47 D46:F47">
    <cfRule type="expression" priority="15" dxfId="11" stopIfTrue="1">
      <formula>$D$41=TRUE</formula>
    </cfRule>
  </conditionalFormatting>
  <conditionalFormatting sqref="I39:J40 K40:M40">
    <cfRule type="expression" priority="16" dxfId="12" stopIfTrue="1">
      <formula>$I$41=TRUE</formula>
    </cfRule>
  </conditionalFormatting>
  <conditionalFormatting sqref="J28 J30">
    <cfRule type="expression" priority="17" dxfId="10" stopIfTrue="1">
      <formula>$A$29=1</formula>
    </cfRule>
  </conditionalFormatting>
  <conditionalFormatting sqref="N40 F32 F40 D34:F39 K34:N39">
    <cfRule type="expression" priority="18" dxfId="13" stopIfTrue="1">
      <formula>$D$26=TRUE</formula>
    </cfRule>
  </conditionalFormatting>
  <conditionalFormatting sqref="D25:E25">
    <cfRule type="expression" priority="19" dxfId="1" stopIfTrue="1">
      <formula>$D$26=TRUE</formula>
    </cfRule>
  </conditionalFormatting>
  <conditionalFormatting sqref="A45:B45 H45:I45">
    <cfRule type="expression" priority="20" dxfId="14" stopIfTrue="1">
      <formula>$D$26=TRUE</formula>
    </cfRule>
  </conditionalFormatting>
  <conditionalFormatting sqref="D45:E45 K45:M45">
    <cfRule type="expression" priority="21" dxfId="13" stopIfTrue="1">
      <formula>$D$26=TRUE</formula>
    </cfRule>
  </conditionalFormatting>
  <conditionalFormatting sqref="A42:F44 H42:N44">
    <cfRule type="expression" priority="22" dxfId="10" stopIfTrue="1">
      <formula>$G$84&gt;0</formula>
    </cfRule>
  </conditionalFormatting>
  <conditionalFormatting sqref="A32:D32">
    <cfRule type="expression" priority="23" dxfId="15" stopIfTrue="1">
      <formula>$F$32=0</formula>
    </cfRule>
  </conditionalFormatting>
  <dataValidations count="3">
    <dataValidation type="list" allowBlank="1" showInputMessage="1" showErrorMessage="1" sqref="D36 K36">
      <formula1>"Dhr/Mevr,Dhr,Mevr"</formula1>
    </dataValidation>
    <dataValidation type="list" allowBlank="1" showInputMessage="1" showErrorMessage="1" sqref="F40">
      <formula1>"JA,NEE"</formula1>
    </dataValidation>
    <dataValidation allowBlank="1" showInputMessage="1" showErrorMessage="1" prompt="dd-mm-jj" sqref="G5"/>
  </dataValidations>
  <hyperlinks>
    <hyperlink ref="G25" r:id="rId1" display="care@ctg-zaio.nl"/>
  </hyperlinks>
  <printOptions horizontalCentered="1" verticalCentered="1"/>
  <pageMargins left="0.3937007874015748" right="0.3937007874015748" top="0.1968503937007874" bottom="0.1968503937007874" header="0.5118110236220472" footer="0.11811023622047245"/>
  <pageSetup firstPageNumber="1" useFirstPageNumber="1" horizontalDpi="300" verticalDpi="300" orientation="landscape" paperSize="9" scale="98" r:id="rId4"/>
  <headerFooter alignWithMargins="0">
    <oddFooter>&amp;RPagina &amp;P</oddFooter>
  </headerFooter>
  <drawing r:id="rId3"/>
  <legacyDrawing r:id="rId2"/>
</worksheet>
</file>

<file path=xl/worksheets/sheet2.xml><?xml version="1.0" encoding="utf-8"?>
<worksheet xmlns="http://schemas.openxmlformats.org/spreadsheetml/2006/main" xmlns:r="http://schemas.openxmlformats.org/officeDocument/2006/relationships">
  <sheetPr codeName="Blad8"/>
  <dimension ref="B2:M40"/>
  <sheetViews>
    <sheetView showGridLines="0" workbookViewId="0" topLeftCell="A1">
      <selection activeCell="A1" sqref="A1"/>
    </sheetView>
  </sheetViews>
  <sheetFormatPr defaultColWidth="9.140625" defaultRowHeight="12.75"/>
  <cols>
    <col min="1" max="1" width="3.8515625" style="10" customWidth="1"/>
    <col min="2" max="2" width="3.140625" style="10" customWidth="1"/>
    <col min="3" max="3" width="4.421875" style="10" customWidth="1"/>
    <col min="4" max="4" width="74.28125" style="10" bestFit="1" customWidth="1"/>
    <col min="5" max="5" width="4.28125" style="748" hidden="1" customWidth="1"/>
    <col min="6" max="6" width="9.00390625" style="748" hidden="1" customWidth="1"/>
    <col min="7" max="9" width="9.140625" style="748" hidden="1" customWidth="1"/>
    <col min="10" max="12" width="9.140625" style="10" hidden="1" customWidth="1"/>
    <col min="13" max="16384" width="9.140625" style="10" customWidth="1"/>
  </cols>
  <sheetData>
    <row r="2" spans="2:5" ht="15.75">
      <c r="B2" s="924"/>
      <c r="C2" s="925"/>
      <c r="D2" s="926" t="s">
        <v>545</v>
      </c>
      <c r="E2" s="748">
        <f>voorblad!A3</f>
        <v>1</v>
      </c>
    </row>
    <row r="3" spans="2:4" ht="84.75" customHeight="1">
      <c r="B3" s="927"/>
      <c r="C3" s="928"/>
      <c r="D3" s="929" t="s">
        <v>1833</v>
      </c>
    </row>
    <row r="4" spans="2:6" ht="12.75">
      <c r="B4" s="13"/>
      <c r="C4" s="13"/>
      <c r="D4" s="13"/>
      <c r="E4" s="930"/>
      <c r="F4" s="930"/>
    </row>
    <row r="5" spans="2:6" ht="18" customHeight="1">
      <c r="B5" s="931"/>
      <c r="C5" s="932"/>
      <c r="D5" s="933" t="str">
        <f>IF(E27=0,"Er zijn geen fouten","Er zijn fouten geconstateerd")</f>
        <v>Er zijn fouten geconstateerd</v>
      </c>
      <c r="E5" s="930"/>
      <c r="F5" s="930"/>
    </row>
    <row r="6" spans="2:6" ht="12.75">
      <c r="B6" s="13"/>
      <c r="C6" s="13"/>
      <c r="D6" s="13"/>
      <c r="E6" s="930"/>
      <c r="F6" s="930"/>
    </row>
    <row r="7" spans="2:6" ht="12.75">
      <c r="B7" s="934"/>
      <c r="C7" s="934"/>
      <c r="D7" s="935" t="s">
        <v>78</v>
      </c>
      <c r="E7" s="930"/>
      <c r="F7" s="930"/>
    </row>
    <row r="8" spans="2:6" ht="33.75" customHeight="1">
      <c r="B8" s="936" t="str">
        <f aca="true" t="shared" si="0" ref="B8:B19">IF(E8=0,"√"," ")</f>
        <v> </v>
      </c>
      <c r="C8" s="937" t="str">
        <f aca="true" t="shared" si="1" ref="C8:C19">IF(E8&gt;0,"fout"," ")</f>
        <v>fout</v>
      </c>
      <c r="D8" s="938" t="s">
        <v>1816</v>
      </c>
      <c r="E8" s="930">
        <f>IF(voorblad!A3=1,1,0)</f>
        <v>1</v>
      </c>
      <c r="F8" s="930"/>
    </row>
    <row r="9" spans="2:9" ht="48.75" customHeight="1">
      <c r="B9" s="938" t="str">
        <f t="shared" si="0"/>
        <v>√</v>
      </c>
      <c r="C9" s="937" t="str">
        <f t="shared" si="1"/>
        <v> </v>
      </c>
      <c r="D9" s="938" t="s">
        <v>1129</v>
      </c>
      <c r="E9" s="930">
        <f aca="true" t="shared" si="2" ref="E9:E15">IF(F9+G9=2,1,0)</f>
        <v>0</v>
      </c>
      <c r="F9" s="930">
        <f>IF($E$2=2,1,0)</f>
        <v>0</v>
      </c>
      <c r="G9" s="748">
        <f>IF('0000'!G203&lt;&gt;0,1,0)</f>
        <v>0</v>
      </c>
      <c r="I9" s="930"/>
    </row>
    <row r="10" spans="2:7" ht="53.25" customHeight="1">
      <c r="B10" s="938" t="str">
        <f t="shared" si="0"/>
        <v>√</v>
      </c>
      <c r="C10" s="937" t="str">
        <f t="shared" si="1"/>
        <v> </v>
      </c>
      <c r="D10" s="938" t="s">
        <v>1130</v>
      </c>
      <c r="E10" s="930">
        <f t="shared" si="2"/>
        <v>0</v>
      </c>
      <c r="F10" s="930">
        <f>IF($E$2=3,1,0)</f>
        <v>0</v>
      </c>
      <c r="G10" s="748">
        <f>IF(('0000'!G203+'0000'!G210)&lt;&gt;0,1,0)</f>
        <v>0</v>
      </c>
    </row>
    <row r="11" spans="2:7" ht="29.25" customHeight="1">
      <c r="B11" s="938" t="str">
        <f t="shared" si="0"/>
        <v>√</v>
      </c>
      <c r="C11" s="937" t="str">
        <f t="shared" si="1"/>
        <v> </v>
      </c>
      <c r="D11" s="938" t="s">
        <v>1568</v>
      </c>
      <c r="E11" s="930">
        <f t="shared" si="2"/>
        <v>0</v>
      </c>
      <c r="F11" s="930">
        <f>IF(OR($E$2=3,$E$2=4),1,0)</f>
        <v>0</v>
      </c>
      <c r="G11" s="748">
        <f>IF('0000'!R3&gt;0,1,0)</f>
        <v>0</v>
      </c>
    </row>
    <row r="12" spans="2:8" ht="27" customHeight="1">
      <c r="B12" s="938" t="str">
        <f t="shared" si="0"/>
        <v>√</v>
      </c>
      <c r="C12" s="937" t="str">
        <f t="shared" si="1"/>
        <v> </v>
      </c>
      <c r="D12" s="938" t="s">
        <v>1817</v>
      </c>
      <c r="E12" s="930">
        <f t="shared" si="2"/>
        <v>0</v>
      </c>
      <c r="F12" s="930">
        <f>IF($E$2=4,1,0)</f>
        <v>0</v>
      </c>
      <c r="G12" s="748">
        <f>IF(H12&lt;1,1,0)</f>
        <v>1</v>
      </c>
      <c r="H12" s="748">
        <f>voorblad!G5</f>
        <v>0</v>
      </c>
    </row>
    <row r="13" spans="2:7" ht="48" customHeight="1">
      <c r="B13" s="938" t="str">
        <f t="shared" si="0"/>
        <v>√</v>
      </c>
      <c r="C13" s="937" t="str">
        <f t="shared" si="1"/>
        <v> </v>
      </c>
      <c r="D13" s="938" t="s">
        <v>1818</v>
      </c>
      <c r="E13" s="930">
        <f t="shared" si="2"/>
        <v>0</v>
      </c>
      <c r="F13" s="930">
        <f>IF($E$2=4,1,0)</f>
        <v>0</v>
      </c>
      <c r="G13" s="748">
        <f>IF('0000'!T3=0,0,1)</f>
        <v>0</v>
      </c>
    </row>
    <row r="14" spans="2:7" ht="24" customHeight="1">
      <c r="B14" s="938" t="str">
        <f>IF(E14=0,"√"," ")</f>
        <v>√</v>
      </c>
      <c r="C14" s="937" t="str">
        <f>IF(E14&gt;0,"fout"," ")</f>
        <v> </v>
      </c>
      <c r="D14" s="938" t="s">
        <v>1089</v>
      </c>
      <c r="E14" s="930">
        <f t="shared" si="2"/>
        <v>0</v>
      </c>
      <c r="F14" s="930">
        <f>IF('0000'!S321=0,1,0)</f>
        <v>1</v>
      </c>
      <c r="G14" s="930">
        <f>IF(OR($E$2=3,$E$2=4),1,0)</f>
        <v>0</v>
      </c>
    </row>
    <row r="15" spans="2:7" ht="41.25" customHeight="1">
      <c r="B15" s="938" t="str">
        <f t="shared" si="0"/>
        <v>√</v>
      </c>
      <c r="C15" s="937" t="str">
        <f t="shared" si="1"/>
        <v> </v>
      </c>
      <c r="D15" s="938" t="s">
        <v>1131</v>
      </c>
      <c r="E15" s="930">
        <f t="shared" si="2"/>
        <v>0</v>
      </c>
      <c r="F15" s="930">
        <f>IF($E$2=2,1,0)</f>
        <v>0</v>
      </c>
      <c r="G15" s="748">
        <f>IF('0000'!F90&gt;'0000'!E90,1,0)</f>
        <v>0</v>
      </c>
    </row>
    <row r="16" spans="2:8" ht="26.25" customHeight="1">
      <c r="B16" s="938" t="str">
        <f t="shared" si="0"/>
        <v> </v>
      </c>
      <c r="C16" s="937" t="str">
        <f t="shared" si="1"/>
        <v>fout</v>
      </c>
      <c r="D16" s="938" t="s">
        <v>1569</v>
      </c>
      <c r="E16" s="748">
        <f>IF(G16=1,0,F16)</f>
        <v>1</v>
      </c>
      <c r="F16" s="748">
        <f>IF(G16=0,'0000'!Q3,0)</f>
        <v>1</v>
      </c>
      <c r="G16" s="748">
        <f>IF(H16=TRUE,1,0)</f>
        <v>0</v>
      </c>
      <c r="H16" s="748" t="b">
        <f>ISNA('0000'!Q3)</f>
        <v>0</v>
      </c>
    </row>
    <row r="17" spans="2:5" ht="39.75" customHeight="1">
      <c r="B17" s="938" t="str">
        <f t="shared" si="0"/>
        <v>√</v>
      </c>
      <c r="C17" s="937" t="str">
        <f t="shared" si="1"/>
        <v> </v>
      </c>
      <c r="D17" s="938" t="s">
        <v>1426</v>
      </c>
      <c r="E17" s="748">
        <f>G16</f>
        <v>0</v>
      </c>
    </row>
    <row r="18" spans="2:10" ht="39" customHeight="1">
      <c r="B18" s="938" t="str">
        <f>IF(E18=0,"√"," ")</f>
        <v>√</v>
      </c>
      <c r="C18" s="937" t="str">
        <f>IF(E18&gt;0,"fout"," ")</f>
        <v> </v>
      </c>
      <c r="D18" s="938" t="s">
        <v>658</v>
      </c>
      <c r="E18" s="930">
        <f>IF(H18&lt;1,1,0)</f>
        <v>0</v>
      </c>
      <c r="F18" s="939">
        <f>voorblad!N29</f>
        <v>38999</v>
      </c>
      <c r="G18" s="940">
        <f>J18</f>
        <v>38791</v>
      </c>
      <c r="H18" s="940">
        <f>IF(E2=2,G18-F18,1)</f>
        <v>1</v>
      </c>
      <c r="J18" s="1051">
        <f>voorblad!U29</f>
        <v>38791</v>
      </c>
    </row>
    <row r="19" spans="2:13" ht="36" customHeight="1">
      <c r="B19" s="938" t="str">
        <f t="shared" si="0"/>
        <v>√</v>
      </c>
      <c r="C19" s="937" t="str">
        <f t="shared" si="1"/>
        <v> </v>
      </c>
      <c r="D19" s="938" t="s">
        <v>1839</v>
      </c>
      <c r="E19" s="930">
        <f>IF(H19&lt;1,1,0)</f>
        <v>0</v>
      </c>
      <c r="F19" s="939">
        <f>voorblad!N29</f>
        <v>38999</v>
      </c>
      <c r="G19" s="940">
        <f>J19</f>
        <v>39114</v>
      </c>
      <c r="H19" s="940">
        <f>G19-F19</f>
        <v>115</v>
      </c>
      <c r="J19" s="1051">
        <f>voorblad!U30</f>
        <v>39114</v>
      </c>
      <c r="M19" s="972"/>
    </row>
    <row r="20" spans="2:10" ht="30" customHeight="1">
      <c r="B20" s="938" t="str">
        <f>IF(E20=0,"√"," ")</f>
        <v>√</v>
      </c>
      <c r="C20" s="937" t="str">
        <f aca="true" t="shared" si="3" ref="C20:C26">IF(E20&gt;0,"fout"," ")</f>
        <v> </v>
      </c>
      <c r="D20" s="938" t="s">
        <v>307</v>
      </c>
      <c r="E20" s="930">
        <f>IF(F20+G20+I20=3,1,0)</f>
        <v>0</v>
      </c>
      <c r="F20" s="930">
        <f>IF($E$2=2,1,0)</f>
        <v>0</v>
      </c>
      <c r="G20" s="748">
        <f>IF(H20&gt;0,1,0)</f>
        <v>0</v>
      </c>
      <c r="H20" s="748">
        <f>SUM('0000'!E189:E199)</f>
        <v>0</v>
      </c>
      <c r="I20" s="748">
        <f>IF(J20=0,1,0)</f>
        <v>1</v>
      </c>
      <c r="J20" s="10">
        <f>'0000'!E226</f>
        <v>0</v>
      </c>
    </row>
    <row r="21" spans="2:11" ht="29.25" customHeight="1">
      <c r="B21" s="938" t="str">
        <f>IF(E21=0,"√"," ")</f>
        <v>√</v>
      </c>
      <c r="C21" s="937" t="str">
        <f t="shared" si="3"/>
        <v> </v>
      </c>
      <c r="D21" s="938" t="s">
        <v>308</v>
      </c>
      <c r="E21" s="930">
        <f>IF((F21+G21+I21+K21)=4,1,0)</f>
        <v>0</v>
      </c>
      <c r="F21" s="930">
        <f>IF($E$2=2,1,0)</f>
        <v>0</v>
      </c>
      <c r="G21" s="748">
        <f>IF(H21=0,1,0)</f>
        <v>1</v>
      </c>
      <c r="H21" s="748">
        <f>SUM('0000'!E189:E199)</f>
        <v>0</v>
      </c>
      <c r="I21" s="748">
        <f>IF(J21&gt;0,1,0)</f>
        <v>0</v>
      </c>
      <c r="J21" s="941">
        <f>SUM('0000'!G301:H305)</f>
        <v>0</v>
      </c>
      <c r="K21" s="10">
        <f>IF('0000'!E227=0,1,0)</f>
        <v>1</v>
      </c>
    </row>
    <row r="22" spans="2:7" ht="63.75">
      <c r="B22" s="938" t="str">
        <f>IF(E22=0,"√"," ")</f>
        <v>√</v>
      </c>
      <c r="C22" s="937" t="str">
        <f t="shared" si="3"/>
        <v> </v>
      </c>
      <c r="D22" s="938" t="s">
        <v>1840</v>
      </c>
      <c r="E22" s="930">
        <f>IF(F22&gt;200,1,0)</f>
        <v>0</v>
      </c>
      <c r="F22" s="930">
        <f>IF(G22&lt;0,-G22,G22)</f>
        <v>0</v>
      </c>
      <c r="G22" s="942">
        <f>'0000'!Y285</f>
        <v>0</v>
      </c>
    </row>
    <row r="23" spans="2:12" ht="25.5">
      <c r="B23" s="938" t="str">
        <f>IF(E23=0,"√"," ")</f>
        <v>√</v>
      </c>
      <c r="C23" s="937" t="str">
        <f>IF(E23&gt;0,"fout"," ")</f>
        <v> </v>
      </c>
      <c r="D23" s="938" t="s">
        <v>52</v>
      </c>
      <c r="E23" s="930">
        <f>IF(F23+G23=2,1,0)</f>
        <v>0</v>
      </c>
      <c r="F23" s="748">
        <f>IF(NAW!AB240=1,1,0)</f>
        <v>0</v>
      </c>
      <c r="G23" s="748">
        <f>IF(SUM(H23:L23)&gt;0,1,0)</f>
        <v>0</v>
      </c>
      <c r="H23" s="748">
        <f>IF('0000'!$F169&lt;&gt;0,1,0)</f>
        <v>0</v>
      </c>
      <c r="I23" s="748">
        <f>IF('0000'!$F170&lt;&gt;0,1,0)</f>
        <v>0</v>
      </c>
      <c r="J23" s="748">
        <f>IF('0000'!$F171&lt;&gt;0,1,0)</f>
        <v>0</v>
      </c>
      <c r="K23" s="748">
        <f>IF('0000'!$F173&lt;&gt;0,1,0)</f>
        <v>0</v>
      </c>
      <c r="L23" s="748">
        <f>IF('0000'!$F175&lt;&gt;0,1,0)</f>
        <v>0</v>
      </c>
    </row>
    <row r="24" spans="2:11" ht="25.5">
      <c r="B24" s="938" t="str">
        <f>IF(E24=0,"√"," ")</f>
        <v>√</v>
      </c>
      <c r="C24" s="937" t="str">
        <f>IF(E24&gt;0,"fout"," ")</f>
        <v> </v>
      </c>
      <c r="D24" s="938" t="s">
        <v>53</v>
      </c>
      <c r="E24" s="930">
        <f>IF(F24+G24=2,1,0)</f>
        <v>0</v>
      </c>
      <c r="F24" s="748">
        <f>IF(NAW!AB240=0,1,0)</f>
        <v>1</v>
      </c>
      <c r="G24" s="748">
        <f>IF(SUM(H24:L24)&gt;0,1,0)</f>
        <v>0</v>
      </c>
      <c r="H24" s="748">
        <f>IF(Extramuraal!$H132&lt;&gt;0,1,0)</f>
        <v>0</v>
      </c>
      <c r="I24" s="748">
        <f>IF(Extramuraal!$H133&lt;&gt;0,1,0)</f>
        <v>0</v>
      </c>
      <c r="J24" s="748">
        <f>IF(Extramuraal!$H136&lt;&gt;0,1,0)</f>
        <v>0</v>
      </c>
      <c r="K24" s="748">
        <f>IF(Extramuraal!$H139&lt;&gt;0,1,0)</f>
        <v>0</v>
      </c>
    </row>
    <row r="25" spans="2:3" ht="12.75">
      <c r="B25" s="943"/>
      <c r="C25" s="943" t="str">
        <f t="shared" si="3"/>
        <v> </v>
      </c>
    </row>
    <row r="26" spans="2:3" ht="12.75">
      <c r="B26" s="943"/>
      <c r="C26" s="943" t="str">
        <f t="shared" si="3"/>
        <v> </v>
      </c>
    </row>
    <row r="27" ht="13.5" thickBot="1">
      <c r="E27" s="944">
        <f>SUM(E8:E26)</f>
        <v>2</v>
      </c>
    </row>
    <row r="28" ht="13.5" thickTop="1"/>
    <row r="40" spans="2:3" ht="12.75">
      <c r="B40" s="943"/>
      <c r="C40" s="943"/>
    </row>
  </sheetData>
  <sheetProtection password="A722" sheet="1" objects="1" scenarios="1"/>
  <printOptions/>
  <pageMargins left="0.7874015748031497" right="0.7874015748031497" top="0.7874015748031497" bottom="0.7874015748031497" header="0.5118110236220472" footer="0.5118110236220472"/>
  <pageSetup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dimension ref="A1:N85"/>
  <sheetViews>
    <sheetView showGridLines="0" zoomScale="110" zoomScaleNormal="110" workbookViewId="0" topLeftCell="A1">
      <pane ySplit="4" topLeftCell="BM5" activePane="bottomLeft" state="frozen"/>
      <selection pane="topLeft" activeCell="A2" sqref="A2"/>
      <selection pane="bottomLeft" activeCell="A2" sqref="A2"/>
    </sheetView>
  </sheetViews>
  <sheetFormatPr defaultColWidth="9.140625" defaultRowHeight="12.75"/>
  <cols>
    <col min="1" max="1" width="3.28125" style="0" customWidth="1"/>
    <col min="2" max="2" width="15.00390625" style="0" customWidth="1"/>
    <col min="3" max="3" width="23.8515625" style="0" customWidth="1"/>
    <col min="4" max="4" width="17.00390625" style="0" customWidth="1"/>
    <col min="7" max="7" width="21.00390625" style="0" customWidth="1"/>
    <col min="9" max="9" width="9.421875" style="0" customWidth="1"/>
  </cols>
  <sheetData>
    <row r="1" spans="1:11" ht="12.75">
      <c r="A1" s="229"/>
      <c r="B1" s="230"/>
      <c r="C1" s="231"/>
      <c r="D1" s="230"/>
      <c r="E1" s="230"/>
      <c r="F1" s="232"/>
      <c r="G1" s="229"/>
      <c r="H1" s="230"/>
      <c r="I1" s="233"/>
      <c r="J1" s="234"/>
      <c r="K1" s="230"/>
    </row>
    <row r="2" spans="1:11" ht="12.75">
      <c r="A2" s="235" t="s">
        <v>1507</v>
      </c>
      <c r="B2" s="236"/>
      <c r="C2" s="237"/>
      <c r="D2" s="238"/>
      <c r="E2" s="239"/>
      <c r="F2" s="238"/>
      <c r="G2" s="238"/>
      <c r="H2" s="236"/>
      <c r="I2" s="239"/>
      <c r="J2" s="239"/>
      <c r="K2" s="945"/>
    </row>
    <row r="3" spans="1:11" ht="15" customHeight="1">
      <c r="A3" s="244" t="s">
        <v>140</v>
      </c>
      <c r="B3" s="241"/>
      <c r="C3" s="241"/>
      <c r="D3" s="241"/>
      <c r="E3" s="241"/>
      <c r="F3" s="242"/>
      <c r="G3" s="240"/>
      <c r="H3" s="241"/>
      <c r="I3" s="241"/>
      <c r="J3" s="243"/>
      <c r="K3" s="241"/>
    </row>
    <row r="4" spans="2:11" ht="13.5" customHeight="1">
      <c r="B4" s="202"/>
      <c r="C4" s="245"/>
      <c r="D4" s="202"/>
      <c r="E4" s="202"/>
      <c r="F4" s="202"/>
      <c r="G4" s="202"/>
      <c r="H4" s="202"/>
      <c r="I4" s="202"/>
      <c r="J4" s="202"/>
      <c r="K4" s="202"/>
    </row>
    <row r="5" spans="1:11" ht="11.25" customHeight="1">
      <c r="A5" s="244" t="s">
        <v>1701</v>
      </c>
      <c r="B5" s="202"/>
      <c r="C5" s="245"/>
      <c r="D5" s="202"/>
      <c r="E5" s="202"/>
      <c r="F5" s="202"/>
      <c r="G5" s="202"/>
      <c r="H5" s="202"/>
      <c r="I5" s="202"/>
      <c r="J5" s="202"/>
      <c r="K5" s="202"/>
    </row>
    <row r="6" spans="1:11" ht="85.5" customHeight="1">
      <c r="A6" s="1166" t="s">
        <v>23</v>
      </c>
      <c r="B6" s="1183"/>
      <c r="C6" s="1183"/>
      <c r="D6" s="1183"/>
      <c r="E6" s="1183"/>
      <c r="F6" s="1183"/>
      <c r="G6" s="1183"/>
      <c r="H6" s="1183"/>
      <c r="I6" s="1183"/>
      <c r="J6" s="1183"/>
      <c r="K6" s="1183"/>
    </row>
    <row r="7" spans="1:11" ht="16.5" customHeight="1">
      <c r="A7" s="1166" t="s">
        <v>330</v>
      </c>
      <c r="B7" s="1183"/>
      <c r="C7" s="1183"/>
      <c r="D7" s="1183"/>
      <c r="E7" s="1183"/>
      <c r="F7" s="1183"/>
      <c r="G7" s="1183"/>
      <c r="H7" s="1183"/>
      <c r="I7" s="1183"/>
      <c r="J7" s="1183"/>
      <c r="K7" s="1183"/>
    </row>
    <row r="8" spans="1:11" ht="37.5" customHeight="1">
      <c r="A8" s="1166" t="s">
        <v>24</v>
      </c>
      <c r="B8" s="1183"/>
      <c r="C8" s="1183"/>
      <c r="D8" s="1183"/>
      <c r="E8" s="1183"/>
      <c r="F8" s="1183"/>
      <c r="G8" s="1183"/>
      <c r="H8" s="1183"/>
      <c r="I8" s="1183"/>
      <c r="J8" s="1183"/>
      <c r="K8" s="1183"/>
    </row>
    <row r="9" spans="1:11" ht="13.5" customHeight="1">
      <c r="A9" s="850" t="s">
        <v>2331</v>
      </c>
      <c r="B9" s="464"/>
      <c r="C9" s="464"/>
      <c r="D9" s="464"/>
      <c r="E9" s="464"/>
      <c r="F9" s="464"/>
      <c r="G9" s="464"/>
      <c r="H9" s="464"/>
      <c r="I9" s="464"/>
      <c r="J9" s="464"/>
      <c r="K9" s="464"/>
    </row>
    <row r="10" spans="1:11" ht="13.5" customHeight="1">
      <c r="A10" s="783" t="s">
        <v>646</v>
      </c>
      <c r="B10" s="784"/>
      <c r="C10" s="784"/>
      <c r="D10" s="785"/>
      <c r="E10" s="785"/>
      <c r="F10" s="786"/>
      <c r="G10" s="778" t="s">
        <v>644</v>
      </c>
      <c r="H10" s="1155" t="s">
        <v>645</v>
      </c>
      <c r="I10" s="1156"/>
      <c r="J10" s="1155" t="s">
        <v>645</v>
      </c>
      <c r="K10" s="1156"/>
    </row>
    <row r="11" spans="1:11" ht="13.5" customHeight="1">
      <c r="A11" s="781"/>
      <c r="B11" s="780"/>
      <c r="C11" s="780"/>
      <c r="D11" s="780"/>
      <c r="E11" s="638"/>
      <c r="F11" s="782"/>
      <c r="G11" s="779" t="s">
        <v>565</v>
      </c>
      <c r="H11" s="1155" t="s">
        <v>564</v>
      </c>
      <c r="I11" s="1156"/>
      <c r="J11" s="1155" t="s">
        <v>1415</v>
      </c>
      <c r="K11" s="1156"/>
    </row>
    <row r="12" spans="1:11" ht="13.5" customHeight="1">
      <c r="A12" s="783" t="s">
        <v>1835</v>
      </c>
      <c r="B12" s="787"/>
      <c r="C12" s="787"/>
      <c r="D12" s="787"/>
      <c r="E12" s="787"/>
      <c r="F12" s="788"/>
      <c r="G12" s="794" t="s">
        <v>1410</v>
      </c>
      <c r="H12" s="792"/>
      <c r="I12" s="793"/>
      <c r="J12" s="792"/>
      <c r="K12" s="793"/>
    </row>
    <row r="13" spans="1:11" ht="13.5" customHeight="1">
      <c r="A13" s="789" t="s">
        <v>1836</v>
      </c>
      <c r="B13" s="790"/>
      <c r="C13" s="790"/>
      <c r="D13" s="790"/>
      <c r="E13" s="790"/>
      <c r="F13" s="791"/>
      <c r="G13" s="795"/>
      <c r="H13" s="1150" t="s">
        <v>1410</v>
      </c>
      <c r="I13" s="1151"/>
      <c r="J13" s="792"/>
      <c r="K13" s="793"/>
    </row>
    <row r="14" spans="1:11" ht="12.75" customHeight="1">
      <c r="A14" s="779" t="s">
        <v>563</v>
      </c>
      <c r="B14" s="780"/>
      <c r="C14" s="780"/>
      <c r="D14" s="780"/>
      <c r="E14" s="780"/>
      <c r="F14" s="782"/>
      <c r="G14" s="795"/>
      <c r="H14" s="792"/>
      <c r="I14" s="793"/>
      <c r="J14" s="1150" t="s">
        <v>1410</v>
      </c>
      <c r="K14" s="1151"/>
    </row>
    <row r="15" spans="2:11" ht="11.25" customHeight="1">
      <c r="B15" s="790"/>
      <c r="C15" s="790"/>
      <c r="D15" s="790"/>
      <c r="E15" s="790"/>
      <c r="F15" s="790"/>
      <c r="G15" s="796"/>
      <c r="H15" s="796"/>
      <c r="I15" s="796"/>
      <c r="J15" s="797"/>
      <c r="K15" s="798"/>
    </row>
    <row r="16" spans="1:11" ht="14.25" customHeight="1">
      <c r="A16" s="838" t="s">
        <v>2218</v>
      </c>
      <c r="B16" s="790"/>
      <c r="C16" s="790"/>
      <c r="D16" s="790"/>
      <c r="E16" s="790"/>
      <c r="F16" s="790"/>
      <c r="G16" s="796"/>
      <c r="H16" s="796"/>
      <c r="I16" s="796"/>
      <c r="J16" s="797"/>
      <c r="K16" s="798"/>
    </row>
    <row r="17" spans="2:11" ht="15" customHeight="1">
      <c r="B17" s="790"/>
      <c r="C17" s="790"/>
      <c r="D17" s="790"/>
      <c r="E17" s="790"/>
      <c r="F17" s="790"/>
      <c r="G17" s="796"/>
      <c r="H17" s="796"/>
      <c r="I17" s="796"/>
      <c r="J17" s="797"/>
      <c r="K17" s="798"/>
    </row>
    <row r="18" spans="1:14" ht="110.25" customHeight="1">
      <c r="A18" s="1153" t="s">
        <v>2127</v>
      </c>
      <c r="B18" s="1154"/>
      <c r="C18" s="1154"/>
      <c r="D18" s="1154"/>
      <c r="E18" s="1154"/>
      <c r="F18" s="1154"/>
      <c r="G18" s="1154"/>
      <c r="H18" s="1154"/>
      <c r="I18" s="1154"/>
      <c r="J18" s="1154"/>
      <c r="K18" s="1154"/>
      <c r="L18" s="1055"/>
      <c r="M18" s="1055"/>
      <c r="N18" s="1055"/>
    </row>
    <row r="19" spans="1:11" ht="29.25" customHeight="1">
      <c r="A19" s="1166" t="s">
        <v>1837</v>
      </c>
      <c r="B19" s="1183"/>
      <c r="C19" s="1183"/>
      <c r="D19" s="1183"/>
      <c r="E19" s="1183"/>
      <c r="F19" s="1183"/>
      <c r="G19" s="1183"/>
      <c r="H19" s="1183"/>
      <c r="I19" s="1183"/>
      <c r="J19" s="1183"/>
      <c r="K19" s="1183"/>
    </row>
    <row r="20" spans="1:11" ht="39.75" customHeight="1">
      <c r="A20" s="1166" t="s">
        <v>1838</v>
      </c>
      <c r="B20" s="1183"/>
      <c r="C20" s="1183"/>
      <c r="D20" s="1183"/>
      <c r="E20" s="1183"/>
      <c r="F20" s="1183"/>
      <c r="G20" s="1183"/>
      <c r="H20" s="1183"/>
      <c r="I20" s="1183"/>
      <c r="J20" s="1183"/>
      <c r="K20" s="1183"/>
    </row>
    <row r="21" spans="1:11" ht="42" customHeight="1">
      <c r="A21" s="1166" t="s">
        <v>1</v>
      </c>
      <c r="B21" s="1183"/>
      <c r="C21" s="1183"/>
      <c r="D21" s="1183"/>
      <c r="E21" s="1183"/>
      <c r="F21" s="1183"/>
      <c r="G21" s="1183"/>
      <c r="H21" s="1183"/>
      <c r="I21" s="1183"/>
      <c r="J21" s="1183"/>
      <c r="K21" s="1183"/>
    </row>
    <row r="22" spans="1:11" ht="63" customHeight="1">
      <c r="A22" s="1166" t="s">
        <v>54</v>
      </c>
      <c r="B22" s="1183"/>
      <c r="C22" s="1183"/>
      <c r="D22" s="1183"/>
      <c r="E22" s="1183"/>
      <c r="F22" s="1183"/>
      <c r="G22" s="1183"/>
      <c r="H22" s="1183"/>
      <c r="I22" s="1183"/>
      <c r="J22" s="1183"/>
      <c r="K22" s="1183"/>
    </row>
    <row r="23" spans="1:11" ht="13.5" customHeight="1">
      <c r="A23" s="1166" t="s">
        <v>2128</v>
      </c>
      <c r="B23" s="1183"/>
      <c r="C23" s="1183"/>
      <c r="D23" s="1183"/>
      <c r="E23" s="1183"/>
      <c r="F23" s="1183"/>
      <c r="G23" s="1183"/>
      <c r="H23" s="1183"/>
      <c r="I23" s="1183"/>
      <c r="J23" s="1183"/>
      <c r="K23" s="1183"/>
    </row>
    <row r="24" spans="1:11" ht="14.25" customHeight="1">
      <c r="A24" s="1166" t="s">
        <v>790</v>
      </c>
      <c r="B24" s="1183"/>
      <c r="C24" s="1183"/>
      <c r="D24" s="1183"/>
      <c r="E24" s="1183"/>
      <c r="F24" s="1183"/>
      <c r="G24" s="1183"/>
      <c r="H24" s="1183"/>
      <c r="I24" s="1183"/>
      <c r="J24" s="1183"/>
      <c r="K24" s="1183"/>
    </row>
    <row r="25" spans="1:11" ht="52.5" customHeight="1">
      <c r="A25" s="1166" t="s">
        <v>2129</v>
      </c>
      <c r="B25" s="1183"/>
      <c r="C25" s="1183"/>
      <c r="D25" s="1183"/>
      <c r="E25" s="1183"/>
      <c r="F25" s="1183"/>
      <c r="G25" s="1183"/>
      <c r="H25" s="1183"/>
      <c r="I25" s="1183"/>
      <c r="J25" s="1183"/>
      <c r="K25" s="1183"/>
    </row>
    <row r="26" spans="1:11" ht="8.25" customHeight="1">
      <c r="A26" s="1166"/>
      <c r="B26" s="1183"/>
      <c r="C26" s="1183"/>
      <c r="D26" s="1183"/>
      <c r="E26" s="1183"/>
      <c r="F26" s="1183"/>
      <c r="G26" s="1183"/>
      <c r="H26" s="1183"/>
      <c r="I26" s="1183"/>
      <c r="J26" s="1183"/>
      <c r="K26" s="1183"/>
    </row>
    <row r="27" spans="1:11" ht="12.75">
      <c r="A27" s="246" t="s">
        <v>1699</v>
      </c>
      <c r="B27" s="202"/>
      <c r="C27" s="245"/>
      <c r="D27" s="202"/>
      <c r="E27" s="202"/>
      <c r="F27" s="202"/>
      <c r="G27" s="202"/>
      <c r="H27" s="202"/>
      <c r="I27" s="202"/>
      <c r="J27" s="202"/>
      <c r="K27" s="202"/>
    </row>
    <row r="28" spans="1:10" ht="12.75">
      <c r="A28" s="817" t="s">
        <v>141</v>
      </c>
      <c r="B28" s="202" t="s">
        <v>932</v>
      </c>
      <c r="C28" s="99"/>
      <c r="E28" s="247" t="s">
        <v>1733</v>
      </c>
      <c r="F28" s="202" t="s">
        <v>1115</v>
      </c>
      <c r="H28" s="99"/>
      <c r="I28" s="99"/>
      <c r="J28" s="99"/>
    </row>
    <row r="29" spans="1:10" ht="12.75">
      <c r="A29" s="817" t="s">
        <v>142</v>
      </c>
      <c r="B29" s="202" t="s">
        <v>1110</v>
      </c>
      <c r="C29" s="99"/>
      <c r="E29" s="247" t="s">
        <v>1732</v>
      </c>
      <c r="F29" s="202" t="s">
        <v>1116</v>
      </c>
      <c r="G29" s="202"/>
      <c r="H29" s="99"/>
      <c r="I29" s="99"/>
      <c r="J29" s="99"/>
    </row>
    <row r="30" spans="1:10" ht="12.75">
      <c r="A30" s="817" t="s">
        <v>1760</v>
      </c>
      <c r="B30" s="202" t="s">
        <v>1111</v>
      </c>
      <c r="C30" s="99"/>
      <c r="E30" s="247" t="s">
        <v>683</v>
      </c>
      <c r="F30" s="99" t="s">
        <v>1117</v>
      </c>
      <c r="G30" s="202"/>
      <c r="H30" s="202"/>
      <c r="I30" s="99"/>
      <c r="J30" s="99"/>
    </row>
    <row r="31" spans="1:10" ht="12.75">
      <c r="A31" s="817" t="s">
        <v>668</v>
      </c>
      <c r="B31" s="99" t="s">
        <v>2130</v>
      </c>
      <c r="C31" s="99"/>
      <c r="E31" s="247" t="s">
        <v>684</v>
      </c>
      <c r="F31" s="99" t="s">
        <v>569</v>
      </c>
      <c r="G31" s="202"/>
      <c r="H31" s="202"/>
      <c r="I31" s="99"/>
      <c r="J31" s="99"/>
    </row>
    <row r="32" spans="1:10" ht="12.75">
      <c r="A32" s="817" t="s">
        <v>669</v>
      </c>
      <c r="B32" s="202" t="s">
        <v>1086</v>
      </c>
      <c r="C32" s="99"/>
      <c r="E32" s="247" t="s">
        <v>567</v>
      </c>
      <c r="F32" s="202" t="s">
        <v>2045</v>
      </c>
      <c r="G32" s="202"/>
      <c r="H32" s="202"/>
      <c r="I32" s="99"/>
      <c r="J32" s="99"/>
    </row>
    <row r="33" spans="1:10" ht="12.75">
      <c r="A33" s="817" t="s">
        <v>1750</v>
      </c>
      <c r="B33" s="202" t="s">
        <v>2131</v>
      </c>
      <c r="C33" s="99"/>
      <c r="E33" s="247" t="s">
        <v>566</v>
      </c>
      <c r="F33" s="202" t="s">
        <v>677</v>
      </c>
      <c r="G33" s="202"/>
      <c r="H33" s="202"/>
      <c r="I33" s="99"/>
      <c r="J33" s="99"/>
    </row>
    <row r="34" spans="1:10" ht="12.75">
      <c r="A34" s="817" t="s">
        <v>933</v>
      </c>
      <c r="B34" s="202" t="s">
        <v>1113</v>
      </c>
      <c r="C34" s="99"/>
      <c r="E34" s="247" t="s">
        <v>1389</v>
      </c>
      <c r="F34" s="202" t="s">
        <v>568</v>
      </c>
      <c r="G34" s="202"/>
      <c r="H34" s="202"/>
      <c r="I34" s="99"/>
      <c r="J34" s="99"/>
    </row>
    <row r="35" spans="1:10" ht="12.75">
      <c r="A35" s="817" t="s">
        <v>931</v>
      </c>
      <c r="B35" s="202" t="s">
        <v>2132</v>
      </c>
      <c r="C35" s="99"/>
      <c r="E35" s="247" t="s">
        <v>1390</v>
      </c>
      <c r="F35" s="202" t="s">
        <v>934</v>
      </c>
      <c r="G35" s="202"/>
      <c r="H35" s="202"/>
      <c r="I35" s="99"/>
      <c r="J35" s="99"/>
    </row>
    <row r="36" spans="1:10" ht="12.75">
      <c r="A36" s="817" t="s">
        <v>1734</v>
      </c>
      <c r="B36" s="202" t="s">
        <v>1114</v>
      </c>
      <c r="C36" s="99"/>
      <c r="E36" s="247" t="s">
        <v>1391</v>
      </c>
      <c r="F36" s="202" t="s">
        <v>1392</v>
      </c>
      <c r="G36" s="202"/>
      <c r="H36" s="202"/>
      <c r="I36" s="99"/>
      <c r="J36" s="99"/>
    </row>
    <row r="37" spans="1:10" ht="12.75">
      <c r="A37" s="817" t="s">
        <v>1735</v>
      </c>
      <c r="B37" s="202" t="s">
        <v>1388</v>
      </c>
      <c r="C37" s="99"/>
      <c r="E37" s="247" t="s">
        <v>455</v>
      </c>
      <c r="F37" s="202" t="s">
        <v>457</v>
      </c>
      <c r="G37" s="202"/>
      <c r="H37" s="202"/>
      <c r="I37" s="99"/>
      <c r="J37" s="99"/>
    </row>
    <row r="39" spans="1:11" ht="13.5" customHeight="1">
      <c r="A39" s="1157" t="s">
        <v>1436</v>
      </c>
      <c r="B39" s="1158"/>
      <c r="C39" s="1158"/>
      <c r="D39" s="1158"/>
      <c r="E39" s="1158"/>
      <c r="F39" s="1158"/>
      <c r="G39" s="1158"/>
      <c r="H39" s="1158"/>
      <c r="I39" s="1158"/>
      <c r="J39" s="1158"/>
      <c r="K39" s="1158"/>
    </row>
    <row r="40" spans="1:11" ht="14.25" customHeight="1">
      <c r="A40" s="465" t="s">
        <v>630</v>
      </c>
      <c r="B40" s="291" t="s">
        <v>932</v>
      </c>
      <c r="C40" s="462"/>
      <c r="D40" s="248"/>
      <c r="E40" s="248"/>
      <c r="F40" s="202"/>
      <c r="G40" s="248"/>
      <c r="H40" s="248"/>
      <c r="I40" s="248"/>
      <c r="J40" s="248"/>
      <c r="K40" s="202"/>
    </row>
    <row r="41" spans="1:11" ht="62.25" customHeight="1">
      <c r="A41" s="1166" t="s">
        <v>2133</v>
      </c>
      <c r="B41" s="1166"/>
      <c r="C41" s="1166"/>
      <c r="D41" s="1166"/>
      <c r="E41" s="1166"/>
      <c r="F41" s="1166"/>
      <c r="G41" s="1166"/>
      <c r="H41" s="1166"/>
      <c r="I41" s="1166"/>
      <c r="J41" s="1166"/>
      <c r="K41" s="1166"/>
    </row>
    <row r="42" spans="1:11" ht="6.75" customHeight="1">
      <c r="A42" s="488"/>
      <c r="B42" s="296"/>
      <c r="C42" s="281"/>
      <c r="D42" s="281"/>
      <c r="E42" s="281"/>
      <c r="F42" s="281"/>
      <c r="G42" s="281"/>
      <c r="H42" s="281"/>
      <c r="I42" s="281"/>
      <c r="J42" s="281"/>
      <c r="K42" s="281"/>
    </row>
    <row r="43" spans="1:11" ht="72.75" customHeight="1">
      <c r="A43" s="1166" t="s">
        <v>1135</v>
      </c>
      <c r="B43" s="1152"/>
      <c r="C43" s="1152"/>
      <c r="D43" s="1152"/>
      <c r="E43" s="1152"/>
      <c r="F43" s="1152"/>
      <c r="G43" s="1152"/>
      <c r="H43" s="1152"/>
      <c r="I43" s="1152"/>
      <c r="J43" s="1152"/>
      <c r="K43" s="1152"/>
    </row>
    <row r="44" spans="1:11" ht="12.75">
      <c r="A44" s="465" t="s">
        <v>142</v>
      </c>
      <c r="B44" s="291" t="s">
        <v>1110</v>
      </c>
      <c r="C44" s="249"/>
      <c r="D44" s="250"/>
      <c r="E44" s="85"/>
      <c r="F44" s="250"/>
      <c r="G44" s="250"/>
      <c r="H44" s="250"/>
      <c r="I44" s="250"/>
      <c r="J44" s="250"/>
      <c r="K44" s="250"/>
    </row>
    <row r="45" spans="1:11" ht="61.5" customHeight="1">
      <c r="A45" s="1166" t="s">
        <v>642</v>
      </c>
      <c r="B45" s="1164"/>
      <c r="C45" s="1164"/>
      <c r="D45" s="1164"/>
      <c r="E45" s="1164"/>
      <c r="F45" s="1164"/>
      <c r="G45" s="1164"/>
      <c r="H45" s="1164"/>
      <c r="I45" s="1164"/>
      <c r="J45" s="1164"/>
      <c r="K45" s="1164"/>
    </row>
    <row r="46" spans="1:11" ht="39" customHeight="1">
      <c r="A46" s="1166" t="s">
        <v>716</v>
      </c>
      <c r="B46" s="1164"/>
      <c r="C46" s="1164"/>
      <c r="D46" s="1164"/>
      <c r="E46" s="1164"/>
      <c r="F46" s="1164"/>
      <c r="G46" s="1164"/>
      <c r="H46" s="1164"/>
      <c r="I46" s="1164"/>
      <c r="J46" s="1164"/>
      <c r="K46" s="1164"/>
    </row>
    <row r="47" spans="1:11" ht="12.75" customHeight="1">
      <c r="A47" s="466" t="s">
        <v>852</v>
      </c>
      <c r="B47" s="1167" t="s">
        <v>1111</v>
      </c>
      <c r="C47" s="1183"/>
      <c r="D47" s="1183"/>
      <c r="E47" s="1183"/>
      <c r="F47" s="463"/>
      <c r="G47" s="463"/>
      <c r="H47" s="463"/>
      <c r="I47" s="463"/>
      <c r="J47" s="463"/>
      <c r="K47" s="463"/>
    </row>
    <row r="48" spans="1:11" ht="27" customHeight="1">
      <c r="A48" s="1169" t="s">
        <v>2136</v>
      </c>
      <c r="B48" s="1169"/>
      <c r="C48" s="1169"/>
      <c r="D48" s="1169"/>
      <c r="E48" s="1169"/>
      <c r="F48" s="1169"/>
      <c r="G48" s="1169"/>
      <c r="H48" s="1169"/>
      <c r="I48" s="1169"/>
      <c r="J48" s="1169"/>
      <c r="K48" s="1182"/>
    </row>
    <row r="49" spans="1:11" ht="12.75" customHeight="1">
      <c r="A49" s="466" t="s">
        <v>1995</v>
      </c>
      <c r="B49" s="1167" t="s">
        <v>1112</v>
      </c>
      <c r="C49" s="1183"/>
      <c r="D49" s="1183"/>
      <c r="E49" s="1183"/>
      <c r="F49" s="463"/>
      <c r="G49" s="463"/>
      <c r="H49" s="463"/>
      <c r="I49" s="463"/>
      <c r="J49" s="463"/>
      <c r="K49" s="463"/>
    </row>
    <row r="50" spans="1:11" ht="27.75" customHeight="1">
      <c r="A50" s="1168" t="s">
        <v>570</v>
      </c>
      <c r="B50" s="1168"/>
      <c r="C50" s="1168"/>
      <c r="D50" s="1168"/>
      <c r="E50" s="1168"/>
      <c r="F50" s="1168"/>
      <c r="G50" s="1168"/>
      <c r="H50" s="1168"/>
      <c r="I50" s="1168"/>
      <c r="J50" s="1168"/>
      <c r="K50" s="1168"/>
    </row>
    <row r="51" spans="1:11" ht="27.75" customHeight="1">
      <c r="A51" s="1168" t="s">
        <v>718</v>
      </c>
      <c r="B51" s="1168"/>
      <c r="C51" s="1168"/>
      <c r="D51" s="1168"/>
      <c r="E51" s="1168"/>
      <c r="F51" s="1168"/>
      <c r="G51" s="1168"/>
      <c r="H51" s="1168"/>
      <c r="I51" s="1168"/>
      <c r="J51" s="1168"/>
      <c r="K51" s="1168"/>
    </row>
    <row r="52" spans="1:13" ht="12.75">
      <c r="A52" s="465" t="s">
        <v>1243</v>
      </c>
      <c r="B52" s="1159" t="s">
        <v>1086</v>
      </c>
      <c r="C52" s="1162"/>
      <c r="D52" s="1162"/>
      <c r="E52" s="1162"/>
      <c r="F52" s="202"/>
      <c r="G52" s="251"/>
      <c r="H52" s="251"/>
      <c r="I52" s="251"/>
      <c r="J52" s="202"/>
      <c r="K52" s="202"/>
      <c r="L52" s="537"/>
      <c r="M52" s="537"/>
    </row>
    <row r="53" spans="1:11" ht="75" customHeight="1">
      <c r="A53" s="1168" t="s">
        <v>949</v>
      </c>
      <c r="B53" s="1168"/>
      <c r="C53" s="1168"/>
      <c r="D53" s="1168"/>
      <c r="E53" s="1168"/>
      <c r="F53" s="1168"/>
      <c r="G53" s="1168"/>
      <c r="H53" s="1168"/>
      <c r="I53" s="1168"/>
      <c r="J53" s="1168"/>
      <c r="K53" s="1168"/>
    </row>
    <row r="54" spans="1:11" ht="18" customHeight="1">
      <c r="A54" s="465" t="s">
        <v>1750</v>
      </c>
      <c r="B54" s="1159" t="s">
        <v>2131</v>
      </c>
      <c r="C54" s="1162"/>
      <c r="D54" s="1162"/>
      <c r="E54" s="1162"/>
      <c r="F54" s="1050"/>
      <c r="G54" s="1050"/>
      <c r="H54" s="1050"/>
      <c r="I54" s="1050"/>
      <c r="J54" s="1050"/>
      <c r="K54" s="1050"/>
    </row>
    <row r="55" spans="1:11" ht="27" customHeight="1">
      <c r="A55" s="1168" t="s">
        <v>1505</v>
      </c>
      <c r="B55" s="1168" t="s">
        <v>1761</v>
      </c>
      <c r="C55" s="1168" t="s">
        <v>1761</v>
      </c>
      <c r="D55" s="1168"/>
      <c r="E55" s="1168"/>
      <c r="F55" s="1168"/>
      <c r="G55" s="1168"/>
      <c r="H55" s="1168"/>
      <c r="I55" s="1168"/>
      <c r="J55" s="1168"/>
      <c r="K55" s="1168"/>
    </row>
    <row r="56" spans="1:11" ht="12.75">
      <c r="A56" s="465" t="s">
        <v>933</v>
      </c>
      <c r="B56" s="85" t="s">
        <v>1113</v>
      </c>
      <c r="C56" s="245"/>
      <c r="F56" s="281"/>
      <c r="G56" s="281"/>
      <c r="H56" s="281"/>
      <c r="I56" s="281"/>
      <c r="J56" s="281"/>
      <c r="K56" s="281"/>
    </row>
    <row r="57" spans="1:11" ht="25.5" customHeight="1">
      <c r="A57" s="1169" t="s">
        <v>950</v>
      </c>
      <c r="B57" s="1169"/>
      <c r="C57" s="1169"/>
      <c r="D57" s="1169"/>
      <c r="E57" s="1169"/>
      <c r="F57" s="1169"/>
      <c r="G57" s="1169"/>
      <c r="H57" s="1169"/>
      <c r="I57" s="1169"/>
      <c r="J57" s="1169"/>
      <c r="K57" s="1169"/>
    </row>
    <row r="58" spans="1:11" ht="38.25" customHeight="1">
      <c r="A58" s="1169" t="s">
        <v>951</v>
      </c>
      <c r="B58" s="1169"/>
      <c r="C58" s="1169"/>
      <c r="D58" s="1169"/>
      <c r="E58" s="1169"/>
      <c r="F58" s="1169"/>
      <c r="G58" s="1169"/>
      <c r="H58" s="1169"/>
      <c r="I58" s="1169"/>
      <c r="J58" s="1169"/>
      <c r="K58" s="1169"/>
    </row>
    <row r="59" spans="1:11" ht="62.25" customHeight="1">
      <c r="A59" s="1169" t="s">
        <v>1136</v>
      </c>
      <c r="B59" s="1169"/>
      <c r="C59" s="1169"/>
      <c r="D59" s="1169"/>
      <c r="E59" s="1169"/>
      <c r="F59" s="1169"/>
      <c r="G59" s="1169"/>
      <c r="H59" s="1169"/>
      <c r="I59" s="1169"/>
      <c r="J59" s="1169"/>
      <c r="K59" s="1169"/>
    </row>
    <row r="60" spans="1:11" ht="24.75" customHeight="1">
      <c r="A60" s="1169" t="s">
        <v>1400</v>
      </c>
      <c r="B60" s="1169"/>
      <c r="C60" s="1169"/>
      <c r="D60" s="1169"/>
      <c r="E60" s="1169"/>
      <c r="F60" s="1169"/>
      <c r="G60" s="1169"/>
      <c r="H60" s="1169"/>
      <c r="I60" s="1169"/>
      <c r="J60" s="1169"/>
      <c r="K60" s="1169"/>
    </row>
    <row r="61" spans="1:11" ht="12.75">
      <c r="A61" s="465" t="s">
        <v>931</v>
      </c>
      <c r="B61" s="85" t="s">
        <v>1506</v>
      </c>
      <c r="C61" s="281"/>
      <c r="D61" s="281"/>
      <c r="E61" s="281"/>
      <c r="F61" s="281"/>
      <c r="G61" s="281"/>
      <c r="H61" s="281"/>
      <c r="I61" s="281"/>
      <c r="J61" s="281"/>
      <c r="K61" s="281"/>
    </row>
    <row r="62" spans="1:11" ht="39.75" customHeight="1">
      <c r="A62" s="1160" t="s">
        <v>952</v>
      </c>
      <c r="B62" s="1161"/>
      <c r="C62" s="1161"/>
      <c r="D62" s="1161"/>
      <c r="E62" s="1161"/>
      <c r="F62" s="1161"/>
      <c r="G62" s="1161"/>
      <c r="H62" s="1161"/>
      <c r="I62" s="1161"/>
      <c r="J62" s="1161"/>
      <c r="K62" s="1161"/>
    </row>
    <row r="63" spans="1:11" ht="30.75" customHeight="1">
      <c r="A63" s="1160" t="s">
        <v>1419</v>
      </c>
      <c r="B63" s="1161"/>
      <c r="C63" s="1161"/>
      <c r="D63" s="1161"/>
      <c r="E63" s="1161"/>
      <c r="F63" s="1161"/>
      <c r="G63" s="1161"/>
      <c r="H63" s="1161"/>
      <c r="I63" s="1161"/>
      <c r="J63" s="1161"/>
      <c r="K63" s="1161"/>
    </row>
    <row r="64" spans="1:11" ht="18.75" customHeight="1">
      <c r="A64" s="467" t="s">
        <v>1734</v>
      </c>
      <c r="B64" s="291" t="s">
        <v>1018</v>
      </c>
      <c r="C64" s="905"/>
      <c r="D64" s="905"/>
      <c r="E64" s="905"/>
      <c r="F64" s="905"/>
      <c r="G64" s="905"/>
      <c r="H64" s="905"/>
      <c r="I64" s="905"/>
      <c r="J64" s="905"/>
      <c r="K64" s="905"/>
    </row>
    <row r="65" spans="1:11" ht="39" customHeight="1">
      <c r="A65" s="1160" t="s">
        <v>1544</v>
      </c>
      <c r="B65" s="1162"/>
      <c r="C65" s="1162"/>
      <c r="D65" s="1162"/>
      <c r="E65" s="1162"/>
      <c r="F65" s="1162"/>
      <c r="G65" s="1162"/>
      <c r="H65" s="1162"/>
      <c r="I65" s="1162"/>
      <c r="J65" s="1162"/>
      <c r="K65" s="1162"/>
    </row>
    <row r="66" spans="1:11" ht="15" customHeight="1">
      <c r="A66" s="467" t="s">
        <v>1735</v>
      </c>
      <c r="B66" s="291" t="s">
        <v>1388</v>
      </c>
      <c r="C66" s="342"/>
      <c r="D66" s="342"/>
      <c r="E66" s="342"/>
      <c r="F66" s="342"/>
      <c r="G66" s="342"/>
      <c r="H66" s="342"/>
      <c r="I66" s="342"/>
      <c r="J66" s="342"/>
      <c r="K66" s="342"/>
    </row>
    <row r="67" spans="1:11" ht="28.5" customHeight="1">
      <c r="A67" s="1160" t="s">
        <v>1090</v>
      </c>
      <c r="B67" s="1162"/>
      <c r="C67" s="1162"/>
      <c r="D67" s="1162"/>
      <c r="E67" s="1162"/>
      <c r="F67" s="1162"/>
      <c r="G67" s="1162"/>
      <c r="H67" s="1162"/>
      <c r="I67" s="1162"/>
      <c r="J67" s="1162"/>
      <c r="K67" s="1162"/>
    </row>
    <row r="68" spans="1:2" ht="12.75">
      <c r="A68" s="467" t="s">
        <v>1733</v>
      </c>
      <c r="B68" s="291" t="s">
        <v>1545</v>
      </c>
    </row>
    <row r="69" spans="1:11" ht="27.75" customHeight="1">
      <c r="A69" s="1169" t="s">
        <v>128</v>
      </c>
      <c r="B69" s="1169"/>
      <c r="C69" s="1169"/>
      <c r="D69" s="1169"/>
      <c r="E69" s="1169"/>
      <c r="F69" s="1169"/>
      <c r="G69" s="1169"/>
      <c r="H69" s="1169"/>
      <c r="I69" s="1169"/>
      <c r="J69" s="1169"/>
      <c r="K69" s="1169"/>
    </row>
    <row r="70" spans="1:2" ht="14.25" customHeight="1">
      <c r="A70" s="465" t="s">
        <v>1732</v>
      </c>
      <c r="B70" s="291" t="s">
        <v>129</v>
      </c>
    </row>
    <row r="71" spans="1:11" ht="25.5" customHeight="1">
      <c r="A71" s="1166" t="s">
        <v>792</v>
      </c>
      <c r="B71" s="1163"/>
      <c r="C71" s="1163"/>
      <c r="D71" s="1163"/>
      <c r="E71" s="1163"/>
      <c r="F71" s="1163"/>
      <c r="G71" s="1163"/>
      <c r="H71" s="1163"/>
      <c r="I71" s="1163"/>
      <c r="J71" s="1163"/>
      <c r="K71" s="1163"/>
    </row>
    <row r="72" spans="1:11" ht="12.75" customHeight="1">
      <c r="A72" s="465" t="s">
        <v>683</v>
      </c>
      <c r="B72" s="291" t="s">
        <v>1117</v>
      </c>
      <c r="C72" s="464"/>
      <c r="D72" s="464"/>
      <c r="E72" s="464"/>
      <c r="F72" s="464"/>
      <c r="G72" s="464"/>
      <c r="H72" s="464"/>
      <c r="I72" s="464"/>
      <c r="J72" s="464"/>
      <c r="K72" s="464"/>
    </row>
    <row r="73" spans="1:11" ht="27" customHeight="1">
      <c r="A73" s="1166" t="s">
        <v>1599</v>
      </c>
      <c r="B73" s="1141"/>
      <c r="C73" s="1141"/>
      <c r="D73" s="1141"/>
      <c r="E73" s="1141"/>
      <c r="F73" s="1141"/>
      <c r="G73" s="1141"/>
      <c r="H73" s="1141"/>
      <c r="I73" s="1141"/>
      <c r="J73" s="1141"/>
      <c r="K73" s="1141"/>
    </row>
    <row r="74" spans="1:11" ht="12.75" customHeight="1">
      <c r="A74" s="465" t="s">
        <v>684</v>
      </c>
      <c r="B74" s="291" t="s">
        <v>569</v>
      </c>
      <c r="C74" s="464"/>
      <c r="D74" s="464"/>
      <c r="E74" s="464"/>
      <c r="F74" s="464"/>
      <c r="G74" s="464"/>
      <c r="H74" s="464"/>
      <c r="I74" s="464"/>
      <c r="J74" s="464"/>
      <c r="K74" s="464"/>
    </row>
    <row r="75" spans="1:11" ht="17.25" customHeight="1">
      <c r="A75" s="1169" t="s">
        <v>1600</v>
      </c>
      <c r="B75" s="1169"/>
      <c r="C75" s="1169"/>
      <c r="D75" s="1169"/>
      <c r="E75" s="1169"/>
      <c r="F75" s="1169"/>
      <c r="G75" s="1169"/>
      <c r="H75" s="1169"/>
      <c r="I75" s="1169"/>
      <c r="J75" s="1169"/>
      <c r="K75" s="1169"/>
    </row>
    <row r="76" spans="1:11" ht="15" customHeight="1">
      <c r="A76" s="539" t="s">
        <v>567</v>
      </c>
      <c r="B76" s="689" t="s">
        <v>2045</v>
      </c>
      <c r="C76" s="281"/>
      <c r="D76" s="281"/>
      <c r="E76" s="281"/>
      <c r="F76" s="281"/>
      <c r="G76" s="281"/>
      <c r="H76" s="281"/>
      <c r="I76" s="281"/>
      <c r="J76" s="281"/>
      <c r="K76" s="281"/>
    </row>
    <row r="77" spans="1:11" ht="13.5" customHeight="1">
      <c r="A77" s="1169" t="s">
        <v>1601</v>
      </c>
      <c r="B77" s="1169"/>
      <c r="C77" s="1169"/>
      <c r="D77" s="1169"/>
      <c r="E77" s="1169"/>
      <c r="F77" s="1169"/>
      <c r="G77" s="1169"/>
      <c r="H77" s="1169"/>
      <c r="I77" s="1169"/>
      <c r="J77" s="1169"/>
      <c r="K77" s="1169"/>
    </row>
    <row r="78" spans="1:11" ht="13.5" customHeight="1">
      <c r="A78" s="539" t="s">
        <v>566</v>
      </c>
      <c r="B78" s="1167" t="s">
        <v>1694</v>
      </c>
      <c r="C78" s="1167"/>
      <c r="D78" s="1167"/>
      <c r="E78" s="1167"/>
      <c r="F78" s="1167"/>
      <c r="G78" s="1167"/>
      <c r="H78" s="1167"/>
      <c r="I78" s="1167"/>
      <c r="J78" s="1167"/>
      <c r="K78" s="281"/>
    </row>
    <row r="79" spans="1:11" ht="15.75" customHeight="1">
      <c r="A79" s="1169" t="s">
        <v>2044</v>
      </c>
      <c r="B79" s="1169"/>
      <c r="C79" s="1169"/>
      <c r="D79" s="1169"/>
      <c r="E79" s="1169"/>
      <c r="F79" s="1169"/>
      <c r="G79" s="1169"/>
      <c r="H79" s="1169"/>
      <c r="I79" s="1169"/>
      <c r="J79" s="1169"/>
      <c r="K79" s="1169"/>
    </row>
    <row r="80" spans="1:11" ht="13.5" customHeight="1">
      <c r="A80" s="539" t="s">
        <v>1389</v>
      </c>
      <c r="B80" s="1167" t="s">
        <v>568</v>
      </c>
      <c r="C80" s="1167"/>
      <c r="D80" s="1167"/>
      <c r="E80" s="1167"/>
      <c r="F80" s="1167"/>
      <c r="G80" s="1167"/>
      <c r="H80" s="1167"/>
      <c r="I80" s="1167"/>
      <c r="J80" s="1167"/>
      <c r="K80" s="281"/>
    </row>
    <row r="81" spans="1:11" ht="15.75" customHeight="1">
      <c r="A81" s="1169" t="s">
        <v>512</v>
      </c>
      <c r="B81" s="1169"/>
      <c r="C81" s="1169"/>
      <c r="D81" s="1169"/>
      <c r="E81" s="1169"/>
      <c r="F81" s="1169"/>
      <c r="G81" s="1169"/>
      <c r="H81" s="1169"/>
      <c r="I81" s="1169"/>
      <c r="J81" s="1169"/>
      <c r="K81" s="1169"/>
    </row>
    <row r="82" spans="1:11" ht="12.75" customHeight="1">
      <c r="A82" s="712" t="s">
        <v>1390</v>
      </c>
      <c r="B82" s="291" t="s">
        <v>934</v>
      </c>
      <c r="C82" s="464"/>
      <c r="D82" s="464"/>
      <c r="E82" s="464"/>
      <c r="F82" s="464"/>
      <c r="G82" s="464"/>
      <c r="H82" s="464"/>
      <c r="I82" s="464"/>
      <c r="J82" s="464"/>
      <c r="K82" s="464"/>
    </row>
    <row r="83" spans="1:11" ht="32.25" customHeight="1">
      <c r="A83" s="1165" t="s">
        <v>1256</v>
      </c>
      <c r="B83" s="1165"/>
      <c r="C83" s="1165"/>
      <c r="D83" s="1165"/>
      <c r="E83" s="1165"/>
      <c r="F83" s="1165"/>
      <c r="G83" s="1165"/>
      <c r="H83" s="1165"/>
      <c r="I83" s="1165"/>
      <c r="J83" s="1165"/>
      <c r="K83" s="1165"/>
    </row>
    <row r="84" spans="1:11" ht="12.75">
      <c r="A84" s="712" t="s">
        <v>1391</v>
      </c>
      <c r="B84" s="291" t="s">
        <v>1392</v>
      </c>
      <c r="C84" s="464"/>
      <c r="D84" s="464"/>
      <c r="E84" s="464"/>
      <c r="F84" s="464"/>
      <c r="G84" s="464"/>
      <c r="H84" s="464"/>
      <c r="I84" s="464"/>
      <c r="J84" s="464"/>
      <c r="K84" s="464"/>
    </row>
    <row r="85" spans="1:11" ht="23.25" customHeight="1">
      <c r="A85" s="1165" t="s">
        <v>562</v>
      </c>
      <c r="B85" s="1165"/>
      <c r="C85" s="1165"/>
      <c r="D85" s="1165"/>
      <c r="E85" s="1165"/>
      <c r="F85" s="1165"/>
      <c r="G85" s="1165"/>
      <c r="H85" s="1165"/>
      <c r="I85" s="1165"/>
      <c r="J85" s="1165"/>
      <c r="K85" s="1165"/>
    </row>
  </sheetData>
  <sheetProtection password="A722" sheet="1" objects="1" scenarios="1"/>
  <mergeCells count="51">
    <mergeCell ref="B80:J80"/>
    <mergeCell ref="A81:K81"/>
    <mergeCell ref="A50:K50"/>
    <mergeCell ref="A51:K51"/>
    <mergeCell ref="A65:K65"/>
    <mergeCell ref="A79:K79"/>
    <mergeCell ref="B78:J78"/>
    <mergeCell ref="A77:K77"/>
    <mergeCell ref="A73:K73"/>
    <mergeCell ref="A62:K62"/>
    <mergeCell ref="H11:I11"/>
    <mergeCell ref="J11:K11"/>
    <mergeCell ref="J14:K14"/>
    <mergeCell ref="H10:I10"/>
    <mergeCell ref="H13:I13"/>
    <mergeCell ref="A57:K57"/>
    <mergeCell ref="A39:K39"/>
    <mergeCell ref="B52:E52"/>
    <mergeCell ref="B54:E54"/>
    <mergeCell ref="A55:K55"/>
    <mergeCell ref="A46:K46"/>
    <mergeCell ref="A6:K6"/>
    <mergeCell ref="A41:K41"/>
    <mergeCell ref="A45:K45"/>
    <mergeCell ref="A43:K43"/>
    <mergeCell ref="A25:K25"/>
    <mergeCell ref="A18:K18"/>
    <mergeCell ref="A19:K19"/>
    <mergeCell ref="A20:K20"/>
    <mergeCell ref="A23:K23"/>
    <mergeCell ref="J10:K10"/>
    <mergeCell ref="A75:K75"/>
    <mergeCell ref="A63:K63"/>
    <mergeCell ref="A7:K7"/>
    <mergeCell ref="A60:K60"/>
    <mergeCell ref="A58:K58"/>
    <mergeCell ref="A67:K67"/>
    <mergeCell ref="A71:K71"/>
    <mergeCell ref="A69:K69"/>
    <mergeCell ref="B49:E49"/>
    <mergeCell ref="A24:K24"/>
    <mergeCell ref="A85:K85"/>
    <mergeCell ref="A8:K8"/>
    <mergeCell ref="A21:K21"/>
    <mergeCell ref="A22:K22"/>
    <mergeCell ref="A26:K26"/>
    <mergeCell ref="A83:K83"/>
    <mergeCell ref="B47:E47"/>
    <mergeCell ref="A53:K53"/>
    <mergeCell ref="A48:K48"/>
    <mergeCell ref="A59:K59"/>
  </mergeCells>
  <printOptions horizontalCentered="1"/>
  <pageMargins left="0.3937007874015748" right="0.3937007874015748" top="0.3937007874015748" bottom="0.3937007874015748" header="0.5118110236220472" footer="0.5118110236220472"/>
  <pageSetup firstPageNumber="2" useFirstPageNumber="1" horizontalDpi="600" verticalDpi="600" orientation="landscape" paperSize="9" scale="95" r:id="rId2"/>
  <headerFooter alignWithMargins="0">
    <oddFooter>&amp;RPagina &amp;P</oddFooter>
  </headerFooter>
  <rowBreaks count="3" manualBreakCount="3">
    <brk id="21" max="10" man="1"/>
    <brk id="43" max="10" man="1"/>
    <brk id="60" max="10" man="1"/>
  </rowBreaks>
  <drawing r:id="rId1"/>
</worksheet>
</file>

<file path=xl/worksheets/sheet4.xml><?xml version="1.0" encoding="utf-8"?>
<worksheet xmlns="http://schemas.openxmlformats.org/spreadsheetml/2006/main" xmlns:r="http://schemas.openxmlformats.org/officeDocument/2006/relationships">
  <dimension ref="A1:BD737"/>
  <sheetViews>
    <sheetView showGridLines="0" zoomScale="90" zoomScaleNormal="90" workbookViewId="0" topLeftCell="A4">
      <pane ySplit="3" topLeftCell="BM7" activePane="bottomLeft" state="frozen"/>
      <selection pane="topLeft" activeCell="A2" sqref="A2"/>
      <selection pane="bottomLeft" activeCell="F11" sqref="F11"/>
    </sheetView>
  </sheetViews>
  <sheetFormatPr defaultColWidth="9.140625" defaultRowHeight="12.75"/>
  <cols>
    <col min="1" max="1" width="5.421875" style="0" customWidth="1"/>
    <col min="2" max="2" width="25.421875" style="0" customWidth="1"/>
    <col min="3" max="3" width="6.8515625" style="0" customWidth="1"/>
    <col min="4" max="4" width="5.00390625" style="0" customWidth="1"/>
    <col min="5" max="5" width="11.140625" style="0" customWidth="1"/>
    <col min="6" max="6" width="12.421875" style="0" customWidth="1"/>
    <col min="7" max="7" width="5.57421875" style="0" customWidth="1"/>
    <col min="8" max="8" width="7.140625" style="0" customWidth="1"/>
    <col min="9" max="9" width="5.7109375" style="0" customWidth="1"/>
    <col min="10" max="10" width="4.421875" style="0" customWidth="1"/>
    <col min="11" max="11" width="11.00390625" style="312" customWidth="1"/>
    <col min="12" max="12" width="5.7109375" style="0" customWidth="1"/>
    <col min="13" max="13" width="6.00390625" style="0" customWidth="1"/>
    <col min="14" max="14" width="0.85546875" style="0" hidden="1" customWidth="1"/>
    <col min="15" max="15" width="6.28125" style="0" customWidth="1"/>
    <col min="16" max="16" width="4.7109375" style="0" customWidth="1"/>
    <col min="17" max="17" width="10.57421875" style="0" customWidth="1"/>
    <col min="18" max="18" width="11.28125" style="0" customWidth="1"/>
    <col min="19" max="19" width="2.421875" style="0" customWidth="1"/>
    <col min="20" max="20" width="9.00390625" style="0" customWidth="1"/>
    <col min="21" max="21" width="1.421875" style="0" customWidth="1"/>
    <col min="22" max="22" width="6.00390625" style="0" customWidth="1"/>
    <col min="23" max="23" width="3.7109375" style="0" hidden="1" customWidth="1"/>
    <col min="24" max="24" width="15.28125" style="908" hidden="1" customWidth="1"/>
    <col min="25" max="25" width="14.8515625" style="917" hidden="1" customWidth="1"/>
    <col min="26" max="28" width="0" style="0" hidden="1" customWidth="1"/>
  </cols>
  <sheetData>
    <row r="1" spans="1:22" ht="15.75" customHeight="1">
      <c r="A1" s="77" t="str">
        <f>A4</f>
        <v>Budget 2006</v>
      </c>
      <c r="B1" s="5"/>
      <c r="C1" s="6"/>
      <c r="D1" s="5"/>
      <c r="E1" s="7"/>
      <c r="F1" s="5"/>
      <c r="G1" s="5"/>
      <c r="H1" s="5"/>
      <c r="I1" s="5"/>
      <c r="J1" s="81"/>
      <c r="K1" s="299"/>
      <c r="L1" s="5"/>
      <c r="M1" s="10"/>
      <c r="N1" s="6"/>
      <c r="O1" s="5"/>
      <c r="P1" s="5"/>
      <c r="Q1" s="5"/>
      <c r="R1" s="5"/>
      <c r="S1" s="5"/>
      <c r="T1" s="5"/>
      <c r="U1" s="136"/>
      <c r="V1" s="2"/>
    </row>
    <row r="2" spans="1:22" ht="16.5" customHeight="1">
      <c r="A2" s="77"/>
      <c r="B2" s="5"/>
      <c r="C2" s="6"/>
      <c r="E2" s="7"/>
      <c r="F2" s="5"/>
      <c r="G2" s="5"/>
      <c r="H2" s="5"/>
      <c r="I2" s="5"/>
      <c r="J2" s="81"/>
      <c r="K2" s="299"/>
      <c r="L2" s="5"/>
      <c r="M2" s="10"/>
      <c r="N2" s="6"/>
      <c r="O2" s="5"/>
      <c r="P2" s="5"/>
      <c r="Q2" s="5"/>
      <c r="R2" s="5"/>
      <c r="S2" s="5"/>
      <c r="T2" s="5"/>
      <c r="U2" s="136"/>
      <c r="V2" s="2"/>
    </row>
    <row r="3" spans="1:22" ht="14.25" customHeight="1">
      <c r="A3" s="292">
        <f ca="1">VALUE(RIGHT(CELL("bestandsnaam",B3),4))</f>
        <v>0</v>
      </c>
      <c r="B3" s="53"/>
      <c r="C3" s="17"/>
      <c r="D3" s="8"/>
      <c r="E3" s="1"/>
      <c r="F3" s="18"/>
      <c r="G3" s="19"/>
      <c r="H3" s="19"/>
      <c r="I3" s="20"/>
      <c r="J3" s="82"/>
      <c r="K3" s="300"/>
      <c r="L3" s="18"/>
      <c r="M3" s="8"/>
      <c r="N3" s="17"/>
      <c r="O3" s="1" t="b">
        <v>1</v>
      </c>
      <c r="P3" s="34">
        <f>voorblad!A3</f>
        <v>1</v>
      </c>
      <c r="Q3" s="5">
        <f>IF(A1="budget 2006",1,0)</f>
        <v>1</v>
      </c>
      <c r="R3" s="903">
        <f>E17+E26+E37+E45+E51+E58+E64+E69+E77+E79+E87+E90+E109+E122+E135+E152+E162+E165+E166+SUM(E169:E182)+E203+SUM(E217:E224)</f>
        <v>0</v>
      </c>
      <c r="S3" s="8"/>
      <c r="T3" s="902">
        <f>SUM(G295:H306)-G299+G312</f>
        <v>0</v>
      </c>
      <c r="U3" s="137"/>
      <c r="V3" s="2"/>
    </row>
    <row r="4" spans="1:28" ht="15" customHeight="1">
      <c r="A4" s="77" t="str">
        <f>IF(A3=0,CONCATENATE("Budget ",$E$8),CONCATENATE("Budget ",$E$8,"  -  ",VLOOKUP($A$3,NAW!$B$2:$Z$240,4,FALSE)," (120-",VLOOKUP($A$3,NAW!$B$2:$Z$240,1,FALSE),")"))</f>
        <v>Budget 2006</v>
      </c>
      <c r="B4" s="342"/>
      <c r="C4" s="6"/>
      <c r="D4" s="5"/>
      <c r="E4" s="7"/>
      <c r="F4" s="8"/>
      <c r="G4" s="5"/>
      <c r="H4" s="5"/>
      <c r="I4" s="5"/>
      <c r="J4" s="81"/>
      <c r="K4" s="299"/>
      <c r="L4" s="76"/>
      <c r="N4" s="6"/>
      <c r="O4" s="257" t="str">
        <f>IF(O3=TRUE,"      Invulvelden gearceerd","      Invulvelden niet gearceerd")</f>
        <v>      Invulvelden gearceerd</v>
      </c>
      <c r="P4" s="105"/>
      <c r="Q4" s="73"/>
      <c r="R4" s="74"/>
      <c r="S4" s="75"/>
      <c r="T4" s="75"/>
      <c r="U4" s="138"/>
      <c r="V4" s="3"/>
      <c r="X4" s="908" t="str">
        <f>voorblad!D36</f>
        <v>Dhr/Mevr</v>
      </c>
      <c r="Y4" s="917">
        <f>voorblad!E36</f>
        <v>0</v>
      </c>
      <c r="AA4" t="str">
        <f>voorblad!K36</f>
        <v>Dhr/Mevr</v>
      </c>
      <c r="AB4">
        <f>voorblad!L36</f>
        <v>0</v>
      </c>
    </row>
    <row r="5" spans="1:56" ht="18" customHeight="1">
      <c r="A5" s="482"/>
      <c r="B5" s="483"/>
      <c r="C5" s="17"/>
      <c r="D5" s="8"/>
      <c r="E5" s="8"/>
      <c r="F5" s="18"/>
      <c r="H5" s="19"/>
      <c r="I5" s="20"/>
      <c r="J5" s="82"/>
      <c r="K5" s="300"/>
      <c r="L5" s="18"/>
      <c r="M5" s="8"/>
      <c r="N5" s="17"/>
      <c r="O5" s="8"/>
      <c r="P5" s="8"/>
      <c r="Q5" s="8"/>
      <c r="R5" s="8"/>
      <c r="S5" s="17"/>
      <c r="T5" s="17"/>
      <c r="U5" s="139"/>
      <c r="V5" s="3"/>
      <c r="Y5" s="917">
        <f>voorblad!D37</f>
        <v>0</v>
      </c>
      <c r="AA5" s="125"/>
      <c r="AB5">
        <f>voorblad!K37</f>
        <v>0</v>
      </c>
      <c r="AY5" s="746"/>
      <c r="AZ5" s="746"/>
      <c r="BA5" s="747"/>
      <c r="BB5" s="748"/>
      <c r="BC5" s="748"/>
      <c r="BD5" s="749"/>
    </row>
    <row r="6" spans="1:56" ht="12.75">
      <c r="A6" s="12"/>
      <c r="B6" s="12"/>
      <c r="C6" s="21"/>
      <c r="D6" s="10"/>
      <c r="E6" s="14"/>
      <c r="F6" s="23"/>
      <c r="G6" s="15"/>
      <c r="H6" s="15"/>
      <c r="I6" s="9"/>
      <c r="J6" s="81"/>
      <c r="K6" s="301"/>
      <c r="L6" s="10"/>
      <c r="M6" s="10"/>
      <c r="N6" s="16"/>
      <c r="O6" s="10"/>
      <c r="P6" s="10"/>
      <c r="Q6" s="10"/>
      <c r="R6" s="10"/>
      <c r="S6" s="13"/>
      <c r="T6" s="13"/>
      <c r="U6" s="140"/>
      <c r="V6" s="3"/>
      <c r="Y6">
        <f>voorblad!D39</f>
        <v>0</v>
      </c>
      <c r="AA6" s="125"/>
      <c r="AB6">
        <f>voorblad!K39</f>
        <v>0</v>
      </c>
      <c r="AY6" s="746"/>
      <c r="AZ6" s="746"/>
      <c r="BA6" s="747"/>
      <c r="BB6" s="748"/>
      <c r="BC6" s="748"/>
      <c r="BD6" s="749"/>
    </row>
    <row r="7" spans="1:56" ht="12.75">
      <c r="A7" s="22" t="s">
        <v>220</v>
      </c>
      <c r="B7" s="491" t="s">
        <v>1741</v>
      </c>
      <c r="C7" s="24"/>
      <c r="D7" s="25"/>
      <c r="E7" s="26" t="s">
        <v>224</v>
      </c>
      <c r="F7" s="26" t="str">
        <f>IF(P3=2,"Afspraak","Mutatie")</f>
        <v>Mutatie</v>
      </c>
      <c r="G7" s="1338" t="s">
        <v>221</v>
      </c>
      <c r="H7" s="1274"/>
      <c r="I7" s="343"/>
      <c r="J7" s="343"/>
      <c r="K7" s="1387" t="str">
        <f>CONCATENATE("Budget ",$E$8)</f>
        <v>Budget 2006</v>
      </c>
      <c r="L7" s="1388"/>
      <c r="M7" s="1389"/>
      <c r="N7" s="25"/>
      <c r="O7" s="1264" t="s">
        <v>227</v>
      </c>
      <c r="P7" s="1265"/>
      <c r="Q7" s="1386" t="s">
        <v>227</v>
      </c>
      <c r="R7" s="1264" t="str">
        <f>CONCATENATE("Nacalculatie ",$E$8-1)</f>
        <v>Nacalculatie 2005</v>
      </c>
      <c r="S7" s="1385"/>
      <c r="T7" s="1272"/>
      <c r="U7" s="141"/>
      <c r="V7" s="3"/>
      <c r="AA7" s="125"/>
      <c r="AY7" s="746"/>
      <c r="AZ7" s="746"/>
      <c r="BA7" s="747"/>
      <c r="BB7" s="748"/>
      <c r="BC7" s="748"/>
      <c r="BD7" s="749"/>
    </row>
    <row r="8" spans="1:56" ht="12.75">
      <c r="A8" s="28"/>
      <c r="B8" s="491" t="s">
        <v>2002</v>
      </c>
      <c r="C8" s="30"/>
      <c r="D8" s="30"/>
      <c r="E8" s="31">
        <v>2006</v>
      </c>
      <c r="F8" s="31">
        <f>$E$8</f>
        <v>2006</v>
      </c>
      <c r="G8" s="1250"/>
      <c r="H8" s="1415"/>
      <c r="I8" s="345"/>
      <c r="J8" s="343"/>
      <c r="K8" s="302" t="s">
        <v>233</v>
      </c>
      <c r="L8" s="1380" t="s">
        <v>234</v>
      </c>
      <c r="M8" s="1392"/>
      <c r="N8" s="30"/>
      <c r="O8" s="1380">
        <f>$E$8-2</f>
        <v>2004</v>
      </c>
      <c r="P8" s="1381"/>
      <c r="Q8" s="33">
        <f>$E$8-1</f>
        <v>2005</v>
      </c>
      <c r="R8" s="32" t="s">
        <v>233</v>
      </c>
      <c r="S8" s="1380" t="s">
        <v>234</v>
      </c>
      <c r="T8" s="1382"/>
      <c r="U8" s="142"/>
      <c r="V8" s="3"/>
      <c r="X8" s="908" t="s">
        <v>1813</v>
      </c>
      <c r="Y8" s="917" t="s">
        <v>1814</v>
      </c>
      <c r="AA8" s="125"/>
      <c r="AY8" s="746"/>
      <c r="AZ8" s="746"/>
      <c r="BA8" s="747"/>
      <c r="BB8" s="748"/>
      <c r="BC8" s="748"/>
      <c r="BD8" s="749"/>
    </row>
    <row r="9" spans="1:56" ht="12.75">
      <c r="A9" s="22"/>
      <c r="B9" s="23"/>
      <c r="C9" s="24"/>
      <c r="D9" s="23"/>
      <c r="E9" s="27" t="s">
        <v>910</v>
      </c>
      <c r="F9" s="27" t="s">
        <v>911</v>
      </c>
      <c r="G9" s="1340" t="s">
        <v>912</v>
      </c>
      <c r="H9" s="1340"/>
      <c r="I9" s="346"/>
      <c r="J9" s="343"/>
      <c r="K9" s="303" t="s">
        <v>913</v>
      </c>
      <c r="L9" s="1340" t="s">
        <v>914</v>
      </c>
      <c r="M9" s="1340"/>
      <c r="N9" s="1340" t="s">
        <v>915</v>
      </c>
      <c r="O9" s="1340"/>
      <c r="P9" s="1340"/>
      <c r="Q9" s="27" t="s">
        <v>916</v>
      </c>
      <c r="R9" s="27" t="s">
        <v>917</v>
      </c>
      <c r="S9" s="1340" t="s">
        <v>918</v>
      </c>
      <c r="T9" s="1340"/>
      <c r="U9" s="142"/>
      <c r="V9" s="3"/>
      <c r="AA9" s="125"/>
      <c r="AY9" s="746"/>
      <c r="AZ9" s="746"/>
      <c r="BA9" s="747"/>
      <c r="BB9" s="748"/>
      <c r="BC9" s="748"/>
      <c r="BD9" s="749"/>
    </row>
    <row r="10" spans="1:56" ht="12.75">
      <c r="A10" s="22"/>
      <c r="B10" s="23" t="s">
        <v>1564</v>
      </c>
      <c r="C10" s="24"/>
      <c r="D10" s="23"/>
      <c r="F10" s="762"/>
      <c r="G10" s="23"/>
      <c r="H10" s="23"/>
      <c r="I10" s="346"/>
      <c r="J10" s="343"/>
      <c r="K10" s="1076" t="str">
        <f>Uitvoerbestand!E3</f>
        <v>Incl. voorl. index 2006</v>
      </c>
      <c r="L10" s="10"/>
      <c r="M10" s="23"/>
      <c r="N10" s="24"/>
      <c r="O10" s="34"/>
      <c r="P10" s="34"/>
      <c r="Q10" s="34"/>
      <c r="R10" s="34"/>
      <c r="S10" s="55"/>
      <c r="T10" s="84"/>
      <c r="U10" s="144"/>
      <c r="V10" s="3"/>
      <c r="AA10" s="125"/>
      <c r="AY10" s="746"/>
      <c r="AZ10" s="746"/>
      <c r="BA10" s="747"/>
      <c r="BB10" s="748"/>
      <c r="BC10" s="748"/>
      <c r="BD10" s="749"/>
    </row>
    <row r="11" spans="1:56" ht="12.75">
      <c r="A11" s="36">
        <v>501</v>
      </c>
      <c r="B11" s="37" t="s">
        <v>2202</v>
      </c>
      <c r="C11" s="37"/>
      <c r="D11" s="113" t="s">
        <v>2173</v>
      </c>
      <c r="E11" s="757"/>
      <c r="F11" s="757"/>
      <c r="G11" s="1147">
        <f aca="true" t="shared" si="0" ref="G11:G16">F11-E11</f>
        <v>0</v>
      </c>
      <c r="H11" s="1144"/>
      <c r="I11" s="347" t="s">
        <v>2174</v>
      </c>
      <c r="J11" s="343"/>
      <c r="K11" s="304">
        <f>Uitvoerbestand!I5</f>
        <v>66.78</v>
      </c>
      <c r="L11" s="1235">
        <f aca="true" t="shared" si="1" ref="L11:L16">F11*K11</f>
        <v>0</v>
      </c>
      <c r="M11" s="1236"/>
      <c r="N11" s="62"/>
      <c r="O11" s="1145"/>
      <c r="P11" s="1259"/>
      <c r="Q11" s="757"/>
      <c r="R11" s="304">
        <v>66.44</v>
      </c>
      <c r="S11" s="1227">
        <f aca="true" t="shared" si="2" ref="S11:S16">Q11*R11</f>
        <v>0</v>
      </c>
      <c r="T11" s="1144"/>
      <c r="U11" s="145"/>
      <c r="V11" s="3" t="s">
        <v>272</v>
      </c>
      <c r="X11" s="908">
        <f aca="true" t="shared" si="3" ref="X11:X16">(S11+L11)*A11</f>
        <v>0</v>
      </c>
      <c r="Y11" s="917">
        <f>E11*K11</f>
        <v>0</v>
      </c>
      <c r="AA11" s="125"/>
      <c r="AY11" s="746"/>
      <c r="AZ11" s="746"/>
      <c r="BA11" s="747"/>
      <c r="BB11" s="748"/>
      <c r="BC11" s="748"/>
      <c r="BD11" s="749"/>
    </row>
    <row r="12" spans="1:56" ht="12.75">
      <c r="A12" s="39">
        <f aca="true" t="shared" si="4" ref="A12:A17">A11+1</f>
        <v>502</v>
      </c>
      <c r="B12" s="37" t="s">
        <v>2203</v>
      </c>
      <c r="C12" s="37"/>
      <c r="D12" s="113" t="s">
        <v>1294</v>
      </c>
      <c r="E12" s="757"/>
      <c r="F12" s="757"/>
      <c r="G12" s="1147">
        <f t="shared" si="0"/>
        <v>0</v>
      </c>
      <c r="H12" s="1144"/>
      <c r="I12" s="347" t="s">
        <v>2175</v>
      </c>
      <c r="J12" s="343"/>
      <c r="K12" s="304">
        <f>Uitvoerbestand!I6</f>
        <v>81.09</v>
      </c>
      <c r="L12" s="1235">
        <f t="shared" si="1"/>
        <v>0</v>
      </c>
      <c r="M12" s="1236"/>
      <c r="N12" s="62"/>
      <c r="O12" s="1145"/>
      <c r="P12" s="1259"/>
      <c r="Q12" s="757"/>
      <c r="R12" s="304">
        <v>80.69</v>
      </c>
      <c r="S12" s="1227">
        <f t="shared" si="2"/>
        <v>0</v>
      </c>
      <c r="T12" s="1252"/>
      <c r="U12" s="146"/>
      <c r="V12" s="3" t="s">
        <v>2262</v>
      </c>
      <c r="X12" s="908">
        <f t="shared" si="3"/>
        <v>0</v>
      </c>
      <c r="Y12" s="917">
        <f aca="true" t="shared" si="5" ref="Y12:Y76">E12*K12</f>
        <v>0</v>
      </c>
      <c r="AA12" s="125"/>
      <c r="AY12" s="746"/>
      <c r="AZ12" s="746"/>
      <c r="BA12" s="747"/>
      <c r="BB12" s="748"/>
      <c r="BC12" s="748"/>
      <c r="BD12" s="749"/>
    </row>
    <row r="13" spans="1:56" ht="12.75">
      <c r="A13" s="39">
        <f t="shared" si="4"/>
        <v>503</v>
      </c>
      <c r="B13" s="37" t="s">
        <v>2204</v>
      </c>
      <c r="C13" s="37"/>
      <c r="D13" s="113" t="s">
        <v>1295</v>
      </c>
      <c r="E13" s="757"/>
      <c r="F13" s="757"/>
      <c r="G13" s="1147">
        <f t="shared" si="0"/>
        <v>0</v>
      </c>
      <c r="H13" s="1144"/>
      <c r="I13" s="347" t="s">
        <v>2176</v>
      </c>
      <c r="J13" s="343"/>
      <c r="K13" s="304">
        <f>Uitvoerbestand!I7</f>
        <v>105.1</v>
      </c>
      <c r="L13" s="1235">
        <f t="shared" si="1"/>
        <v>0</v>
      </c>
      <c r="M13" s="1236"/>
      <c r="N13" s="62"/>
      <c r="O13" s="1145"/>
      <c r="P13" s="1259"/>
      <c r="Q13" s="757"/>
      <c r="R13" s="304">
        <v>104.6</v>
      </c>
      <c r="S13" s="1227">
        <f t="shared" si="2"/>
        <v>0</v>
      </c>
      <c r="T13" s="1144"/>
      <c r="U13" s="147"/>
      <c r="V13" s="3" t="s">
        <v>2263</v>
      </c>
      <c r="X13" s="908">
        <f t="shared" si="3"/>
        <v>0</v>
      </c>
      <c r="Y13" s="917">
        <f t="shared" si="5"/>
        <v>0</v>
      </c>
      <c r="AA13" s="125"/>
      <c r="AY13" s="746"/>
      <c r="AZ13" s="746"/>
      <c r="BA13" s="747"/>
      <c r="BB13" s="748"/>
      <c r="BC13" s="748"/>
      <c r="BD13" s="749"/>
    </row>
    <row r="14" spans="1:56" ht="12.75">
      <c r="A14" s="39">
        <f t="shared" si="4"/>
        <v>504</v>
      </c>
      <c r="B14" s="37" t="s">
        <v>546</v>
      </c>
      <c r="C14" s="37"/>
      <c r="D14" s="113" t="s">
        <v>1296</v>
      </c>
      <c r="E14" s="757"/>
      <c r="F14" s="757"/>
      <c r="G14" s="1147">
        <f t="shared" si="0"/>
        <v>0</v>
      </c>
      <c r="H14" s="1144"/>
      <c r="I14" s="347" t="s">
        <v>2177</v>
      </c>
      <c r="J14" s="343"/>
      <c r="K14" s="304">
        <f>Uitvoerbestand!I8</f>
        <v>113.82</v>
      </c>
      <c r="L14" s="1235">
        <f t="shared" si="1"/>
        <v>0</v>
      </c>
      <c r="M14" s="1236"/>
      <c r="N14" s="62"/>
      <c r="O14" s="1145"/>
      <c r="P14" s="1259"/>
      <c r="Q14" s="757"/>
      <c r="R14" s="304">
        <v>113.29</v>
      </c>
      <c r="S14" s="1227">
        <f t="shared" si="2"/>
        <v>0</v>
      </c>
      <c r="T14" s="1252"/>
      <c r="U14" s="146"/>
      <c r="V14" s="3" t="s">
        <v>2264</v>
      </c>
      <c r="X14" s="908">
        <f t="shared" si="3"/>
        <v>0</v>
      </c>
      <c r="Y14" s="917">
        <f t="shared" si="5"/>
        <v>0</v>
      </c>
      <c r="AA14" s="125"/>
      <c r="AY14" s="746"/>
      <c r="AZ14" s="746"/>
      <c r="BA14" s="747"/>
      <c r="BB14" s="748"/>
      <c r="BC14" s="748"/>
      <c r="BD14" s="749"/>
    </row>
    <row r="15" spans="1:56" ht="12.75">
      <c r="A15" s="39">
        <f t="shared" si="4"/>
        <v>505</v>
      </c>
      <c r="B15" s="37" t="s">
        <v>547</v>
      </c>
      <c r="C15" s="37"/>
      <c r="D15" s="113" t="s">
        <v>1297</v>
      </c>
      <c r="E15" s="757"/>
      <c r="F15" s="757"/>
      <c r="G15" s="1147">
        <f t="shared" si="0"/>
        <v>0</v>
      </c>
      <c r="H15" s="1144"/>
      <c r="I15" s="347" t="s">
        <v>2178</v>
      </c>
      <c r="J15" s="343"/>
      <c r="K15" s="304">
        <f>Uitvoerbestand!I9</f>
        <v>152.34</v>
      </c>
      <c r="L15" s="1235">
        <f t="shared" si="1"/>
        <v>0</v>
      </c>
      <c r="M15" s="1236"/>
      <c r="N15" s="62"/>
      <c r="O15" s="1145"/>
      <c r="P15" s="1259"/>
      <c r="Q15" s="757"/>
      <c r="R15" s="304">
        <v>151.66</v>
      </c>
      <c r="S15" s="1227">
        <f t="shared" si="2"/>
        <v>0</v>
      </c>
      <c r="T15" s="1144"/>
      <c r="U15" s="147"/>
      <c r="V15" s="3" t="s">
        <v>2265</v>
      </c>
      <c r="X15" s="908">
        <f t="shared" si="3"/>
        <v>0</v>
      </c>
      <c r="Y15" s="917">
        <f t="shared" si="5"/>
        <v>0</v>
      </c>
      <c r="AA15" s="125"/>
      <c r="AY15" s="746"/>
      <c r="AZ15" s="746"/>
      <c r="BA15" s="747"/>
      <c r="BB15" s="748"/>
      <c r="BC15" s="748"/>
      <c r="BD15" s="749"/>
    </row>
    <row r="16" spans="1:56" ht="12.75">
      <c r="A16" s="39">
        <f t="shared" si="4"/>
        <v>506</v>
      </c>
      <c r="B16" s="40" t="s">
        <v>548</v>
      </c>
      <c r="C16" s="40"/>
      <c r="D16" s="113" t="s">
        <v>1298</v>
      </c>
      <c r="E16" s="757"/>
      <c r="F16" s="757"/>
      <c r="G16" s="1147">
        <f t="shared" si="0"/>
        <v>0</v>
      </c>
      <c r="H16" s="1144"/>
      <c r="I16" s="347" t="s">
        <v>2179</v>
      </c>
      <c r="J16" s="343"/>
      <c r="K16" s="304">
        <f>Uitvoerbestand!I10</f>
        <v>205.82</v>
      </c>
      <c r="L16" s="1235">
        <f t="shared" si="1"/>
        <v>0</v>
      </c>
      <c r="M16" s="1236"/>
      <c r="N16" s="62"/>
      <c r="O16" s="1145"/>
      <c r="P16" s="1259"/>
      <c r="Q16" s="757"/>
      <c r="R16" s="304">
        <v>204.92</v>
      </c>
      <c r="S16" s="1227">
        <f t="shared" si="2"/>
        <v>0</v>
      </c>
      <c r="T16" s="1144"/>
      <c r="U16" s="147"/>
      <c r="V16" s="3" t="s">
        <v>2266</v>
      </c>
      <c r="X16" s="908">
        <f t="shared" si="3"/>
        <v>0</v>
      </c>
      <c r="Y16" s="917">
        <f t="shared" si="5"/>
        <v>0</v>
      </c>
      <c r="AA16" s="125"/>
      <c r="AY16" s="746"/>
      <c r="AZ16" s="746"/>
      <c r="BA16" s="747"/>
      <c r="BB16" s="748"/>
      <c r="BC16" s="748"/>
      <c r="BD16" s="749"/>
    </row>
    <row r="17" spans="1:56" ht="12.75">
      <c r="A17" s="36">
        <f t="shared" si="4"/>
        <v>507</v>
      </c>
      <c r="B17" s="42" t="s">
        <v>223</v>
      </c>
      <c r="C17" s="42"/>
      <c r="D17" s="42"/>
      <c r="E17" s="63">
        <f>SUM(E11:E16)</f>
        <v>0</v>
      </c>
      <c r="F17" s="64">
        <f>SUM(F11:F16)</f>
        <v>0</v>
      </c>
      <c r="G17" s="1149">
        <f>SUM(G11:G16)</f>
        <v>0</v>
      </c>
      <c r="H17" s="1144"/>
      <c r="I17" s="348"/>
      <c r="J17" s="343"/>
      <c r="K17" s="305"/>
      <c r="L17" s="1149">
        <f>SUM(L11:L16)</f>
        <v>0</v>
      </c>
      <c r="M17" s="1236"/>
      <c r="N17" s="54"/>
      <c r="O17" s="1149">
        <f>SUM(O11:O16)</f>
        <v>0</v>
      </c>
      <c r="P17" s="1144"/>
      <c r="Q17" s="64">
        <f>SUM(Q11:Q16)</f>
        <v>0</v>
      </c>
      <c r="R17" s="43"/>
      <c r="S17" s="1149">
        <f>SUM(S11:S16)</f>
        <v>0</v>
      </c>
      <c r="T17" s="1144"/>
      <c r="U17" s="147"/>
      <c r="V17" s="3"/>
      <c r="Z17">
        <f>SUM(Y11:Y16)</f>
        <v>0</v>
      </c>
      <c r="AA17" s="125"/>
      <c r="AY17" s="746"/>
      <c r="AZ17" s="746"/>
      <c r="BA17" s="747"/>
      <c r="BB17" s="748"/>
      <c r="BC17" s="748"/>
      <c r="BD17" s="749"/>
    </row>
    <row r="18" spans="1:56" ht="12.75">
      <c r="A18" s="22"/>
      <c r="B18" s="23" t="s">
        <v>1565</v>
      </c>
      <c r="C18" s="24"/>
      <c r="D18" s="23"/>
      <c r="E18" s="34"/>
      <c r="F18" s="23"/>
      <c r="G18" s="23"/>
      <c r="H18" s="23"/>
      <c r="I18" s="346"/>
      <c r="J18" s="343"/>
      <c r="K18" s="298"/>
      <c r="L18" s="10"/>
      <c r="M18" s="23"/>
      <c r="N18" s="24"/>
      <c r="O18" s="34"/>
      <c r="P18" s="34"/>
      <c r="Q18" s="34"/>
      <c r="R18" s="34"/>
      <c r="S18" s="55"/>
      <c r="T18" s="84"/>
      <c r="U18" s="144"/>
      <c r="V18" s="3"/>
      <c r="AA18" s="125"/>
      <c r="AY18" s="746"/>
      <c r="AZ18" s="746"/>
      <c r="BA18" s="747"/>
      <c r="BB18" s="748"/>
      <c r="BC18" s="748"/>
      <c r="BD18" s="749"/>
    </row>
    <row r="19" spans="1:56" ht="12.75">
      <c r="A19" s="36">
        <f>A17+1</f>
        <v>508</v>
      </c>
      <c r="B19" s="37" t="s">
        <v>549</v>
      </c>
      <c r="C19" s="37"/>
      <c r="D19" s="113" t="s">
        <v>1299</v>
      </c>
      <c r="E19" s="757"/>
      <c r="F19" s="60"/>
      <c r="G19" s="1147">
        <f aca="true" t="shared" si="6" ref="G19:G25">F19-E19</f>
        <v>0</v>
      </c>
      <c r="H19" s="1144"/>
      <c r="I19" s="347" t="s">
        <v>2185</v>
      </c>
      <c r="J19" s="343"/>
      <c r="K19" s="104">
        <f>Uitvoerbestand!I13</f>
        <v>134.35</v>
      </c>
      <c r="L19" s="1235">
        <f aca="true" t="shared" si="7" ref="L19:L25">F19*K19</f>
        <v>0</v>
      </c>
      <c r="M19" s="1236"/>
      <c r="N19" s="62"/>
      <c r="O19" s="1145"/>
      <c r="P19" s="1259"/>
      <c r="Q19" s="757"/>
      <c r="R19" s="104">
        <v>133.74</v>
      </c>
      <c r="S19" s="1227">
        <f aca="true" t="shared" si="8" ref="S19:S25">Q19*R19</f>
        <v>0</v>
      </c>
      <c r="T19" s="1144"/>
      <c r="U19" s="145"/>
      <c r="V19" s="3" t="s">
        <v>2267</v>
      </c>
      <c r="X19" s="908">
        <f aca="true" t="shared" si="9" ref="X19:X25">(S19+L19)*A19</f>
        <v>0</v>
      </c>
      <c r="Y19" s="917">
        <f t="shared" si="5"/>
        <v>0</v>
      </c>
      <c r="AA19" s="125"/>
      <c r="AY19" s="746"/>
      <c r="AZ19" s="746"/>
      <c r="BA19" s="747"/>
      <c r="BB19" s="748"/>
      <c r="BC19" s="748"/>
      <c r="BD19" s="749"/>
    </row>
    <row r="20" spans="1:56" ht="12.75">
      <c r="A20" s="39">
        <f aca="true" t="shared" si="10" ref="A20:A26">A19+1</f>
        <v>509</v>
      </c>
      <c r="B20" s="37" t="s">
        <v>550</v>
      </c>
      <c r="C20" s="37"/>
      <c r="D20" s="113" t="s">
        <v>1300</v>
      </c>
      <c r="E20" s="757"/>
      <c r="F20" s="60"/>
      <c r="G20" s="1147">
        <f t="shared" si="6"/>
        <v>0</v>
      </c>
      <c r="H20" s="1144"/>
      <c r="I20" s="347" t="s">
        <v>2180</v>
      </c>
      <c r="J20" s="343"/>
      <c r="K20" s="104">
        <f>Uitvoerbestand!I14</f>
        <v>184.04999999999998</v>
      </c>
      <c r="L20" s="1235">
        <f t="shared" si="7"/>
        <v>0</v>
      </c>
      <c r="M20" s="1236"/>
      <c r="N20" s="62"/>
      <c r="O20" s="1145"/>
      <c r="P20" s="1259"/>
      <c r="Q20" s="757"/>
      <c r="R20" s="104">
        <v>183.24</v>
      </c>
      <c r="S20" s="1227">
        <f t="shared" si="8"/>
        <v>0</v>
      </c>
      <c r="T20" s="1252"/>
      <c r="U20" s="146"/>
      <c r="V20" s="3" t="s">
        <v>2268</v>
      </c>
      <c r="X20" s="908">
        <f t="shared" si="9"/>
        <v>0</v>
      </c>
      <c r="Y20" s="917">
        <f t="shared" si="5"/>
        <v>0</v>
      </c>
      <c r="AA20" s="125"/>
      <c r="AY20" s="746"/>
      <c r="AZ20" s="746"/>
      <c r="BA20" s="747"/>
      <c r="BB20" s="748"/>
      <c r="BC20" s="748"/>
      <c r="BD20" s="749"/>
    </row>
    <row r="21" spans="1:56" ht="12.75">
      <c r="A21" s="39">
        <f t="shared" si="10"/>
        <v>510</v>
      </c>
      <c r="B21" s="37" t="s">
        <v>551</v>
      </c>
      <c r="C21" s="37"/>
      <c r="D21" s="113" t="s">
        <v>1301</v>
      </c>
      <c r="E21" s="757"/>
      <c r="F21" s="60"/>
      <c r="G21" s="1147">
        <f t="shared" si="6"/>
        <v>0</v>
      </c>
      <c r="H21" s="1144"/>
      <c r="I21" s="347" t="s">
        <v>2181</v>
      </c>
      <c r="J21" s="343"/>
      <c r="K21" s="104">
        <f>Uitvoerbestand!I15</f>
        <v>166.06</v>
      </c>
      <c r="L21" s="1235">
        <f t="shared" si="7"/>
        <v>0</v>
      </c>
      <c r="M21" s="1236"/>
      <c r="N21" s="62"/>
      <c r="O21" s="1145"/>
      <c r="P21" s="1259"/>
      <c r="Q21" s="757"/>
      <c r="R21" s="104">
        <v>165.32</v>
      </c>
      <c r="S21" s="1227">
        <f t="shared" si="8"/>
        <v>0</v>
      </c>
      <c r="T21" s="1144"/>
      <c r="U21" s="147"/>
      <c r="V21" s="3" t="s">
        <v>2269</v>
      </c>
      <c r="X21" s="908">
        <f t="shared" si="9"/>
        <v>0</v>
      </c>
      <c r="Y21" s="917">
        <f t="shared" si="5"/>
        <v>0</v>
      </c>
      <c r="AA21" s="125"/>
      <c r="AY21" s="746"/>
      <c r="AZ21" s="746"/>
      <c r="BA21" s="747"/>
      <c r="BB21" s="748"/>
      <c r="BC21" s="748"/>
      <c r="BD21" s="749"/>
    </row>
    <row r="22" spans="1:56" ht="12.75">
      <c r="A22" s="39">
        <f t="shared" si="10"/>
        <v>511</v>
      </c>
      <c r="B22" s="37" t="s">
        <v>552</v>
      </c>
      <c r="C22" s="37"/>
      <c r="D22" s="113" t="s">
        <v>1302</v>
      </c>
      <c r="E22" s="757"/>
      <c r="F22" s="60"/>
      <c r="G22" s="1147">
        <f t="shared" si="6"/>
        <v>0</v>
      </c>
      <c r="H22" s="1144"/>
      <c r="I22" s="347" t="s">
        <v>2182</v>
      </c>
      <c r="J22" s="343"/>
      <c r="K22" s="104">
        <f>Uitvoerbestand!I16</f>
        <v>215.73</v>
      </c>
      <c r="L22" s="1235">
        <f t="shared" si="7"/>
        <v>0</v>
      </c>
      <c r="M22" s="1236"/>
      <c r="N22" s="62"/>
      <c r="O22" s="1145"/>
      <c r="P22" s="1259"/>
      <c r="Q22" s="757"/>
      <c r="R22" s="104">
        <v>214.79</v>
      </c>
      <c r="S22" s="1227">
        <f t="shared" si="8"/>
        <v>0</v>
      </c>
      <c r="T22" s="1252"/>
      <c r="U22" s="146"/>
      <c r="V22" s="3" t="s">
        <v>2270</v>
      </c>
      <c r="X22" s="908">
        <f t="shared" si="9"/>
        <v>0</v>
      </c>
      <c r="Y22" s="917">
        <f t="shared" si="5"/>
        <v>0</v>
      </c>
      <c r="AA22" s="125"/>
      <c r="AY22" s="746"/>
      <c r="AZ22" s="746"/>
      <c r="BA22" s="747"/>
      <c r="BB22" s="748"/>
      <c r="BC22" s="748"/>
      <c r="BD22" s="749"/>
    </row>
    <row r="23" spans="1:56" ht="12.75">
      <c r="A23" s="39">
        <f t="shared" si="10"/>
        <v>512</v>
      </c>
      <c r="B23" s="37" t="s">
        <v>553</v>
      </c>
      <c r="C23" s="37"/>
      <c r="D23" s="113" t="s">
        <v>1303</v>
      </c>
      <c r="E23" s="757"/>
      <c r="F23" s="60"/>
      <c r="G23" s="1147">
        <f t="shared" si="6"/>
        <v>0</v>
      </c>
      <c r="H23" s="1144"/>
      <c r="I23" s="347" t="s">
        <v>2183</v>
      </c>
      <c r="J23" s="343"/>
      <c r="K23" s="104">
        <f>Uitvoerbestand!I17</f>
        <v>218.60999999999999</v>
      </c>
      <c r="L23" s="1235">
        <f t="shared" si="7"/>
        <v>0</v>
      </c>
      <c r="M23" s="1236"/>
      <c r="N23" s="62"/>
      <c r="O23" s="1145"/>
      <c r="P23" s="1259"/>
      <c r="Q23" s="757"/>
      <c r="R23" s="104">
        <v>217.66</v>
      </c>
      <c r="S23" s="1227">
        <f t="shared" si="8"/>
        <v>0</v>
      </c>
      <c r="T23" s="1144"/>
      <c r="U23" s="147"/>
      <c r="V23" s="3" t="s">
        <v>2271</v>
      </c>
      <c r="X23" s="908">
        <f t="shared" si="9"/>
        <v>0</v>
      </c>
      <c r="Y23" s="917">
        <f t="shared" si="5"/>
        <v>0</v>
      </c>
      <c r="AA23" s="125"/>
      <c r="AY23" s="746"/>
      <c r="AZ23" s="746"/>
      <c r="BA23" s="747"/>
      <c r="BB23" s="748"/>
      <c r="BC23" s="748"/>
      <c r="BD23" s="749"/>
    </row>
    <row r="24" spans="1:56" ht="12.75">
      <c r="A24" s="39">
        <f t="shared" si="10"/>
        <v>513</v>
      </c>
      <c r="B24" s="40" t="s">
        <v>1772</v>
      </c>
      <c r="C24" s="40"/>
      <c r="D24" s="113" t="s">
        <v>1304</v>
      </c>
      <c r="E24" s="757"/>
      <c r="F24" s="60"/>
      <c r="G24" s="1147">
        <f t="shared" si="6"/>
        <v>0</v>
      </c>
      <c r="H24" s="1144"/>
      <c r="I24" s="347" t="s">
        <v>2184</v>
      </c>
      <c r="J24" s="343"/>
      <c r="K24" s="104">
        <f>Uitvoerbestand!I18</f>
        <v>278.51</v>
      </c>
      <c r="L24" s="1235">
        <f t="shared" si="7"/>
        <v>0</v>
      </c>
      <c r="M24" s="1236"/>
      <c r="N24" s="62"/>
      <c r="O24" s="1145"/>
      <c r="P24" s="1259"/>
      <c r="Q24" s="757"/>
      <c r="R24" s="104">
        <v>277.32</v>
      </c>
      <c r="S24" s="1227">
        <f t="shared" si="8"/>
        <v>0</v>
      </c>
      <c r="T24" s="1144"/>
      <c r="U24" s="147"/>
      <c r="V24" s="3" t="s">
        <v>2272</v>
      </c>
      <c r="X24" s="908">
        <f t="shared" si="9"/>
        <v>0</v>
      </c>
      <c r="Y24" s="917">
        <f t="shared" si="5"/>
        <v>0</v>
      </c>
      <c r="AA24" s="125"/>
      <c r="AY24" s="746"/>
      <c r="AZ24" s="746"/>
      <c r="BA24" s="747"/>
      <c r="BB24" s="748"/>
      <c r="BC24" s="748"/>
      <c r="BD24" s="749"/>
    </row>
    <row r="25" spans="1:56" ht="12.75">
      <c r="A25" s="39">
        <f t="shared" si="10"/>
        <v>514</v>
      </c>
      <c r="B25" s="40" t="s">
        <v>2254</v>
      </c>
      <c r="C25" s="40"/>
      <c r="D25" s="113" t="s">
        <v>2252</v>
      </c>
      <c r="E25" s="757"/>
      <c r="F25" s="60"/>
      <c r="G25" s="1147">
        <f t="shared" si="6"/>
        <v>0</v>
      </c>
      <c r="H25" s="1144"/>
      <c r="I25" s="347" t="s">
        <v>2253</v>
      </c>
      <c r="J25" s="343"/>
      <c r="K25" s="104">
        <f>Uitvoerbestand!I19</f>
        <v>199.65</v>
      </c>
      <c r="L25" s="1235">
        <f t="shared" si="7"/>
        <v>0</v>
      </c>
      <c r="M25" s="1236"/>
      <c r="N25" s="62"/>
      <c r="O25" s="1145"/>
      <c r="P25" s="1259"/>
      <c r="Q25" s="757"/>
      <c r="R25" s="758">
        <v>198.78</v>
      </c>
      <c r="S25" s="1227">
        <f t="shared" si="8"/>
        <v>0</v>
      </c>
      <c r="T25" s="1144"/>
      <c r="U25" s="147"/>
      <c r="V25" s="3" t="s">
        <v>2273</v>
      </c>
      <c r="X25" s="908">
        <f t="shared" si="9"/>
        <v>0</v>
      </c>
      <c r="Y25" s="917">
        <f t="shared" si="5"/>
        <v>0</v>
      </c>
      <c r="AA25" s="125"/>
      <c r="AY25" s="746"/>
      <c r="AZ25" s="746"/>
      <c r="BA25" s="747"/>
      <c r="BB25" s="748"/>
      <c r="BC25" s="748"/>
      <c r="BD25" s="749"/>
    </row>
    <row r="26" spans="1:56" ht="12.75">
      <c r="A26" s="36">
        <f t="shared" si="10"/>
        <v>515</v>
      </c>
      <c r="B26" s="42" t="s">
        <v>223</v>
      </c>
      <c r="C26" s="42"/>
      <c r="D26" s="42"/>
      <c r="E26" s="63">
        <f>SUM(E19:E25)</f>
        <v>0</v>
      </c>
      <c r="F26" s="64">
        <f>SUM(F19:F25)</f>
        <v>0</v>
      </c>
      <c r="G26" s="1149">
        <f>SUM(G19:G25)</f>
        <v>0</v>
      </c>
      <c r="H26" s="1144"/>
      <c r="I26" s="348"/>
      <c r="J26" s="343"/>
      <c r="K26" s="305"/>
      <c r="L26" s="1149">
        <f>SUM(L19:L25)</f>
        <v>0</v>
      </c>
      <c r="M26" s="1236"/>
      <c r="N26" s="54"/>
      <c r="O26" s="1149">
        <f>SUM(O19:O25)</f>
        <v>0</v>
      </c>
      <c r="P26" s="1144"/>
      <c r="Q26" s="64">
        <f>SUM(Q19:Q25)</f>
        <v>0</v>
      </c>
      <c r="R26" s="43"/>
      <c r="S26" s="1149">
        <f>SUM(S19:S25)</f>
        <v>0</v>
      </c>
      <c r="T26" s="1144"/>
      <c r="U26" s="147"/>
      <c r="V26" s="3"/>
      <c r="Z26">
        <f>SUM(Y19:Y25)</f>
        <v>0</v>
      </c>
      <c r="AA26" s="125"/>
      <c r="AY26" s="746"/>
      <c r="AZ26" s="746"/>
      <c r="BA26" s="747"/>
      <c r="BB26" s="748"/>
      <c r="BC26" s="748"/>
      <c r="BD26" s="749"/>
    </row>
    <row r="27" spans="1:56" ht="12.75">
      <c r="A27" s="22"/>
      <c r="B27" s="23" t="s">
        <v>1566</v>
      </c>
      <c r="C27" s="24"/>
      <c r="D27" s="23"/>
      <c r="E27" s="34"/>
      <c r="F27" s="23"/>
      <c r="G27" s="23"/>
      <c r="H27" s="23"/>
      <c r="I27" s="346"/>
      <c r="J27" s="343"/>
      <c r="K27" s="298"/>
      <c r="L27" s="10"/>
      <c r="M27" s="23"/>
      <c r="N27" s="24"/>
      <c r="O27" s="34"/>
      <c r="P27" s="34"/>
      <c r="Q27" s="34"/>
      <c r="R27" s="34"/>
      <c r="S27" s="55"/>
      <c r="T27" s="84"/>
      <c r="U27" s="144"/>
      <c r="V27" s="3"/>
      <c r="AA27" s="125"/>
      <c r="AY27" s="746"/>
      <c r="AZ27" s="746"/>
      <c r="BA27" s="747"/>
      <c r="BB27" s="748"/>
      <c r="BC27" s="748"/>
      <c r="BD27" s="749"/>
    </row>
    <row r="28" spans="1:56" ht="12.75">
      <c r="A28" s="36">
        <f>A26+1</f>
        <v>516</v>
      </c>
      <c r="B28" s="37" t="s">
        <v>1571</v>
      </c>
      <c r="C28" s="37"/>
      <c r="D28" s="113" t="s">
        <v>1290</v>
      </c>
      <c r="E28" s="757"/>
      <c r="F28" s="60"/>
      <c r="G28" s="1147">
        <f aca="true" t="shared" si="11" ref="G28:G36">F28-E28</f>
        <v>0</v>
      </c>
      <c r="H28" s="1144"/>
      <c r="I28" s="347" t="s">
        <v>2186</v>
      </c>
      <c r="J28" s="343"/>
      <c r="K28" s="104">
        <f>Uitvoerbestand!I22</f>
        <v>81.99000000000001</v>
      </c>
      <c r="L28" s="1235">
        <f aca="true" t="shared" si="12" ref="L28:L36">F28*K28</f>
        <v>0</v>
      </c>
      <c r="M28" s="1236"/>
      <c r="N28" s="62"/>
      <c r="O28" s="1145"/>
      <c r="P28" s="1259"/>
      <c r="Q28" s="757"/>
      <c r="R28" s="104">
        <v>81.59</v>
      </c>
      <c r="S28" s="1227">
        <f aca="true" t="shared" si="13" ref="S28:S36">Q28*R28</f>
        <v>0</v>
      </c>
      <c r="T28" s="1144"/>
      <c r="U28" s="145"/>
      <c r="V28" s="3" t="s">
        <v>2274</v>
      </c>
      <c r="X28" s="908">
        <f aca="true" t="shared" si="14" ref="X28:X36">(S28+L28)*A28</f>
        <v>0</v>
      </c>
      <c r="Y28" s="917">
        <f t="shared" si="5"/>
        <v>0</v>
      </c>
      <c r="AA28" s="125"/>
      <c r="AY28" s="746"/>
      <c r="AZ28" s="746"/>
      <c r="BA28" s="747"/>
      <c r="BB28" s="748"/>
      <c r="BC28" s="748"/>
      <c r="BD28" s="749"/>
    </row>
    <row r="29" spans="1:56" ht="12.75">
      <c r="A29" s="39">
        <f aca="true" t="shared" si="15" ref="A29:A37">A28+1</f>
        <v>517</v>
      </c>
      <c r="B29" s="37" t="s">
        <v>1771</v>
      </c>
      <c r="C29" s="37"/>
      <c r="D29" s="113" t="s">
        <v>1291</v>
      </c>
      <c r="E29" s="757"/>
      <c r="F29" s="60"/>
      <c r="G29" s="1147">
        <f t="shared" si="11"/>
        <v>0</v>
      </c>
      <c r="H29" s="1144"/>
      <c r="I29" s="347" t="s">
        <v>2187</v>
      </c>
      <c r="J29" s="343"/>
      <c r="K29" s="104">
        <f>Uitvoerbestand!I23</f>
        <v>112.22999999999999</v>
      </c>
      <c r="L29" s="1235">
        <f t="shared" si="12"/>
        <v>0</v>
      </c>
      <c r="M29" s="1236"/>
      <c r="N29" s="62"/>
      <c r="O29" s="1145"/>
      <c r="P29" s="1259"/>
      <c r="Q29" s="757"/>
      <c r="R29" s="104">
        <v>111.71</v>
      </c>
      <c r="S29" s="1227">
        <f t="shared" si="13"/>
        <v>0</v>
      </c>
      <c r="T29" s="1252"/>
      <c r="U29" s="146"/>
      <c r="V29" s="3" t="s">
        <v>2275</v>
      </c>
      <c r="X29" s="908">
        <f t="shared" si="14"/>
        <v>0</v>
      </c>
      <c r="Y29" s="917">
        <f t="shared" si="5"/>
        <v>0</v>
      </c>
      <c r="AA29" s="125"/>
      <c r="AY29" s="746"/>
      <c r="AZ29" s="746"/>
      <c r="BA29" s="747"/>
      <c r="BB29" s="748"/>
      <c r="BC29" s="748"/>
      <c r="BD29" s="749"/>
    </row>
    <row r="30" spans="1:56" ht="12.75">
      <c r="A30" s="39">
        <f t="shared" si="15"/>
        <v>518</v>
      </c>
      <c r="B30" s="37" t="s">
        <v>1770</v>
      </c>
      <c r="C30" s="37"/>
      <c r="D30" s="113" t="s">
        <v>1292</v>
      </c>
      <c r="E30" s="757"/>
      <c r="F30" s="60"/>
      <c r="G30" s="1147">
        <f t="shared" si="11"/>
        <v>0</v>
      </c>
      <c r="H30" s="1144"/>
      <c r="I30" s="347" t="s">
        <v>2188</v>
      </c>
      <c r="J30" s="343"/>
      <c r="K30" s="104">
        <f>Uitvoerbestand!I24</f>
        <v>173.41</v>
      </c>
      <c r="L30" s="1235">
        <f t="shared" si="12"/>
        <v>0</v>
      </c>
      <c r="M30" s="1236"/>
      <c r="N30" s="62"/>
      <c r="O30" s="1145"/>
      <c r="P30" s="1259"/>
      <c r="Q30" s="757"/>
      <c r="R30" s="104">
        <v>172.65</v>
      </c>
      <c r="S30" s="1227">
        <f t="shared" si="13"/>
        <v>0</v>
      </c>
      <c r="T30" s="1144"/>
      <c r="U30" s="147"/>
      <c r="V30" s="3" t="s">
        <v>2276</v>
      </c>
      <c r="X30" s="908">
        <f t="shared" si="14"/>
        <v>0</v>
      </c>
      <c r="Y30" s="917">
        <f t="shared" si="5"/>
        <v>0</v>
      </c>
      <c r="AA30" s="125"/>
      <c r="AY30" s="746"/>
      <c r="AZ30" s="746"/>
      <c r="BA30" s="747"/>
      <c r="BB30" s="748"/>
      <c r="BC30" s="748"/>
      <c r="BD30" s="749"/>
    </row>
    <row r="31" spans="1:56" ht="12.75">
      <c r="A31" s="39">
        <f t="shared" si="15"/>
        <v>519</v>
      </c>
      <c r="B31" s="37" t="s">
        <v>554</v>
      </c>
      <c r="C31" s="37"/>
      <c r="D31" s="113" t="s">
        <v>1293</v>
      </c>
      <c r="E31" s="757"/>
      <c r="F31" s="60"/>
      <c r="G31" s="1147">
        <f t="shared" si="11"/>
        <v>0</v>
      </c>
      <c r="H31" s="1144"/>
      <c r="I31" s="347" t="s">
        <v>2189</v>
      </c>
      <c r="J31" s="343"/>
      <c r="K31" s="104">
        <f>Uitvoerbestand!I25</f>
        <v>38.300000000000004</v>
      </c>
      <c r="L31" s="1235">
        <f t="shared" si="12"/>
        <v>0</v>
      </c>
      <c r="M31" s="1236"/>
      <c r="N31" s="62"/>
      <c r="O31" s="1145"/>
      <c r="P31" s="1259"/>
      <c r="Q31" s="757"/>
      <c r="R31" s="104">
        <v>38.11</v>
      </c>
      <c r="S31" s="1227">
        <f t="shared" si="13"/>
        <v>0</v>
      </c>
      <c r="T31" s="1252"/>
      <c r="U31" s="146"/>
      <c r="V31" s="3" t="s">
        <v>260</v>
      </c>
      <c r="X31" s="908">
        <f t="shared" si="14"/>
        <v>0</v>
      </c>
      <c r="Y31" s="917">
        <f t="shared" si="5"/>
        <v>0</v>
      </c>
      <c r="AA31" s="125"/>
      <c r="AY31" s="746"/>
      <c r="AZ31" s="746"/>
      <c r="BA31" s="747"/>
      <c r="BB31" s="748"/>
      <c r="BC31" s="748"/>
      <c r="BD31" s="749"/>
    </row>
    <row r="32" spans="1:56" ht="12.75">
      <c r="A32" s="39">
        <f t="shared" si="15"/>
        <v>520</v>
      </c>
      <c r="B32" s="37" t="s">
        <v>1677</v>
      </c>
      <c r="C32" s="37"/>
      <c r="D32" s="113" t="s">
        <v>1305</v>
      </c>
      <c r="E32" s="757"/>
      <c r="F32" s="60"/>
      <c r="G32" s="1147">
        <f t="shared" si="11"/>
        <v>0</v>
      </c>
      <c r="H32" s="1144"/>
      <c r="I32" s="347" t="s">
        <v>2190</v>
      </c>
      <c r="J32" s="343"/>
      <c r="K32" s="104">
        <f>Uitvoerbestand!I26</f>
        <v>42.51</v>
      </c>
      <c r="L32" s="1235">
        <f t="shared" si="12"/>
        <v>0</v>
      </c>
      <c r="M32" s="1236"/>
      <c r="N32" s="62"/>
      <c r="O32" s="1145"/>
      <c r="P32" s="1259"/>
      <c r="Q32" s="757"/>
      <c r="R32" s="104">
        <v>42.27</v>
      </c>
      <c r="S32" s="1227">
        <f t="shared" si="13"/>
        <v>0</v>
      </c>
      <c r="T32" s="1144"/>
      <c r="U32" s="147"/>
      <c r="V32" s="3" t="s">
        <v>261</v>
      </c>
      <c r="X32" s="908">
        <f t="shared" si="14"/>
        <v>0</v>
      </c>
      <c r="Y32" s="917">
        <f t="shared" si="5"/>
        <v>0</v>
      </c>
      <c r="AA32" s="125"/>
      <c r="AY32" s="746"/>
      <c r="AZ32" s="746"/>
      <c r="BA32" s="747"/>
      <c r="BB32" s="748"/>
      <c r="BC32" s="748"/>
      <c r="BD32" s="749"/>
    </row>
    <row r="33" spans="1:56" ht="12.75">
      <c r="A33" s="39">
        <f t="shared" si="15"/>
        <v>521</v>
      </c>
      <c r="B33" s="37" t="s">
        <v>1771</v>
      </c>
      <c r="C33" s="37"/>
      <c r="D33" s="113" t="s">
        <v>1306</v>
      </c>
      <c r="E33" s="757"/>
      <c r="F33" s="60"/>
      <c r="G33" s="1147">
        <f t="shared" si="11"/>
        <v>0</v>
      </c>
      <c r="H33" s="1144"/>
      <c r="I33" s="347" t="s">
        <v>2191</v>
      </c>
      <c r="J33" s="343"/>
      <c r="K33" s="104">
        <f>Uitvoerbestand!I27</f>
        <v>95.03</v>
      </c>
      <c r="L33" s="1235">
        <f t="shared" si="12"/>
        <v>0</v>
      </c>
      <c r="M33" s="1236"/>
      <c r="N33" s="62"/>
      <c r="O33" s="1145"/>
      <c r="P33" s="1259"/>
      <c r="Q33" s="757"/>
      <c r="R33" s="104">
        <v>94.58</v>
      </c>
      <c r="S33" s="1227">
        <f t="shared" si="13"/>
        <v>0</v>
      </c>
      <c r="T33" s="1144"/>
      <c r="U33" s="147"/>
      <c r="V33" s="3" t="s">
        <v>262</v>
      </c>
      <c r="X33" s="908">
        <f t="shared" si="14"/>
        <v>0</v>
      </c>
      <c r="Y33" s="917">
        <f t="shared" si="5"/>
        <v>0</v>
      </c>
      <c r="AA33" s="125"/>
      <c r="AY33" s="746"/>
      <c r="AZ33" s="746"/>
      <c r="BA33" s="747"/>
      <c r="BB33" s="748"/>
      <c r="BC33" s="748"/>
      <c r="BD33" s="749"/>
    </row>
    <row r="34" spans="1:56" ht="12.75">
      <c r="A34" s="39">
        <f t="shared" si="15"/>
        <v>522</v>
      </c>
      <c r="B34" s="37" t="s">
        <v>1773</v>
      </c>
      <c r="C34" s="37"/>
      <c r="D34" s="113" t="s">
        <v>1307</v>
      </c>
      <c r="E34" s="757"/>
      <c r="F34" s="60"/>
      <c r="G34" s="1147">
        <f t="shared" si="11"/>
        <v>0</v>
      </c>
      <c r="H34" s="1144"/>
      <c r="I34" s="347" t="s">
        <v>2192</v>
      </c>
      <c r="J34" s="343"/>
      <c r="K34" s="104">
        <f>Uitvoerbestand!I28</f>
        <v>61.61</v>
      </c>
      <c r="L34" s="1235">
        <f t="shared" si="12"/>
        <v>0</v>
      </c>
      <c r="M34" s="1236"/>
      <c r="N34" s="62"/>
      <c r="O34" s="1145"/>
      <c r="P34" s="1259"/>
      <c r="Q34" s="757"/>
      <c r="R34" s="104">
        <v>61.29</v>
      </c>
      <c r="S34" s="1227">
        <f t="shared" si="13"/>
        <v>0</v>
      </c>
      <c r="T34" s="1252"/>
      <c r="U34" s="146"/>
      <c r="V34" s="3" t="s">
        <v>263</v>
      </c>
      <c r="X34" s="908">
        <f t="shared" si="14"/>
        <v>0</v>
      </c>
      <c r="Y34" s="917">
        <f t="shared" si="5"/>
        <v>0</v>
      </c>
      <c r="AA34" s="125"/>
      <c r="AY34" s="746"/>
      <c r="AZ34" s="746"/>
      <c r="BA34" s="747"/>
      <c r="BB34" s="748"/>
      <c r="BC34" s="748"/>
      <c r="BD34" s="749"/>
    </row>
    <row r="35" spans="1:56" ht="12.75">
      <c r="A35" s="39">
        <f t="shared" si="15"/>
        <v>523</v>
      </c>
      <c r="B35" s="37" t="s">
        <v>1771</v>
      </c>
      <c r="C35" s="37"/>
      <c r="D35" s="113" t="s">
        <v>1308</v>
      </c>
      <c r="E35" s="757"/>
      <c r="F35" s="60"/>
      <c r="G35" s="1147">
        <f t="shared" si="11"/>
        <v>0</v>
      </c>
      <c r="H35" s="1144"/>
      <c r="I35" s="347" t="s">
        <v>2193</v>
      </c>
      <c r="J35" s="343"/>
      <c r="K35" s="104">
        <f>Uitvoerbestand!I29</f>
        <v>104</v>
      </c>
      <c r="L35" s="1235">
        <f t="shared" si="12"/>
        <v>0</v>
      </c>
      <c r="M35" s="1236"/>
      <c r="N35" s="62"/>
      <c r="O35" s="1145"/>
      <c r="P35" s="1259"/>
      <c r="Q35" s="757"/>
      <c r="R35" s="104">
        <v>103.51</v>
      </c>
      <c r="S35" s="1227">
        <f t="shared" si="13"/>
        <v>0</v>
      </c>
      <c r="T35" s="1144"/>
      <c r="U35" s="147"/>
      <c r="V35" s="3" t="s">
        <v>264</v>
      </c>
      <c r="X35" s="908">
        <f t="shared" si="14"/>
        <v>0</v>
      </c>
      <c r="Y35" s="917">
        <f t="shared" si="5"/>
        <v>0</v>
      </c>
      <c r="AA35" s="125"/>
      <c r="AY35" s="746"/>
      <c r="AZ35" s="746"/>
      <c r="BA35" s="747"/>
      <c r="BB35" s="748"/>
      <c r="BC35" s="748"/>
      <c r="BD35" s="749"/>
    </row>
    <row r="36" spans="1:56" ht="12.75">
      <c r="A36" s="39">
        <f t="shared" si="15"/>
        <v>524</v>
      </c>
      <c r="B36" s="40" t="s">
        <v>1774</v>
      </c>
      <c r="C36" s="40"/>
      <c r="D36" s="113" t="s">
        <v>1309</v>
      </c>
      <c r="E36" s="757"/>
      <c r="F36" s="60"/>
      <c r="G36" s="1147">
        <f t="shared" si="11"/>
        <v>0</v>
      </c>
      <c r="H36" s="1144"/>
      <c r="I36" s="347" t="s">
        <v>2194</v>
      </c>
      <c r="J36" s="343"/>
      <c r="K36" s="104">
        <f>Uitvoerbestand!I30</f>
        <v>145.9</v>
      </c>
      <c r="L36" s="1235">
        <f t="shared" si="12"/>
        <v>0</v>
      </c>
      <c r="M36" s="1236"/>
      <c r="N36" s="62"/>
      <c r="O36" s="1145"/>
      <c r="P36" s="1259"/>
      <c r="Q36" s="757"/>
      <c r="R36" s="104">
        <v>145.25</v>
      </c>
      <c r="S36" s="1227">
        <f t="shared" si="13"/>
        <v>0</v>
      </c>
      <c r="T36" s="1144"/>
      <c r="U36" s="147"/>
      <c r="V36" s="3" t="s">
        <v>265</v>
      </c>
      <c r="X36" s="908">
        <f t="shared" si="14"/>
        <v>0</v>
      </c>
      <c r="Y36" s="917">
        <f t="shared" si="5"/>
        <v>0</v>
      </c>
      <c r="AA36" s="125"/>
      <c r="AY36" s="746"/>
      <c r="AZ36" s="746"/>
      <c r="BA36" s="747"/>
      <c r="BB36" s="748"/>
      <c r="BC36" s="748"/>
      <c r="BD36" s="749"/>
    </row>
    <row r="37" spans="1:56" ht="12.75">
      <c r="A37" s="36">
        <f t="shared" si="15"/>
        <v>525</v>
      </c>
      <c r="B37" s="42" t="s">
        <v>223</v>
      </c>
      <c r="C37" s="42"/>
      <c r="D37" s="42"/>
      <c r="E37" s="63">
        <f>SUM(E28:E36)</f>
        <v>0</v>
      </c>
      <c r="F37" s="64">
        <f>SUM(F28:F36)</f>
        <v>0</v>
      </c>
      <c r="G37" s="1149">
        <f>SUM(G28:G36)</f>
        <v>0</v>
      </c>
      <c r="H37" s="1144"/>
      <c r="I37" s="348"/>
      <c r="J37" s="343"/>
      <c r="K37" s="305"/>
      <c r="L37" s="1149">
        <f>SUM(L28:L36)</f>
        <v>0</v>
      </c>
      <c r="M37" s="1236"/>
      <c r="N37" s="54"/>
      <c r="O37" s="1149">
        <f>SUM(O28:O36)</f>
        <v>0</v>
      </c>
      <c r="P37" s="1144"/>
      <c r="Q37" s="64">
        <f>SUM(Q28:Q36)</f>
        <v>0</v>
      </c>
      <c r="R37" s="43"/>
      <c r="S37" s="1149">
        <f>SUM(S28:S36)</f>
        <v>0</v>
      </c>
      <c r="T37" s="1144"/>
      <c r="U37" s="147"/>
      <c r="V37" s="3"/>
      <c r="Z37">
        <f>SUM(Y28:Y36)</f>
        <v>0</v>
      </c>
      <c r="AA37" s="125"/>
      <c r="AY37" s="746"/>
      <c r="AZ37" s="746"/>
      <c r="BA37" s="747"/>
      <c r="BB37" s="748"/>
      <c r="BC37" s="748"/>
      <c r="BD37" s="749"/>
    </row>
    <row r="38" spans="1:56" ht="12.75">
      <c r="A38" s="22"/>
      <c r="B38" s="23" t="s">
        <v>1567</v>
      </c>
      <c r="C38" s="24"/>
      <c r="D38" s="23"/>
      <c r="E38" s="34"/>
      <c r="F38" s="23"/>
      <c r="G38" s="23"/>
      <c r="H38" s="23"/>
      <c r="I38" s="346"/>
      <c r="J38" s="343"/>
      <c r="K38" s="298"/>
      <c r="L38" s="10"/>
      <c r="M38" s="23"/>
      <c r="N38" s="24"/>
      <c r="O38" s="34"/>
      <c r="P38" s="34"/>
      <c r="Q38" s="34"/>
      <c r="R38" s="34"/>
      <c r="S38" s="55"/>
      <c r="T38" s="84"/>
      <c r="U38" s="144"/>
      <c r="V38" s="3"/>
      <c r="AA38" s="125"/>
      <c r="AY38" s="746"/>
      <c r="AZ38" s="746"/>
      <c r="BA38" s="747"/>
      <c r="BB38" s="748"/>
      <c r="BC38" s="748"/>
      <c r="BD38" s="749"/>
    </row>
    <row r="39" spans="1:56" ht="12.75">
      <c r="A39" s="36">
        <f>A37+1</f>
        <v>526</v>
      </c>
      <c r="B39" s="37" t="s">
        <v>555</v>
      </c>
      <c r="C39" s="37"/>
      <c r="D39" s="113" t="s">
        <v>1310</v>
      </c>
      <c r="E39" s="757"/>
      <c r="F39" s="61"/>
      <c r="G39" s="1147">
        <f aca="true" t="shared" si="16" ref="G39:G44">F39-E39</f>
        <v>0</v>
      </c>
      <c r="H39" s="1144"/>
      <c r="I39" s="347" t="s">
        <v>2200</v>
      </c>
      <c r="J39" s="343"/>
      <c r="K39" s="104">
        <f>Uitvoerbestand!I33</f>
        <v>186.5</v>
      </c>
      <c r="L39" s="1235">
        <f aca="true" t="shared" si="17" ref="L39:L44">F39*K39</f>
        <v>0</v>
      </c>
      <c r="M39" s="1236"/>
      <c r="N39" s="62"/>
      <c r="O39" s="1145"/>
      <c r="P39" s="1259"/>
      <c r="Q39" s="757"/>
      <c r="R39" s="104">
        <v>185.68</v>
      </c>
      <c r="S39" s="1227">
        <f aca="true" t="shared" si="18" ref="S39:S44">Q39*R39</f>
        <v>0</v>
      </c>
      <c r="T39" s="1144"/>
      <c r="U39" s="145"/>
      <c r="V39" s="3" t="s">
        <v>266</v>
      </c>
      <c r="X39" s="908">
        <f aca="true" t="shared" si="19" ref="X39:X44">(S39+L39)*A39</f>
        <v>0</v>
      </c>
      <c r="Y39" s="917">
        <f t="shared" si="5"/>
        <v>0</v>
      </c>
      <c r="AA39" s="125"/>
      <c r="AY39" s="746"/>
      <c r="AZ39" s="746"/>
      <c r="BA39" s="747"/>
      <c r="BB39" s="748"/>
      <c r="BC39" s="748"/>
      <c r="BD39" s="749"/>
    </row>
    <row r="40" spans="1:56" ht="12.75">
      <c r="A40" s="39">
        <f aca="true" t="shared" si="20" ref="A40:A45">A39+1</f>
        <v>527</v>
      </c>
      <c r="B40" s="37" t="s">
        <v>556</v>
      </c>
      <c r="C40" s="37"/>
      <c r="D40" s="113" t="s">
        <v>1311</v>
      </c>
      <c r="E40" s="757"/>
      <c r="F40" s="61"/>
      <c r="G40" s="1147">
        <f t="shared" si="16"/>
        <v>0</v>
      </c>
      <c r="H40" s="1144"/>
      <c r="I40" s="347" t="s">
        <v>2195</v>
      </c>
      <c r="J40" s="343"/>
      <c r="K40" s="104">
        <f>Uitvoerbestand!I34</f>
        <v>245.23</v>
      </c>
      <c r="L40" s="1235">
        <f t="shared" si="17"/>
        <v>0</v>
      </c>
      <c r="M40" s="1236"/>
      <c r="N40" s="62"/>
      <c r="O40" s="1145"/>
      <c r="P40" s="1259"/>
      <c r="Q40" s="757"/>
      <c r="R40" s="104">
        <v>244.17</v>
      </c>
      <c r="S40" s="1227">
        <f t="shared" si="18"/>
        <v>0</v>
      </c>
      <c r="T40" s="1252"/>
      <c r="U40" s="146"/>
      <c r="V40" s="3" t="s">
        <v>267</v>
      </c>
      <c r="X40" s="908">
        <f t="shared" si="19"/>
        <v>0</v>
      </c>
      <c r="Y40" s="917">
        <f t="shared" si="5"/>
        <v>0</v>
      </c>
      <c r="AA40" s="125"/>
      <c r="AY40" s="746"/>
      <c r="AZ40" s="746"/>
      <c r="BA40" s="747"/>
      <c r="BB40" s="748"/>
      <c r="BC40" s="748"/>
      <c r="BD40" s="749"/>
    </row>
    <row r="41" spans="1:56" ht="12.75">
      <c r="A41" s="39">
        <f t="shared" si="20"/>
        <v>528</v>
      </c>
      <c r="B41" s="37" t="s">
        <v>557</v>
      </c>
      <c r="C41" s="37"/>
      <c r="D41" s="113" t="s">
        <v>1312</v>
      </c>
      <c r="E41" s="757"/>
      <c r="F41" s="61"/>
      <c r="G41" s="1147">
        <f t="shared" si="16"/>
        <v>0</v>
      </c>
      <c r="H41" s="1144"/>
      <c r="I41" s="347" t="s">
        <v>2196</v>
      </c>
      <c r="J41" s="343"/>
      <c r="K41" s="104">
        <f>Uitvoerbestand!I35</f>
        <v>189.7</v>
      </c>
      <c r="L41" s="1235">
        <f t="shared" si="17"/>
        <v>0</v>
      </c>
      <c r="M41" s="1236"/>
      <c r="N41" s="62"/>
      <c r="O41" s="1145"/>
      <c r="P41" s="1259"/>
      <c r="Q41" s="757"/>
      <c r="R41" s="104">
        <v>188.87</v>
      </c>
      <c r="S41" s="1227">
        <f t="shared" si="18"/>
        <v>0</v>
      </c>
      <c r="T41" s="1144"/>
      <c r="U41" s="147"/>
      <c r="V41" s="3" t="s">
        <v>268</v>
      </c>
      <c r="X41" s="908">
        <f t="shared" si="19"/>
        <v>0</v>
      </c>
      <c r="Y41" s="917">
        <f t="shared" si="5"/>
        <v>0</v>
      </c>
      <c r="AA41" s="125"/>
      <c r="AY41" s="746"/>
      <c r="AZ41" s="746"/>
      <c r="BA41" s="747"/>
      <c r="BB41" s="748"/>
      <c r="BC41" s="748"/>
      <c r="BD41" s="749"/>
    </row>
    <row r="42" spans="1:56" ht="12.75">
      <c r="A42" s="39">
        <f t="shared" si="20"/>
        <v>529</v>
      </c>
      <c r="B42" s="37" t="s">
        <v>558</v>
      </c>
      <c r="C42" s="37"/>
      <c r="D42" s="113" t="s">
        <v>1313</v>
      </c>
      <c r="E42" s="757"/>
      <c r="F42" s="61"/>
      <c r="G42" s="1147">
        <f t="shared" si="16"/>
        <v>0</v>
      </c>
      <c r="H42" s="1144"/>
      <c r="I42" s="347" t="s">
        <v>2197</v>
      </c>
      <c r="J42" s="343"/>
      <c r="K42" s="104">
        <f>Uitvoerbestand!I36</f>
        <v>283.35</v>
      </c>
      <c r="L42" s="1235">
        <f t="shared" si="17"/>
        <v>0</v>
      </c>
      <c r="M42" s="1236"/>
      <c r="N42" s="62"/>
      <c r="O42" s="1145"/>
      <c r="P42" s="1259"/>
      <c r="Q42" s="757"/>
      <c r="R42" s="104">
        <v>282.14</v>
      </c>
      <c r="S42" s="1227">
        <f t="shared" si="18"/>
        <v>0</v>
      </c>
      <c r="T42" s="1252"/>
      <c r="U42" s="146"/>
      <c r="V42" s="3" t="s">
        <v>269</v>
      </c>
      <c r="X42" s="908">
        <f t="shared" si="19"/>
        <v>0</v>
      </c>
      <c r="Y42" s="917">
        <f t="shared" si="5"/>
        <v>0</v>
      </c>
      <c r="AA42" s="125"/>
      <c r="AY42" s="746"/>
      <c r="AZ42" s="746"/>
      <c r="BA42" s="747"/>
      <c r="BB42" s="748"/>
      <c r="BC42" s="748"/>
      <c r="BD42" s="749"/>
    </row>
    <row r="43" spans="1:56" ht="12.75">
      <c r="A43" s="39">
        <f t="shared" si="20"/>
        <v>530</v>
      </c>
      <c r="B43" s="37" t="s">
        <v>559</v>
      </c>
      <c r="C43" s="37"/>
      <c r="D43" s="113" t="s">
        <v>1314</v>
      </c>
      <c r="E43" s="757"/>
      <c r="F43" s="61"/>
      <c r="G43" s="1147">
        <f t="shared" si="16"/>
        <v>0</v>
      </c>
      <c r="H43" s="1144"/>
      <c r="I43" s="347" t="s">
        <v>2198</v>
      </c>
      <c r="J43" s="343"/>
      <c r="K43" s="104">
        <f>Uitvoerbestand!I37</f>
        <v>242.81</v>
      </c>
      <c r="L43" s="1235">
        <f t="shared" si="17"/>
        <v>0</v>
      </c>
      <c r="M43" s="1236"/>
      <c r="N43" s="62"/>
      <c r="O43" s="1145"/>
      <c r="P43" s="1259"/>
      <c r="Q43" s="757"/>
      <c r="R43" s="104">
        <v>241.76</v>
      </c>
      <c r="S43" s="1227">
        <f t="shared" si="18"/>
        <v>0</v>
      </c>
      <c r="T43" s="1144"/>
      <c r="U43" s="147"/>
      <c r="V43" s="3" t="s">
        <v>270</v>
      </c>
      <c r="X43" s="908">
        <f t="shared" si="19"/>
        <v>0</v>
      </c>
      <c r="Y43" s="917">
        <f t="shared" si="5"/>
        <v>0</v>
      </c>
      <c r="AA43" s="125"/>
      <c r="AY43" s="746"/>
      <c r="AZ43" s="746"/>
      <c r="BA43" s="747"/>
      <c r="BB43" s="748"/>
      <c r="BC43" s="748"/>
      <c r="BD43" s="749"/>
    </row>
    <row r="44" spans="1:56" ht="12.75">
      <c r="A44" s="39">
        <f t="shared" si="20"/>
        <v>531</v>
      </c>
      <c r="B44" s="40" t="s">
        <v>560</v>
      </c>
      <c r="C44" s="40"/>
      <c r="D44" s="113" t="s">
        <v>1315</v>
      </c>
      <c r="E44" s="757"/>
      <c r="F44" s="61"/>
      <c r="G44" s="1147">
        <f t="shared" si="16"/>
        <v>0</v>
      </c>
      <c r="H44" s="1144"/>
      <c r="I44" s="347" t="s">
        <v>2199</v>
      </c>
      <c r="J44" s="343"/>
      <c r="K44" s="104">
        <f>Uitvoerbestand!I38</f>
        <v>305.95000000000005</v>
      </c>
      <c r="L44" s="1235">
        <f t="shared" si="17"/>
        <v>0</v>
      </c>
      <c r="M44" s="1236"/>
      <c r="N44" s="62"/>
      <c r="O44" s="1145"/>
      <c r="P44" s="1259"/>
      <c r="Q44" s="757"/>
      <c r="R44" s="104">
        <v>304.65</v>
      </c>
      <c r="S44" s="1227">
        <f t="shared" si="18"/>
        <v>0</v>
      </c>
      <c r="T44" s="1144"/>
      <c r="U44" s="147"/>
      <c r="V44" s="3" t="s">
        <v>271</v>
      </c>
      <c r="X44" s="908">
        <f t="shared" si="19"/>
        <v>0</v>
      </c>
      <c r="Y44" s="917">
        <f t="shared" si="5"/>
        <v>0</v>
      </c>
      <c r="AA44" s="125"/>
      <c r="AY44" s="746"/>
      <c r="AZ44" s="746"/>
      <c r="BA44" s="747"/>
      <c r="BB44" s="748"/>
      <c r="BC44" s="748"/>
      <c r="BD44" s="749"/>
    </row>
    <row r="45" spans="1:56" ht="12.75">
      <c r="A45" s="36">
        <f t="shared" si="20"/>
        <v>532</v>
      </c>
      <c r="B45" s="42" t="s">
        <v>223</v>
      </c>
      <c r="C45" s="42"/>
      <c r="D45" s="42"/>
      <c r="E45" s="63">
        <f>SUM(E39:E44)</f>
        <v>0</v>
      </c>
      <c r="F45" s="64">
        <f>SUM(F39:F44)</f>
        <v>0</v>
      </c>
      <c r="G45" s="1149">
        <f>SUM(G39:G44)</f>
        <v>0</v>
      </c>
      <c r="H45" s="1144"/>
      <c r="I45" s="348"/>
      <c r="J45" s="343"/>
      <c r="K45" s="305"/>
      <c r="L45" s="1149">
        <f>SUM(L39:L44)</f>
        <v>0</v>
      </c>
      <c r="M45" s="1236"/>
      <c r="N45" s="54"/>
      <c r="O45" s="1149">
        <f>SUM(O39:P44)</f>
        <v>0</v>
      </c>
      <c r="P45" s="1144"/>
      <c r="Q45" s="64">
        <f>SUM(Q39:Q44)</f>
        <v>0</v>
      </c>
      <c r="R45" s="43"/>
      <c r="S45" s="1149">
        <f>SUM(S39:S44)</f>
        <v>0</v>
      </c>
      <c r="T45" s="1144"/>
      <c r="U45" s="147"/>
      <c r="V45" s="3"/>
      <c r="Z45">
        <f>SUM(Y39:Y44)</f>
        <v>0</v>
      </c>
      <c r="AA45" s="125"/>
      <c r="AY45" s="746"/>
      <c r="AZ45" s="746"/>
      <c r="BA45" s="747"/>
      <c r="BB45" s="748"/>
      <c r="BC45" s="748"/>
      <c r="BD45" s="749"/>
    </row>
    <row r="46" spans="1:56" ht="12.75">
      <c r="A46" s="22"/>
      <c r="B46" s="23"/>
      <c r="C46" s="24"/>
      <c r="D46" s="23"/>
      <c r="E46" s="65"/>
      <c r="F46" s="58"/>
      <c r="G46" s="58"/>
      <c r="H46" s="58"/>
      <c r="I46" s="346"/>
      <c r="J46" s="343"/>
      <c r="K46" s="298"/>
      <c r="L46" s="66"/>
      <c r="M46" s="58"/>
      <c r="N46" s="54"/>
      <c r="O46" s="65"/>
      <c r="P46" s="65"/>
      <c r="Q46" s="65"/>
      <c r="R46" s="34"/>
      <c r="S46" s="79"/>
      <c r="T46" s="79"/>
      <c r="U46" s="143"/>
      <c r="V46" s="3"/>
      <c r="AA46" s="125"/>
      <c r="AY46" s="746"/>
      <c r="AZ46" s="746"/>
      <c r="BA46" s="747"/>
      <c r="BB46" s="748"/>
      <c r="BC46" s="748"/>
      <c r="BD46" s="749"/>
    </row>
    <row r="47" spans="1:56" ht="12.75">
      <c r="A47" s="22"/>
      <c r="B47" s="23"/>
      <c r="C47" s="24"/>
      <c r="D47" s="25"/>
      <c r="E47" s="26" t="s">
        <v>224</v>
      </c>
      <c r="F47" s="26" t="str">
        <f>F7</f>
        <v>Mutatie</v>
      </c>
      <c r="G47" s="1338" t="s">
        <v>221</v>
      </c>
      <c r="H47" s="1274"/>
      <c r="I47" s="343"/>
      <c r="J47" s="343"/>
      <c r="K47" s="1387" t="str">
        <f>CONCATENATE("Budget ",$E$8)</f>
        <v>Budget 2006</v>
      </c>
      <c r="L47" s="1388"/>
      <c r="M47" s="1389"/>
      <c r="N47" s="25"/>
      <c r="O47" s="1264" t="s">
        <v>227</v>
      </c>
      <c r="P47" s="1265"/>
      <c r="Q47" s="1386" t="s">
        <v>227</v>
      </c>
      <c r="R47" s="1264" t="str">
        <f>CONCATENATE("Nacalculatie ",$E$8-1)</f>
        <v>Nacalculatie 2005</v>
      </c>
      <c r="S47" s="1385"/>
      <c r="T47" s="1272"/>
      <c r="U47" s="141"/>
      <c r="V47" s="3"/>
      <c r="AA47" s="125"/>
      <c r="AY47" s="746"/>
      <c r="AZ47" s="746"/>
      <c r="BA47" s="747"/>
      <c r="BB47" s="748"/>
      <c r="BC47" s="748"/>
      <c r="BD47" s="749"/>
    </row>
    <row r="48" spans="1:56" ht="12.75">
      <c r="A48" s="28"/>
      <c r="B48" s="29"/>
      <c r="C48" s="30"/>
      <c r="D48" s="30"/>
      <c r="E48" s="31">
        <f>$E$8</f>
        <v>2006</v>
      </c>
      <c r="F48" s="31">
        <f>$E$8</f>
        <v>2006</v>
      </c>
      <c r="G48" s="1250"/>
      <c r="H48" s="1415"/>
      <c r="I48" s="345"/>
      <c r="J48" s="343"/>
      <c r="K48" s="302" t="s">
        <v>233</v>
      </c>
      <c r="L48" s="1380" t="s">
        <v>234</v>
      </c>
      <c r="M48" s="1392"/>
      <c r="N48" s="30"/>
      <c r="O48" s="1380">
        <f>$E$8-2</f>
        <v>2004</v>
      </c>
      <c r="P48" s="1381"/>
      <c r="Q48" s="33">
        <f>$E$8-1</f>
        <v>2005</v>
      </c>
      <c r="R48" s="32" t="s">
        <v>233</v>
      </c>
      <c r="S48" s="1380" t="s">
        <v>234</v>
      </c>
      <c r="T48" s="1382"/>
      <c r="U48" s="142"/>
      <c r="V48" s="3"/>
      <c r="AA48" s="125"/>
      <c r="AY48" s="746"/>
      <c r="AZ48" s="746"/>
      <c r="BA48" s="747"/>
      <c r="BB48" s="748"/>
      <c r="BC48" s="748"/>
      <c r="BD48" s="749"/>
    </row>
    <row r="49" spans="1:56" ht="12.75">
      <c r="A49" s="28"/>
      <c r="B49" s="29"/>
      <c r="C49" s="30"/>
      <c r="D49" s="30"/>
      <c r="E49" s="27" t="s">
        <v>910</v>
      </c>
      <c r="F49" s="27" t="s">
        <v>911</v>
      </c>
      <c r="G49" s="1340" t="s">
        <v>912</v>
      </c>
      <c r="H49" s="1340"/>
      <c r="I49" s="346"/>
      <c r="J49" s="343"/>
      <c r="K49" s="303" t="s">
        <v>913</v>
      </c>
      <c r="L49" s="1340" t="s">
        <v>914</v>
      </c>
      <c r="M49" s="1340"/>
      <c r="N49" s="1340" t="s">
        <v>915</v>
      </c>
      <c r="O49" s="1340"/>
      <c r="P49" s="1340"/>
      <c r="Q49" s="27" t="s">
        <v>916</v>
      </c>
      <c r="R49" s="27" t="s">
        <v>917</v>
      </c>
      <c r="S49" s="1340" t="s">
        <v>918</v>
      </c>
      <c r="T49" s="1340"/>
      <c r="U49" s="142"/>
      <c r="V49" s="3"/>
      <c r="AA49" s="125"/>
      <c r="AY49" s="746"/>
      <c r="AZ49" s="746"/>
      <c r="BA49" s="747"/>
      <c r="BB49" s="748"/>
      <c r="BC49" s="748"/>
      <c r="BD49" s="749"/>
    </row>
    <row r="50" spans="1:56" ht="12.75">
      <c r="A50" s="22"/>
      <c r="B50" s="23" t="s">
        <v>903</v>
      </c>
      <c r="C50" s="24"/>
      <c r="D50" s="23"/>
      <c r="E50" s="34"/>
      <c r="F50" s="23"/>
      <c r="G50" s="23"/>
      <c r="H50" s="23"/>
      <c r="I50" s="346"/>
      <c r="J50" s="343"/>
      <c r="K50" s="1076" t="str">
        <f>K10</f>
        <v>Incl. voorl. index 2006</v>
      </c>
      <c r="L50" s="10"/>
      <c r="M50" s="23"/>
      <c r="N50" s="24"/>
      <c r="O50" s="34"/>
      <c r="P50" s="34"/>
      <c r="Q50" s="34"/>
      <c r="R50" s="34"/>
      <c r="S50" s="55"/>
      <c r="T50" s="55"/>
      <c r="U50" s="144"/>
      <c r="V50" s="3"/>
      <c r="AA50" s="125"/>
      <c r="AY50" s="746"/>
      <c r="AZ50" s="746"/>
      <c r="BA50" s="747"/>
      <c r="BB50" s="748"/>
      <c r="BC50" s="748"/>
      <c r="BD50" s="749"/>
    </row>
    <row r="51" spans="1:56" ht="12.75">
      <c r="A51" s="36">
        <v>601</v>
      </c>
      <c r="B51" s="42" t="str">
        <f>IF(OR(F51=(O51+Q51)/2,F51=0,O51=0,Q51=0),"Klinisch intensieve behandelingen",CONCATENATE("Klinisch intensieve behandelingen (",ROUND(100*(F51/((O51+Q51)/2)),0)," %)"))</f>
        <v>Klinisch intensieve behandelingen</v>
      </c>
      <c r="C51" s="42"/>
      <c r="D51" s="112"/>
      <c r="E51" s="757"/>
      <c r="F51" s="131"/>
      <c r="G51" s="1149">
        <f>F51-E51</f>
        <v>0</v>
      </c>
      <c r="H51" s="1412"/>
      <c r="I51" s="347" t="s">
        <v>1511</v>
      </c>
      <c r="J51" s="343"/>
      <c r="K51" s="104">
        <f>Uitvoerbestand!I40</f>
        <v>292.63</v>
      </c>
      <c r="L51" s="1235">
        <f>F51*K51</f>
        <v>0</v>
      </c>
      <c r="M51" s="1236"/>
      <c r="N51" s="404"/>
      <c r="O51" s="1145"/>
      <c r="P51" s="1259"/>
      <c r="Q51" s="757"/>
      <c r="R51" s="104">
        <v>291.39</v>
      </c>
      <c r="S51" s="1383">
        <f>Q51*R51</f>
        <v>0</v>
      </c>
      <c r="T51" s="1384"/>
      <c r="U51" s="145"/>
      <c r="V51" s="3" t="s">
        <v>1512</v>
      </c>
      <c r="X51" s="908">
        <f aca="true" t="shared" si="21" ref="X51:X57">(S51+L51)*A51</f>
        <v>0</v>
      </c>
      <c r="Y51" s="917">
        <f t="shared" si="5"/>
        <v>0</v>
      </c>
      <c r="Z51">
        <f>Y51</f>
        <v>0</v>
      </c>
      <c r="AA51" s="125"/>
      <c r="AY51" s="746"/>
      <c r="AZ51" s="746"/>
      <c r="BA51" s="747"/>
      <c r="BB51" s="748"/>
      <c r="BC51" s="748"/>
      <c r="BD51" s="749"/>
    </row>
    <row r="52" spans="1:56" ht="12.75">
      <c r="A52" s="22"/>
      <c r="B52" s="23" t="s">
        <v>0</v>
      </c>
      <c r="C52" s="24"/>
      <c r="D52" s="23"/>
      <c r="E52" s="34"/>
      <c r="F52" s="23"/>
      <c r="G52" s="23"/>
      <c r="H52" s="23"/>
      <c r="I52" s="1418"/>
      <c r="J52" s="1162"/>
      <c r="K52" s="34"/>
      <c r="L52" s="10"/>
      <c r="M52" s="23"/>
      <c r="N52" s="54"/>
      <c r="O52" s="34"/>
      <c r="P52" s="34"/>
      <c r="Q52" s="34"/>
      <c r="R52" s="34"/>
      <c r="S52" s="71"/>
      <c r="T52" s="403"/>
      <c r="U52" s="143"/>
      <c r="V52" s="3"/>
      <c r="AA52" s="125"/>
      <c r="AY52" s="746"/>
      <c r="AZ52" s="746"/>
      <c r="BA52" s="747"/>
      <c r="BB52" s="748"/>
      <c r="BC52" s="748"/>
      <c r="BD52" s="749"/>
    </row>
    <row r="53" spans="1:56" ht="12.75">
      <c r="A53" s="36">
        <f>A51+1</f>
        <v>602</v>
      </c>
      <c r="B53" s="37" t="s">
        <v>73</v>
      </c>
      <c r="C53" s="37"/>
      <c r="D53" s="541" t="s">
        <v>612</v>
      </c>
      <c r="E53" s="757"/>
      <c r="F53" s="492"/>
      <c r="G53" s="1147">
        <f>F53-E53</f>
        <v>0</v>
      </c>
      <c r="H53" s="1246"/>
      <c r="I53" s="1247" t="s">
        <v>74</v>
      </c>
      <c r="J53" s="1248"/>
      <c r="K53" s="103">
        <f>Uitvoerbestand!I43</f>
        <v>30.119999999999997</v>
      </c>
      <c r="L53" s="1235">
        <f>F53*K53</f>
        <v>0</v>
      </c>
      <c r="M53" s="1236"/>
      <c r="N53" s="54"/>
      <c r="O53" s="1145"/>
      <c r="P53" s="1259"/>
      <c r="Q53" s="757"/>
      <c r="R53" s="103">
        <v>29.95</v>
      </c>
      <c r="S53" s="1227">
        <f>Q53*R53</f>
        <v>0</v>
      </c>
      <c r="T53" s="1252"/>
      <c r="U53" s="143"/>
      <c r="V53" s="3" t="s">
        <v>1898</v>
      </c>
      <c r="X53" s="908">
        <f t="shared" si="21"/>
        <v>0</v>
      </c>
      <c r="Y53" s="917">
        <f t="shared" si="5"/>
        <v>0</v>
      </c>
      <c r="AA53" s="125"/>
      <c r="AY53" s="746"/>
      <c r="AZ53" s="746"/>
      <c r="BA53" s="747"/>
      <c r="BB53" s="748"/>
      <c r="BC53" s="748"/>
      <c r="BD53" s="749"/>
    </row>
    <row r="54" spans="1:56" ht="12.75">
      <c r="A54" s="36">
        <f>A53+1</f>
        <v>603</v>
      </c>
      <c r="B54" s="37" t="s">
        <v>75</v>
      </c>
      <c r="C54" s="37"/>
      <c r="D54" s="541" t="s">
        <v>613</v>
      </c>
      <c r="E54" s="757"/>
      <c r="F54" s="492"/>
      <c r="G54" s="1147">
        <f>F54-E54</f>
        <v>0</v>
      </c>
      <c r="H54" s="1246"/>
      <c r="I54" s="1247" t="s">
        <v>76</v>
      </c>
      <c r="J54" s="1248"/>
      <c r="K54" s="103">
        <f>Uitvoerbestand!I44</f>
        <v>72.77</v>
      </c>
      <c r="L54" s="1235">
        <f>F54*K54</f>
        <v>0</v>
      </c>
      <c r="M54" s="1236"/>
      <c r="N54" s="54"/>
      <c r="O54" s="1145"/>
      <c r="P54" s="1259"/>
      <c r="Q54" s="757"/>
      <c r="R54" s="103">
        <v>72.43</v>
      </c>
      <c r="S54" s="1227">
        <f>Q54*R54</f>
        <v>0</v>
      </c>
      <c r="T54" s="1252"/>
      <c r="U54" s="143"/>
      <c r="V54" s="3" t="s">
        <v>1899</v>
      </c>
      <c r="X54" s="908">
        <f t="shared" si="21"/>
        <v>0</v>
      </c>
      <c r="Y54" s="917">
        <f t="shared" si="5"/>
        <v>0</v>
      </c>
      <c r="AA54" s="125"/>
      <c r="AY54" s="746"/>
      <c r="AZ54" s="746"/>
      <c r="BA54" s="747"/>
      <c r="BB54" s="748"/>
      <c r="BC54" s="748"/>
      <c r="BD54" s="749"/>
    </row>
    <row r="55" spans="1:56" ht="12.75">
      <c r="A55" s="36">
        <f>A54+1</f>
        <v>604</v>
      </c>
      <c r="B55" s="37" t="s">
        <v>77</v>
      </c>
      <c r="C55" s="37"/>
      <c r="D55" s="541" t="s">
        <v>614</v>
      </c>
      <c r="E55" s="757"/>
      <c r="F55" s="492"/>
      <c r="G55" s="1147">
        <f>F55-E55</f>
        <v>0</v>
      </c>
      <c r="H55" s="1246"/>
      <c r="I55" s="1247" t="s">
        <v>1142</v>
      </c>
      <c r="J55" s="1248"/>
      <c r="K55" s="103">
        <f>Uitvoerbestand!I45</f>
        <v>40.629999999999995</v>
      </c>
      <c r="L55" s="1235">
        <f>F55*K55</f>
        <v>0</v>
      </c>
      <c r="M55" s="1236"/>
      <c r="N55" s="54"/>
      <c r="O55" s="1145"/>
      <c r="P55" s="1259"/>
      <c r="Q55" s="757"/>
      <c r="R55" s="103">
        <v>40.42</v>
      </c>
      <c r="S55" s="1227">
        <f>Q55*R55</f>
        <v>0</v>
      </c>
      <c r="T55" s="1246"/>
      <c r="U55" s="143"/>
      <c r="V55" s="3" t="s">
        <v>1900</v>
      </c>
      <c r="X55" s="908">
        <f t="shared" si="21"/>
        <v>0</v>
      </c>
      <c r="Y55" s="917">
        <f t="shared" si="5"/>
        <v>0</v>
      </c>
      <c r="AA55" s="125"/>
      <c r="AY55" s="746"/>
      <c r="AZ55" s="746"/>
      <c r="BA55" s="747"/>
      <c r="BB55" s="748"/>
      <c r="BC55" s="748"/>
      <c r="BD55" s="749"/>
    </row>
    <row r="56" spans="1:56" ht="12.75">
      <c r="A56" s="36">
        <f>A55+1</f>
        <v>605</v>
      </c>
      <c r="B56" s="40" t="s">
        <v>1896</v>
      </c>
      <c r="C56" s="40"/>
      <c r="D56" s="542" t="s">
        <v>615</v>
      </c>
      <c r="E56" s="757"/>
      <c r="F56" s="492"/>
      <c r="G56" s="1147">
        <f>F56-E56</f>
        <v>0</v>
      </c>
      <c r="H56" s="1246"/>
      <c r="I56" s="1247" t="s">
        <v>1897</v>
      </c>
      <c r="J56" s="1248"/>
      <c r="K56" s="103">
        <f>Uitvoerbestand!I46</f>
        <v>81.24</v>
      </c>
      <c r="L56" s="1235">
        <f>F56*K56</f>
        <v>0</v>
      </c>
      <c r="M56" s="1236"/>
      <c r="N56" s="54"/>
      <c r="O56" s="1145"/>
      <c r="P56" s="1259"/>
      <c r="Q56" s="757"/>
      <c r="R56" s="103">
        <v>80.87</v>
      </c>
      <c r="S56" s="1227">
        <f>Q56*R56</f>
        <v>0</v>
      </c>
      <c r="T56" s="1246"/>
      <c r="U56" s="143"/>
      <c r="V56" s="3" t="s">
        <v>1901</v>
      </c>
      <c r="X56" s="908">
        <f t="shared" si="21"/>
        <v>0</v>
      </c>
      <c r="Y56" s="917">
        <f t="shared" si="5"/>
        <v>0</v>
      </c>
      <c r="AA56" s="125"/>
      <c r="AY56" s="746"/>
      <c r="AZ56" s="746"/>
      <c r="BA56" s="747"/>
      <c r="BB56" s="748"/>
      <c r="BC56" s="748"/>
      <c r="BD56" s="749"/>
    </row>
    <row r="57" spans="1:56" ht="12.75">
      <c r="A57" s="36">
        <f>A56+1</f>
        <v>606</v>
      </c>
      <c r="B57" s="40" t="s">
        <v>174</v>
      </c>
      <c r="C57" s="40"/>
      <c r="D57" s="542" t="s">
        <v>173</v>
      </c>
      <c r="E57" s="1059"/>
      <c r="F57" s="492"/>
      <c r="G57" s="1147">
        <f>F57-E57</f>
        <v>0</v>
      </c>
      <c r="H57" s="1246"/>
      <c r="I57" s="1247" t="s">
        <v>172</v>
      </c>
      <c r="J57" s="1248"/>
      <c r="K57" s="103">
        <f>Uitvoerbestand!I47</f>
        <v>109.02</v>
      </c>
      <c r="L57" s="1235">
        <f>F57*K57</f>
        <v>0</v>
      </c>
      <c r="M57" s="1236"/>
      <c r="N57" s="54"/>
      <c r="O57" s="1235"/>
      <c r="P57" s="1249"/>
      <c r="Q57" s="696"/>
      <c r="R57" s="1058"/>
      <c r="S57" s="1235">
        <f>Q57*R57</f>
        <v>0</v>
      </c>
      <c r="T57" s="1236"/>
      <c r="U57" s="143"/>
      <c r="V57" s="3"/>
      <c r="X57" s="908">
        <f t="shared" si="21"/>
        <v>0</v>
      </c>
      <c r="Y57" s="917">
        <f t="shared" si="5"/>
        <v>0</v>
      </c>
      <c r="AA57" s="125"/>
      <c r="AY57" s="746"/>
      <c r="AZ57" s="746"/>
      <c r="BA57" s="747"/>
      <c r="BB57" s="748"/>
      <c r="BC57" s="748"/>
      <c r="BD57" s="749"/>
    </row>
    <row r="58" spans="1:56" ht="12.75">
      <c r="A58" s="36">
        <f>A57+1</f>
        <v>607</v>
      </c>
      <c r="B58" s="42" t="s">
        <v>223</v>
      </c>
      <c r="C58" s="42"/>
      <c r="D58" s="42"/>
      <c r="E58" s="441">
        <f>SUM(E53:E57)</f>
        <v>0</v>
      </c>
      <c r="F58" s="481">
        <f>SUM(F53:F57)</f>
        <v>0</v>
      </c>
      <c r="G58" s="1149">
        <f>SUM(G53:G57)</f>
        <v>0</v>
      </c>
      <c r="H58" s="1246"/>
      <c r="I58" s="1430"/>
      <c r="J58" s="1248"/>
      <c r="K58" s="305"/>
      <c r="L58" s="1149">
        <f>SUM(L53:L57)</f>
        <v>0</v>
      </c>
      <c r="M58" s="1236"/>
      <c r="N58" s="54"/>
      <c r="O58" s="1149">
        <f>SUM(O53:O57)</f>
        <v>0</v>
      </c>
      <c r="P58" s="1246"/>
      <c r="Q58" s="481">
        <f>SUM(Q53:Q57)</f>
        <v>0</v>
      </c>
      <c r="R58" s="305"/>
      <c r="S58" s="1149">
        <f>SUM(S53:S57)</f>
        <v>0</v>
      </c>
      <c r="T58" s="1246"/>
      <c r="U58" s="143"/>
      <c r="V58" s="3"/>
      <c r="Z58">
        <f>SUM(Y53:Y57)</f>
        <v>0</v>
      </c>
      <c r="AA58" s="125"/>
      <c r="AY58" s="746"/>
      <c r="AZ58" s="746"/>
      <c r="BA58" s="747"/>
      <c r="BB58" s="748"/>
      <c r="BC58" s="748"/>
      <c r="BD58" s="749"/>
    </row>
    <row r="59" spans="1:56" ht="12.75">
      <c r="A59" s="22"/>
      <c r="B59" s="23"/>
      <c r="C59" s="24"/>
      <c r="D59" s="23"/>
      <c r="E59" s="65"/>
      <c r="F59" s="58"/>
      <c r="G59" s="58"/>
      <c r="H59" s="58"/>
      <c r="I59" s="346"/>
      <c r="J59" s="343"/>
      <c r="K59" s="298"/>
      <c r="L59" s="66"/>
      <c r="M59" s="58"/>
      <c r="N59" s="54"/>
      <c r="O59" s="65"/>
      <c r="P59" s="65"/>
      <c r="Q59" s="65"/>
      <c r="R59" s="34"/>
      <c r="S59" s="79"/>
      <c r="T59" s="79"/>
      <c r="U59" s="143"/>
      <c r="V59" s="3"/>
      <c r="AA59" s="125"/>
      <c r="AY59" s="746"/>
      <c r="AZ59" s="746"/>
      <c r="BA59" s="747"/>
      <c r="BB59" s="748"/>
      <c r="BC59" s="748"/>
      <c r="BD59" s="749"/>
    </row>
    <row r="60" spans="1:56" ht="12.75">
      <c r="A60" s="22"/>
      <c r="B60" s="491" t="s">
        <v>2003</v>
      </c>
      <c r="C60" s="24"/>
      <c r="D60" s="23"/>
      <c r="E60" s="65"/>
      <c r="F60" s="58"/>
      <c r="G60" s="58"/>
      <c r="H60" s="58"/>
      <c r="I60" s="346"/>
      <c r="J60" s="343"/>
      <c r="K60" s="298"/>
      <c r="L60" s="66"/>
      <c r="M60" s="58"/>
      <c r="N60" s="54"/>
      <c r="O60" s="65"/>
      <c r="P60" s="65"/>
      <c r="Q60" s="65"/>
      <c r="R60" s="34"/>
      <c r="S60" s="79"/>
      <c r="T60" s="79"/>
      <c r="U60" s="143"/>
      <c r="V60" s="3"/>
      <c r="AA60" s="125"/>
      <c r="AY60" s="746"/>
      <c r="AZ60" s="746"/>
      <c r="BA60" s="455"/>
      <c r="BB60" s="748"/>
      <c r="BC60" s="748"/>
      <c r="BD60" s="749"/>
    </row>
    <row r="61" spans="1:56" ht="12.75">
      <c r="A61" s="22"/>
      <c r="B61" s="23" t="s">
        <v>1510</v>
      </c>
      <c r="C61" s="24"/>
      <c r="D61" s="23"/>
      <c r="E61" s="34"/>
      <c r="F61" s="23"/>
      <c r="G61" s="23"/>
      <c r="H61" s="23"/>
      <c r="I61" s="346"/>
      <c r="J61" s="343"/>
      <c r="K61" s="298"/>
      <c r="L61" s="10"/>
      <c r="M61" s="23"/>
      <c r="N61" s="24"/>
      <c r="O61" s="34"/>
      <c r="P61" s="34"/>
      <c r="Q61" s="34"/>
      <c r="R61" s="34"/>
      <c r="S61" s="55"/>
      <c r="T61" s="84"/>
      <c r="U61" s="144"/>
      <c r="V61" s="3"/>
      <c r="AA61" s="125"/>
      <c r="AY61" s="746"/>
      <c r="AZ61" s="746"/>
      <c r="BA61" s="455"/>
      <c r="BB61" s="748"/>
      <c r="BC61" s="748"/>
      <c r="BD61" s="749"/>
    </row>
    <row r="62" spans="1:56" ht="12.75">
      <c r="A62" s="36">
        <f>A58+1</f>
        <v>608</v>
      </c>
      <c r="B62" s="37" t="s">
        <v>561</v>
      </c>
      <c r="C62" s="37"/>
      <c r="D62" s="113" t="s">
        <v>802</v>
      </c>
      <c r="E62" s="757"/>
      <c r="F62" s="60"/>
      <c r="G62" s="1147">
        <f>F62-E62</f>
        <v>0</v>
      </c>
      <c r="H62" s="1144"/>
      <c r="I62" s="347" t="s">
        <v>1326</v>
      </c>
      <c r="J62" s="343"/>
      <c r="K62" s="104">
        <f>Uitvoerbestand!I51</f>
        <v>107.72</v>
      </c>
      <c r="L62" s="1235">
        <f>F62*K62</f>
        <v>0</v>
      </c>
      <c r="M62" s="1236"/>
      <c r="N62" s="62"/>
      <c r="O62" s="1145"/>
      <c r="P62" s="1259"/>
      <c r="Q62" s="757"/>
      <c r="R62" s="104">
        <v>107.21</v>
      </c>
      <c r="S62" s="1227">
        <f>Q62*R62</f>
        <v>0</v>
      </c>
      <c r="T62" s="1144"/>
      <c r="U62" s="145"/>
      <c r="V62" s="3" t="s">
        <v>284</v>
      </c>
      <c r="X62" s="908">
        <f>(S62+L62)*A62</f>
        <v>0</v>
      </c>
      <c r="Y62" s="917">
        <f t="shared" si="5"/>
        <v>0</v>
      </c>
      <c r="AA62" s="125"/>
      <c r="AY62" s="746"/>
      <c r="AZ62" s="746"/>
      <c r="BA62" s="747"/>
      <c r="BB62" s="748"/>
      <c r="BC62" s="748"/>
      <c r="BD62" s="749"/>
    </row>
    <row r="63" spans="1:56" ht="12.75">
      <c r="A63" s="39">
        <f>A62+1</f>
        <v>609</v>
      </c>
      <c r="B63" s="37" t="s">
        <v>1287</v>
      </c>
      <c r="C63" s="37"/>
      <c r="D63" s="113" t="s">
        <v>803</v>
      </c>
      <c r="E63" s="757"/>
      <c r="F63" s="60"/>
      <c r="G63" s="1147">
        <f>F63-E63</f>
        <v>0</v>
      </c>
      <c r="H63" s="1144"/>
      <c r="I63" s="347" t="s">
        <v>1327</v>
      </c>
      <c r="J63" s="343"/>
      <c r="K63" s="104">
        <f>Uitvoerbestand!I52</f>
        <v>132.57999999999998</v>
      </c>
      <c r="L63" s="1235">
        <f>F63*K63</f>
        <v>0</v>
      </c>
      <c r="M63" s="1236"/>
      <c r="N63" s="62"/>
      <c r="O63" s="1145"/>
      <c r="P63" s="1259"/>
      <c r="Q63" s="757"/>
      <c r="R63" s="104">
        <v>131.97</v>
      </c>
      <c r="S63" s="1227">
        <f>Q63*R63</f>
        <v>0</v>
      </c>
      <c r="T63" s="1252"/>
      <c r="U63" s="146"/>
      <c r="V63" s="3" t="s">
        <v>273</v>
      </c>
      <c r="X63" s="908">
        <f>(S63+L63)*A63</f>
        <v>0</v>
      </c>
      <c r="Y63" s="917">
        <f t="shared" si="5"/>
        <v>0</v>
      </c>
      <c r="AA63" s="125"/>
      <c r="AY63" s="746"/>
      <c r="AZ63" s="746"/>
      <c r="BA63" s="747"/>
      <c r="BB63" s="748"/>
      <c r="BC63" s="748"/>
      <c r="BD63" s="749"/>
    </row>
    <row r="64" spans="1:56" ht="12.75">
      <c r="A64" s="36">
        <f>A63+1</f>
        <v>610</v>
      </c>
      <c r="B64" s="42" t="s">
        <v>223</v>
      </c>
      <c r="C64" s="42"/>
      <c r="D64" s="42"/>
      <c r="E64" s="63">
        <f>SUM(E62:E63)</f>
        <v>0</v>
      </c>
      <c r="F64" s="64">
        <f>SUM(F62:F63)</f>
        <v>0</v>
      </c>
      <c r="G64" s="1149">
        <f>SUM(G62:G63)</f>
        <v>0</v>
      </c>
      <c r="H64" s="1144"/>
      <c r="I64" s="348"/>
      <c r="J64" s="343"/>
      <c r="K64" s="305"/>
      <c r="L64" s="1149">
        <f>SUM(L62:L63)</f>
        <v>0</v>
      </c>
      <c r="M64" s="1236"/>
      <c r="N64" s="54"/>
      <c r="O64" s="1149">
        <f>SUM(O62:O63)</f>
        <v>0</v>
      </c>
      <c r="P64" s="1144"/>
      <c r="Q64" s="64">
        <f>SUM(Q62:Q63)</f>
        <v>0</v>
      </c>
      <c r="R64" s="43"/>
      <c r="S64" s="1149">
        <f>SUM(S62:S63)</f>
        <v>0</v>
      </c>
      <c r="T64" s="1144"/>
      <c r="U64" s="147"/>
      <c r="V64" s="3"/>
      <c r="Z64">
        <f>SUM(Y62:Y63)</f>
        <v>0</v>
      </c>
      <c r="AA64" s="125"/>
      <c r="AY64" s="746"/>
      <c r="AZ64" s="746"/>
      <c r="BA64" s="747"/>
      <c r="BB64" s="748"/>
      <c r="BC64" s="748"/>
      <c r="BD64" s="749"/>
    </row>
    <row r="65" spans="1:56" ht="12.75">
      <c r="A65" s="22"/>
      <c r="B65" s="23" t="s">
        <v>2255</v>
      </c>
      <c r="C65" s="24"/>
      <c r="D65" s="23"/>
      <c r="E65" s="34"/>
      <c r="F65" s="23"/>
      <c r="G65" s="23"/>
      <c r="H65" s="23"/>
      <c r="I65" s="346"/>
      <c r="J65" s="343"/>
      <c r="K65" s="298"/>
      <c r="L65" s="10"/>
      <c r="M65" s="23"/>
      <c r="N65" s="24"/>
      <c r="O65" s="34"/>
      <c r="P65" s="34"/>
      <c r="Q65" s="34"/>
      <c r="R65" s="34"/>
      <c r="S65" s="55"/>
      <c r="T65" s="84"/>
      <c r="U65" s="144"/>
      <c r="V65" s="3"/>
      <c r="AA65" s="125"/>
      <c r="AY65" s="746"/>
      <c r="AZ65" s="746"/>
      <c r="BA65" s="455"/>
      <c r="BB65" s="748"/>
      <c r="BC65" s="748"/>
      <c r="BD65" s="749"/>
    </row>
    <row r="66" spans="1:56" ht="12.75">
      <c r="A66" s="36">
        <f>A64+1</f>
        <v>611</v>
      </c>
      <c r="B66" s="37" t="s">
        <v>2201</v>
      </c>
      <c r="C66" s="37"/>
      <c r="D66" s="113" t="s">
        <v>804</v>
      </c>
      <c r="E66" s="757"/>
      <c r="F66" s="60"/>
      <c r="G66" s="1147">
        <f>F66-E66</f>
        <v>0</v>
      </c>
      <c r="H66" s="1144"/>
      <c r="I66" s="347" t="s">
        <v>1328</v>
      </c>
      <c r="J66" s="343"/>
      <c r="K66" s="103">
        <f>Uitvoerbestand!I55</f>
        <v>218.26000000000002</v>
      </c>
      <c r="L66" s="1235">
        <f>F66*K66</f>
        <v>0</v>
      </c>
      <c r="M66" s="1236"/>
      <c r="N66" s="62"/>
      <c r="O66" s="1145"/>
      <c r="P66" s="1259"/>
      <c r="Q66" s="757"/>
      <c r="R66" s="103">
        <v>217.28</v>
      </c>
      <c r="S66" s="1227">
        <f>Q66*R66</f>
        <v>0</v>
      </c>
      <c r="T66" s="1144"/>
      <c r="U66" s="145"/>
      <c r="V66" s="3" t="s">
        <v>274</v>
      </c>
      <c r="X66" s="908">
        <f>(S66+L66)*A66</f>
        <v>0</v>
      </c>
      <c r="Y66" s="917">
        <f t="shared" si="5"/>
        <v>0</v>
      </c>
      <c r="AA66" s="125"/>
      <c r="AY66" s="746"/>
      <c r="AZ66" s="746"/>
      <c r="BA66" s="455"/>
      <c r="BB66" s="748"/>
      <c r="BC66" s="748"/>
      <c r="BD66" s="749"/>
    </row>
    <row r="67" spans="1:56" ht="12.75">
      <c r="A67" s="39">
        <f>A66+1</f>
        <v>612</v>
      </c>
      <c r="B67" s="37" t="s">
        <v>1676</v>
      </c>
      <c r="C67" s="37"/>
      <c r="D67" s="113" t="s">
        <v>805</v>
      </c>
      <c r="E67" s="757"/>
      <c r="F67" s="60"/>
      <c r="G67" s="1147">
        <f>F67-E67</f>
        <v>0</v>
      </c>
      <c r="H67" s="1144"/>
      <c r="I67" s="347" t="s">
        <v>1329</v>
      </c>
      <c r="J67" s="343"/>
      <c r="K67" s="103">
        <f>Uitvoerbestand!I56</f>
        <v>157.12</v>
      </c>
      <c r="L67" s="1235">
        <f>F67*K67</f>
        <v>0</v>
      </c>
      <c r="M67" s="1236"/>
      <c r="N67" s="62"/>
      <c r="O67" s="1145"/>
      <c r="P67" s="1259"/>
      <c r="Q67" s="757"/>
      <c r="R67" s="103">
        <v>156.38</v>
      </c>
      <c r="S67" s="1227">
        <f>Q67*R67</f>
        <v>0</v>
      </c>
      <c r="T67" s="1252"/>
      <c r="U67" s="146"/>
      <c r="V67" s="3" t="s">
        <v>275</v>
      </c>
      <c r="X67" s="908">
        <f>(S67+L67)*A67</f>
        <v>0</v>
      </c>
      <c r="Y67" s="917">
        <f t="shared" si="5"/>
        <v>0</v>
      </c>
      <c r="AA67" s="125"/>
      <c r="AY67" s="746"/>
      <c r="AZ67" s="746"/>
      <c r="BA67" s="747"/>
      <c r="BB67" s="748"/>
      <c r="BC67" s="748"/>
      <c r="BD67" s="749"/>
    </row>
    <row r="68" spans="1:56" ht="12.75">
      <c r="A68" s="39">
        <f>A67+1</f>
        <v>613</v>
      </c>
      <c r="B68" s="37" t="s">
        <v>1288</v>
      </c>
      <c r="C68" s="37"/>
      <c r="D68" s="113" t="s">
        <v>806</v>
      </c>
      <c r="E68" s="757"/>
      <c r="F68" s="60"/>
      <c r="G68" s="1147">
        <f>F68-E68</f>
        <v>0</v>
      </c>
      <c r="H68" s="1144"/>
      <c r="I68" s="347" t="s">
        <v>1330</v>
      </c>
      <c r="J68" s="343"/>
      <c r="K68" s="103">
        <f>Uitvoerbestand!I57</f>
        <v>179.59</v>
      </c>
      <c r="L68" s="1235">
        <f>F68*K68</f>
        <v>0</v>
      </c>
      <c r="M68" s="1236"/>
      <c r="N68" s="62"/>
      <c r="O68" s="1145"/>
      <c r="P68" s="1259"/>
      <c r="Q68" s="757"/>
      <c r="R68" s="103">
        <v>178.76</v>
      </c>
      <c r="S68" s="1227">
        <f>Q68*R68</f>
        <v>0</v>
      </c>
      <c r="T68" s="1144"/>
      <c r="U68" s="147"/>
      <c r="V68" s="3" t="s">
        <v>276</v>
      </c>
      <c r="X68" s="908">
        <f>(S68+L68)*A68</f>
        <v>0</v>
      </c>
      <c r="Y68" s="917">
        <f t="shared" si="5"/>
        <v>0</v>
      </c>
      <c r="AA68" s="125"/>
      <c r="AY68" s="746"/>
      <c r="AZ68" s="746"/>
      <c r="BA68" s="747"/>
      <c r="BB68" s="748"/>
      <c r="BC68" s="748"/>
      <c r="BD68" s="749"/>
    </row>
    <row r="69" spans="1:56" ht="12.75">
      <c r="A69" s="36">
        <f>A68+1</f>
        <v>614</v>
      </c>
      <c r="B69" s="42" t="s">
        <v>223</v>
      </c>
      <c r="C69" s="42"/>
      <c r="D69" s="42"/>
      <c r="E69" s="63">
        <f>SUM(E66:E68)</f>
        <v>0</v>
      </c>
      <c r="F69" s="64">
        <f>SUM(F66:F68)</f>
        <v>0</v>
      </c>
      <c r="G69" s="1149">
        <f>SUM(G66:G68)</f>
        <v>0</v>
      </c>
      <c r="H69" s="1144"/>
      <c r="I69" s="348"/>
      <c r="J69" s="343"/>
      <c r="K69" s="305"/>
      <c r="L69" s="1149">
        <f>SUM(L66:L68)</f>
        <v>0</v>
      </c>
      <c r="M69" s="1236"/>
      <c r="N69" s="54"/>
      <c r="O69" s="1149">
        <f>SUM(O66:O68)</f>
        <v>0</v>
      </c>
      <c r="P69" s="1144"/>
      <c r="Q69" s="64">
        <f>SUM(Q66:Q68)</f>
        <v>0</v>
      </c>
      <c r="R69" s="43"/>
      <c r="S69" s="1149">
        <f>SUM(S66:S68)</f>
        <v>0</v>
      </c>
      <c r="T69" s="1144"/>
      <c r="U69" s="147"/>
      <c r="V69" s="3"/>
      <c r="Z69">
        <f>SUM(Y66:Y68)</f>
        <v>0</v>
      </c>
      <c r="AA69" s="125"/>
      <c r="AY69" s="746"/>
      <c r="AZ69" s="746"/>
      <c r="BA69" s="747"/>
      <c r="BB69" s="748"/>
      <c r="BC69" s="748"/>
      <c r="BD69" s="749"/>
    </row>
    <row r="70" spans="1:56" ht="12.75">
      <c r="A70" s="22"/>
      <c r="B70" s="23" t="s">
        <v>2256</v>
      </c>
      <c r="C70" s="24"/>
      <c r="D70" s="23"/>
      <c r="E70" s="34"/>
      <c r="F70" s="23"/>
      <c r="G70" s="23"/>
      <c r="H70" s="23"/>
      <c r="I70" s="346"/>
      <c r="J70" s="343"/>
      <c r="K70" s="298"/>
      <c r="L70" s="10"/>
      <c r="M70" s="23"/>
      <c r="N70" s="24"/>
      <c r="O70" s="34"/>
      <c r="P70" s="34"/>
      <c r="Q70" s="34"/>
      <c r="R70" s="34"/>
      <c r="S70" s="55"/>
      <c r="T70" s="84"/>
      <c r="U70" s="144"/>
      <c r="V70" s="3"/>
      <c r="AA70" s="125"/>
      <c r="AY70" s="746"/>
      <c r="AZ70" s="746"/>
      <c r="BA70" s="747"/>
      <c r="BB70" s="748"/>
      <c r="BC70" s="748"/>
      <c r="BD70" s="749"/>
    </row>
    <row r="71" spans="1:56" ht="12.75">
      <c r="A71" s="36">
        <f>A69+1</f>
        <v>615</v>
      </c>
      <c r="B71" s="37" t="s">
        <v>1740</v>
      </c>
      <c r="C71" s="37"/>
      <c r="D71" s="113" t="s">
        <v>807</v>
      </c>
      <c r="E71" s="757"/>
      <c r="F71" s="60"/>
      <c r="G71" s="1147">
        <f aca="true" t="shared" si="22" ref="G71:G76">F71-E71</f>
        <v>0</v>
      </c>
      <c r="H71" s="1144"/>
      <c r="I71" s="347" t="s">
        <v>1331</v>
      </c>
      <c r="J71" s="343"/>
      <c r="K71" s="103">
        <f>Uitvoerbestand!I60</f>
        <v>108.53</v>
      </c>
      <c r="L71" s="1235">
        <f aca="true" t="shared" si="23" ref="L71:L76">F71*K71</f>
        <v>0</v>
      </c>
      <c r="M71" s="1236"/>
      <c r="N71" s="62"/>
      <c r="O71" s="1145"/>
      <c r="P71" s="1259"/>
      <c r="Q71" s="757"/>
      <c r="R71" s="103">
        <v>108.03</v>
      </c>
      <c r="S71" s="1227">
        <f aca="true" t="shared" si="24" ref="S71:S76">Q71*R71</f>
        <v>0</v>
      </c>
      <c r="T71" s="1144"/>
      <c r="U71" s="145"/>
      <c r="V71" s="3" t="s">
        <v>277</v>
      </c>
      <c r="X71" s="908">
        <f aca="true" t="shared" si="25" ref="X71:X134">(S71+L71)*A71</f>
        <v>0</v>
      </c>
      <c r="Y71" s="917">
        <f t="shared" si="5"/>
        <v>0</v>
      </c>
      <c r="AA71" s="125"/>
      <c r="AY71" s="746"/>
      <c r="AZ71" s="746"/>
      <c r="BA71" s="747"/>
      <c r="BB71" s="748"/>
      <c r="BC71" s="748"/>
      <c r="BD71" s="749"/>
    </row>
    <row r="72" spans="1:56" ht="12.75">
      <c r="A72" s="39">
        <f aca="true" t="shared" si="26" ref="A72:A77">A71+1</f>
        <v>616</v>
      </c>
      <c r="B72" s="37" t="s">
        <v>1289</v>
      </c>
      <c r="C72" s="37"/>
      <c r="D72" s="113" t="s">
        <v>808</v>
      </c>
      <c r="E72" s="757"/>
      <c r="F72" s="60"/>
      <c r="G72" s="1147">
        <f t="shared" si="22"/>
        <v>0</v>
      </c>
      <c r="H72" s="1144"/>
      <c r="I72" s="347" t="s">
        <v>1332</v>
      </c>
      <c r="J72" s="343"/>
      <c r="K72" s="103">
        <f>Uitvoerbestand!I61</f>
        <v>136.49</v>
      </c>
      <c r="L72" s="1235">
        <f t="shared" si="23"/>
        <v>0</v>
      </c>
      <c r="M72" s="1236"/>
      <c r="N72" s="62"/>
      <c r="O72" s="1145"/>
      <c r="P72" s="1259"/>
      <c r="Q72" s="757"/>
      <c r="R72" s="103">
        <v>135.88</v>
      </c>
      <c r="S72" s="1227">
        <f t="shared" si="24"/>
        <v>0</v>
      </c>
      <c r="T72" s="1252"/>
      <c r="U72" s="146"/>
      <c r="V72" s="3" t="s">
        <v>278</v>
      </c>
      <c r="X72" s="908">
        <f t="shared" si="25"/>
        <v>0</v>
      </c>
      <c r="Y72" s="917">
        <f t="shared" si="5"/>
        <v>0</v>
      </c>
      <c r="AA72" s="125"/>
      <c r="AY72" s="746"/>
      <c r="AZ72" s="746"/>
      <c r="BA72" s="747"/>
      <c r="BB72" s="748"/>
      <c r="BC72" s="748"/>
      <c r="BD72" s="749"/>
    </row>
    <row r="73" spans="1:56" ht="12.75">
      <c r="A73" s="39">
        <f t="shared" si="26"/>
        <v>617</v>
      </c>
      <c r="B73" s="37" t="s">
        <v>1570</v>
      </c>
      <c r="C73" s="37"/>
      <c r="D73" s="113" t="s">
        <v>809</v>
      </c>
      <c r="E73" s="757"/>
      <c r="F73" s="60"/>
      <c r="G73" s="1147">
        <f t="shared" si="22"/>
        <v>0</v>
      </c>
      <c r="H73" s="1144"/>
      <c r="I73" s="347" t="s">
        <v>1671</v>
      </c>
      <c r="J73" s="343"/>
      <c r="K73" s="103">
        <f>Uitvoerbestand!I62</f>
        <v>122.61</v>
      </c>
      <c r="L73" s="1235">
        <f t="shared" si="23"/>
        <v>0</v>
      </c>
      <c r="M73" s="1236"/>
      <c r="N73" s="62"/>
      <c r="O73" s="1145"/>
      <c r="P73" s="1259"/>
      <c r="Q73" s="757"/>
      <c r="R73" s="103">
        <v>122.06</v>
      </c>
      <c r="S73" s="1227">
        <f t="shared" si="24"/>
        <v>0</v>
      </c>
      <c r="T73" s="1144"/>
      <c r="U73" s="147"/>
      <c r="V73" s="3" t="s">
        <v>279</v>
      </c>
      <c r="X73" s="908">
        <f t="shared" si="25"/>
        <v>0</v>
      </c>
      <c r="Y73" s="917">
        <f t="shared" si="5"/>
        <v>0</v>
      </c>
      <c r="AA73" s="125"/>
      <c r="AY73" s="746"/>
      <c r="AZ73" s="746"/>
      <c r="BA73" s="747"/>
      <c r="BB73" s="748"/>
      <c r="BC73" s="748"/>
      <c r="BD73" s="749"/>
    </row>
    <row r="74" spans="1:56" ht="12.75">
      <c r="A74" s="39">
        <f t="shared" si="26"/>
        <v>618</v>
      </c>
      <c r="B74" s="37" t="s">
        <v>1289</v>
      </c>
      <c r="C74" s="37"/>
      <c r="D74" s="113" t="s">
        <v>810</v>
      </c>
      <c r="E74" s="757"/>
      <c r="F74" s="60"/>
      <c r="G74" s="1147">
        <f t="shared" si="22"/>
        <v>0</v>
      </c>
      <c r="H74" s="1144"/>
      <c r="I74" s="347" t="s">
        <v>1672</v>
      </c>
      <c r="J74" s="343"/>
      <c r="K74" s="103">
        <f>Uitvoerbestand!I63</f>
        <v>153.86</v>
      </c>
      <c r="L74" s="1235">
        <f t="shared" si="23"/>
        <v>0</v>
      </c>
      <c r="M74" s="1236"/>
      <c r="N74" s="62"/>
      <c r="O74" s="1145"/>
      <c r="P74" s="1259"/>
      <c r="Q74" s="757"/>
      <c r="R74" s="103">
        <v>153.18</v>
      </c>
      <c r="S74" s="1227">
        <f t="shared" si="24"/>
        <v>0</v>
      </c>
      <c r="T74" s="1252"/>
      <c r="U74" s="146"/>
      <c r="V74" s="3" t="s">
        <v>280</v>
      </c>
      <c r="X74" s="908">
        <f t="shared" si="25"/>
        <v>0</v>
      </c>
      <c r="Y74" s="917">
        <f t="shared" si="5"/>
        <v>0</v>
      </c>
      <c r="AA74" s="125"/>
      <c r="AY74" s="746"/>
      <c r="AZ74" s="746"/>
      <c r="BA74" s="747"/>
      <c r="BB74" s="748"/>
      <c r="BC74" s="748"/>
      <c r="BD74" s="749"/>
    </row>
    <row r="75" spans="1:56" ht="12.75">
      <c r="A75" s="39">
        <f t="shared" si="26"/>
        <v>619</v>
      </c>
      <c r="B75" s="37" t="s">
        <v>1316</v>
      </c>
      <c r="C75" s="37"/>
      <c r="D75" s="113" t="s">
        <v>811</v>
      </c>
      <c r="E75" s="757"/>
      <c r="F75" s="60"/>
      <c r="G75" s="1147">
        <f t="shared" si="22"/>
        <v>0</v>
      </c>
      <c r="H75" s="1144"/>
      <c r="I75" s="347" t="s">
        <v>1673</v>
      </c>
      <c r="J75" s="343"/>
      <c r="K75" s="103">
        <f>Uitvoerbestand!I64</f>
        <v>61.67</v>
      </c>
      <c r="L75" s="1235">
        <f t="shared" si="23"/>
        <v>0</v>
      </c>
      <c r="M75" s="1236"/>
      <c r="N75" s="62"/>
      <c r="O75" s="1145"/>
      <c r="P75" s="1259"/>
      <c r="Q75" s="757"/>
      <c r="R75" s="103">
        <v>61.36</v>
      </c>
      <c r="S75" s="1227">
        <f t="shared" si="24"/>
        <v>0</v>
      </c>
      <c r="T75" s="1252"/>
      <c r="U75" s="146"/>
      <c r="V75" s="3" t="s">
        <v>281</v>
      </c>
      <c r="X75" s="908">
        <f t="shared" si="25"/>
        <v>0</v>
      </c>
      <c r="Y75" s="917">
        <f t="shared" si="5"/>
        <v>0</v>
      </c>
      <c r="AA75" s="125"/>
      <c r="AY75" s="746"/>
      <c r="AZ75" s="746"/>
      <c r="BA75" s="747"/>
      <c r="BB75" s="748"/>
      <c r="BC75" s="748"/>
      <c r="BD75" s="749"/>
    </row>
    <row r="76" spans="1:56" ht="12.75">
      <c r="A76" s="39">
        <f t="shared" si="26"/>
        <v>620</v>
      </c>
      <c r="B76" s="37" t="s">
        <v>217</v>
      </c>
      <c r="C76" s="37"/>
      <c r="D76" s="113" t="s">
        <v>812</v>
      </c>
      <c r="E76" s="757"/>
      <c r="F76" s="61"/>
      <c r="G76" s="1147">
        <f t="shared" si="22"/>
        <v>0</v>
      </c>
      <c r="H76" s="1144"/>
      <c r="I76" s="347" t="s">
        <v>1674</v>
      </c>
      <c r="J76" s="343"/>
      <c r="K76" s="103">
        <f>Uitvoerbestand!I65</f>
        <v>85.9</v>
      </c>
      <c r="L76" s="1235">
        <f t="shared" si="23"/>
        <v>0</v>
      </c>
      <c r="M76" s="1236"/>
      <c r="N76" s="62"/>
      <c r="O76" s="1145"/>
      <c r="P76" s="1259"/>
      <c r="Q76" s="757"/>
      <c r="R76" s="103">
        <v>85.49</v>
      </c>
      <c r="S76" s="1227">
        <f t="shared" si="24"/>
        <v>0</v>
      </c>
      <c r="T76" s="1252"/>
      <c r="U76" s="146"/>
      <c r="V76" s="3" t="s">
        <v>282</v>
      </c>
      <c r="X76" s="908">
        <f t="shared" si="25"/>
        <v>0</v>
      </c>
      <c r="Y76" s="917">
        <f t="shared" si="5"/>
        <v>0</v>
      </c>
      <c r="AA76" s="125"/>
      <c r="AY76" s="746"/>
      <c r="AZ76" s="746"/>
      <c r="BA76" s="747"/>
      <c r="BB76" s="748"/>
      <c r="BC76" s="748"/>
      <c r="BD76" s="749"/>
    </row>
    <row r="77" spans="1:56" ht="12.75">
      <c r="A77" s="36">
        <f t="shared" si="26"/>
        <v>621</v>
      </c>
      <c r="B77" s="42" t="s">
        <v>223</v>
      </c>
      <c r="C77" s="42"/>
      <c r="D77" s="42"/>
      <c r="E77" s="63">
        <f>SUM(E71:E76)</f>
        <v>0</v>
      </c>
      <c r="F77" s="64">
        <f>SUM(F71:F76)</f>
        <v>0</v>
      </c>
      <c r="G77" s="1149">
        <f>SUM(G71:G76)</f>
        <v>0</v>
      </c>
      <c r="H77" s="1144"/>
      <c r="I77" s="348"/>
      <c r="J77" s="343"/>
      <c r="K77" s="305"/>
      <c r="L77" s="1149">
        <f>SUM(L71:L76)</f>
        <v>0</v>
      </c>
      <c r="M77" s="1236"/>
      <c r="N77" s="54"/>
      <c r="O77" s="1149">
        <f>SUM(O71:O76)</f>
        <v>0</v>
      </c>
      <c r="P77" s="1144"/>
      <c r="Q77" s="64">
        <f>SUM(Q71:Q76)</f>
        <v>0</v>
      </c>
      <c r="R77" s="43"/>
      <c r="S77" s="1149">
        <f>SUM(S71:S76)</f>
        <v>0</v>
      </c>
      <c r="T77" s="1144"/>
      <c r="U77" s="147"/>
      <c r="V77" s="3"/>
      <c r="Z77">
        <f>SUM(Y71:Y76)</f>
        <v>0</v>
      </c>
      <c r="AA77" s="125"/>
      <c r="AY77" s="746"/>
      <c r="AZ77" s="746"/>
      <c r="BA77" s="747"/>
      <c r="BB77" s="748"/>
      <c r="BC77" s="748"/>
      <c r="BD77" s="749"/>
    </row>
    <row r="78" spans="1:56" ht="12.75">
      <c r="A78" s="22"/>
      <c r="B78" s="23" t="s">
        <v>2257</v>
      </c>
      <c r="C78" s="24"/>
      <c r="D78" s="23"/>
      <c r="E78" s="34"/>
      <c r="F78" s="23"/>
      <c r="G78" s="23"/>
      <c r="H78" s="23"/>
      <c r="I78" s="346"/>
      <c r="J78" s="343"/>
      <c r="K78" s="298"/>
      <c r="L78" s="10"/>
      <c r="M78" s="23"/>
      <c r="N78" s="24"/>
      <c r="O78" s="34"/>
      <c r="P78" s="34"/>
      <c r="Q78" s="34"/>
      <c r="R78" s="34"/>
      <c r="S78" s="55"/>
      <c r="T78" s="84"/>
      <c r="U78" s="144"/>
      <c r="V78" s="3"/>
      <c r="AA78" s="125"/>
      <c r="AY78" s="746"/>
      <c r="AZ78" s="746"/>
      <c r="BA78" s="747"/>
      <c r="BB78" s="748"/>
      <c r="BC78" s="748"/>
      <c r="BD78" s="749"/>
    </row>
    <row r="79" spans="1:56" ht="12.75">
      <c r="A79" s="36">
        <f>A77+1</f>
        <v>622</v>
      </c>
      <c r="B79" s="42" t="s">
        <v>1109</v>
      </c>
      <c r="C79" s="42"/>
      <c r="D79" s="50"/>
      <c r="E79" s="757"/>
      <c r="F79" s="131"/>
      <c r="G79" s="1149">
        <f>F79-E79</f>
        <v>0</v>
      </c>
      <c r="H79" s="1412"/>
      <c r="I79" s="347" t="s">
        <v>1675</v>
      </c>
      <c r="J79" s="343"/>
      <c r="K79" s="103">
        <f>Uitvoerbestand!I68</f>
        <v>169.05</v>
      </c>
      <c r="L79" s="1235">
        <f>F79*K79</f>
        <v>0</v>
      </c>
      <c r="M79" s="1236"/>
      <c r="N79" s="62">
        <v>5</v>
      </c>
      <c r="O79" s="1145"/>
      <c r="P79" s="1259"/>
      <c r="Q79" s="757"/>
      <c r="R79" s="103">
        <v>168.3</v>
      </c>
      <c r="S79" s="1383">
        <f>Q79*R79</f>
        <v>0</v>
      </c>
      <c r="T79" s="1384"/>
      <c r="U79" s="145"/>
      <c r="V79" s="3" t="s">
        <v>283</v>
      </c>
      <c r="X79" s="908">
        <f t="shared" si="25"/>
        <v>0</v>
      </c>
      <c r="Y79" s="917">
        <f aca="true" t="shared" si="27" ref="Y79:Y134">E79*K79</f>
        <v>0</v>
      </c>
      <c r="Z79">
        <f>Y79</f>
        <v>0</v>
      </c>
      <c r="AA79" s="125"/>
      <c r="AY79" s="746"/>
      <c r="AZ79" s="746"/>
      <c r="BA79" s="747"/>
      <c r="BB79" s="748"/>
      <c r="BC79" s="748"/>
      <c r="BD79" s="749"/>
    </row>
    <row r="80" spans="1:56" ht="12.75">
      <c r="A80" s="22"/>
      <c r="B80" s="23"/>
      <c r="C80" s="24"/>
      <c r="D80" s="23"/>
      <c r="E80" s="65"/>
      <c r="F80" s="58"/>
      <c r="G80" s="58"/>
      <c r="H80" s="58"/>
      <c r="I80" s="346"/>
      <c r="J80" s="343"/>
      <c r="K80" s="298"/>
      <c r="L80" s="66"/>
      <c r="M80" s="58"/>
      <c r="N80" s="54"/>
      <c r="O80" s="65"/>
      <c r="P80" s="65"/>
      <c r="Q80" s="65"/>
      <c r="R80" s="34"/>
      <c r="S80" s="79"/>
      <c r="T80" s="79"/>
      <c r="U80" s="143"/>
      <c r="V80" s="3"/>
      <c r="AA80" s="125"/>
      <c r="AY80" s="746"/>
      <c r="AZ80" s="746"/>
      <c r="BA80" s="747"/>
      <c r="BB80" s="748"/>
      <c r="BC80" s="748"/>
      <c r="BD80" s="749"/>
    </row>
    <row r="81" spans="1:56" ht="12.75">
      <c r="A81" s="22"/>
      <c r="B81" s="23" t="s">
        <v>211</v>
      </c>
      <c r="C81" s="24"/>
      <c r="D81" s="23"/>
      <c r="E81" s="34"/>
      <c r="F81" s="23"/>
      <c r="G81" s="23"/>
      <c r="H81" s="23"/>
      <c r="I81" s="346"/>
      <c r="J81" s="343"/>
      <c r="K81" s="298"/>
      <c r="L81" s="10"/>
      <c r="M81" s="23"/>
      <c r="N81" s="24"/>
      <c r="O81" s="34"/>
      <c r="P81" s="34"/>
      <c r="Q81" s="34"/>
      <c r="R81" s="34"/>
      <c r="S81" s="55"/>
      <c r="T81" s="84"/>
      <c r="U81" s="144"/>
      <c r="V81" s="3"/>
      <c r="AA81" s="125"/>
      <c r="AY81" s="746"/>
      <c r="AZ81" s="746"/>
      <c r="BA81" s="747"/>
      <c r="BB81" s="748"/>
      <c r="BC81" s="748"/>
      <c r="BD81" s="749"/>
    </row>
    <row r="82" spans="1:56" ht="12.75">
      <c r="A82" s="36">
        <f>A79+1</f>
        <v>623</v>
      </c>
      <c r="B82" s="37" t="s">
        <v>2171</v>
      </c>
      <c r="C82" s="37"/>
      <c r="D82" s="111"/>
      <c r="E82" s="757"/>
      <c r="F82" s="756"/>
      <c r="G82" s="1147">
        <f>F82-E82</f>
        <v>0</v>
      </c>
      <c r="H82" s="1144"/>
      <c r="I82" s="347" t="s">
        <v>1322</v>
      </c>
      <c r="J82" s="343"/>
      <c r="K82" s="103">
        <f>Uitvoerbestand!I71</f>
        <v>305.76</v>
      </c>
      <c r="L82" s="1235">
        <f>F82*K82</f>
        <v>0</v>
      </c>
      <c r="M82" s="1236"/>
      <c r="N82" s="62"/>
      <c r="O82" s="1145"/>
      <c r="P82" s="1259"/>
      <c r="Q82" s="757"/>
      <c r="R82" s="103">
        <v>304.54</v>
      </c>
      <c r="S82" s="1227">
        <f>Q82*R82</f>
        <v>0</v>
      </c>
      <c r="T82" s="1144"/>
      <c r="U82" s="145"/>
      <c r="V82" s="3" t="s">
        <v>285</v>
      </c>
      <c r="X82" s="908">
        <f t="shared" si="25"/>
        <v>0</v>
      </c>
      <c r="Y82" s="917">
        <f t="shared" si="27"/>
        <v>0</v>
      </c>
      <c r="AA82" s="125"/>
      <c r="AY82" s="746"/>
      <c r="AZ82" s="746"/>
      <c r="BA82" s="455"/>
      <c r="BB82" s="748"/>
      <c r="BC82" s="748"/>
      <c r="BD82" s="749"/>
    </row>
    <row r="83" spans="1:56" ht="12.75">
      <c r="A83" s="39">
        <f>A82+1</f>
        <v>624</v>
      </c>
      <c r="B83" s="37" t="s">
        <v>1317</v>
      </c>
      <c r="C83" s="37"/>
      <c r="D83" s="111"/>
      <c r="E83" s="757"/>
      <c r="F83" s="756"/>
      <c r="G83" s="1147">
        <f>F83-E83</f>
        <v>0</v>
      </c>
      <c r="H83" s="1144"/>
      <c r="I83" s="347" t="s">
        <v>1321</v>
      </c>
      <c r="J83" s="343"/>
      <c r="K83" s="103">
        <f>Uitvoerbestand!I72</f>
        <v>305.76</v>
      </c>
      <c r="L83" s="1235">
        <f>F83*K83</f>
        <v>0</v>
      </c>
      <c r="M83" s="1236"/>
      <c r="N83" s="62"/>
      <c r="O83" s="1145"/>
      <c r="P83" s="1259"/>
      <c r="Q83" s="757"/>
      <c r="R83" s="103">
        <v>304.54</v>
      </c>
      <c r="S83" s="1227">
        <f>Q83*R83</f>
        <v>0</v>
      </c>
      <c r="T83" s="1252"/>
      <c r="U83" s="146"/>
      <c r="V83" s="3" t="s">
        <v>178</v>
      </c>
      <c r="X83" s="908">
        <f t="shared" si="25"/>
        <v>0</v>
      </c>
      <c r="Y83" s="917">
        <f t="shared" si="27"/>
        <v>0</v>
      </c>
      <c r="AA83" s="125"/>
      <c r="AY83" s="746"/>
      <c r="AZ83" s="749"/>
      <c r="BB83" s="748"/>
      <c r="BC83" s="748"/>
      <c r="BD83" s="749"/>
    </row>
    <row r="84" spans="1:56" ht="12.75">
      <c r="A84" s="39">
        <f>A83+1</f>
        <v>625</v>
      </c>
      <c r="B84" s="37" t="s">
        <v>1318</v>
      </c>
      <c r="C84" s="37"/>
      <c r="D84" s="111"/>
      <c r="E84" s="757"/>
      <c r="F84" s="756"/>
      <c r="G84" s="1147">
        <f>F84-E84</f>
        <v>0</v>
      </c>
      <c r="H84" s="1144"/>
      <c r="I84" s="347" t="s">
        <v>1323</v>
      </c>
      <c r="J84" s="343"/>
      <c r="K84" s="103">
        <f>Uitvoerbestand!I73</f>
        <v>861.86</v>
      </c>
      <c r="L84" s="1235">
        <f>F84*K84</f>
        <v>0</v>
      </c>
      <c r="M84" s="1236"/>
      <c r="N84" s="62"/>
      <c r="O84" s="1145"/>
      <c r="P84" s="1259"/>
      <c r="Q84" s="757"/>
      <c r="R84" s="103">
        <v>858.43</v>
      </c>
      <c r="S84" s="1227">
        <f>Q84*R84</f>
        <v>0</v>
      </c>
      <c r="T84" s="1144"/>
      <c r="U84" s="147"/>
      <c r="V84" s="3" t="s">
        <v>286</v>
      </c>
      <c r="X84" s="908">
        <f t="shared" si="25"/>
        <v>0</v>
      </c>
      <c r="Y84" s="917">
        <f t="shared" si="27"/>
        <v>0</v>
      </c>
      <c r="AA84" s="125"/>
      <c r="AY84" s="746"/>
      <c r="BB84" s="748"/>
      <c r="BC84" s="748"/>
      <c r="BD84" s="749"/>
    </row>
    <row r="85" spans="1:56" ht="12.75">
      <c r="A85" s="39">
        <f>A84+1</f>
        <v>626</v>
      </c>
      <c r="B85" s="37" t="s">
        <v>1320</v>
      </c>
      <c r="C85" s="37"/>
      <c r="D85" s="111"/>
      <c r="E85" s="757"/>
      <c r="F85" s="756"/>
      <c r="G85" s="1147">
        <f>F85-E85</f>
        <v>0</v>
      </c>
      <c r="H85" s="1144"/>
      <c r="I85" s="347" t="s">
        <v>1324</v>
      </c>
      <c r="J85" s="343"/>
      <c r="K85" s="103">
        <f>Uitvoerbestand!I74</f>
        <v>2493.63</v>
      </c>
      <c r="L85" s="1235">
        <f>F85*K85</f>
        <v>0</v>
      </c>
      <c r="M85" s="1236"/>
      <c r="N85" s="62"/>
      <c r="O85" s="1145"/>
      <c r="P85" s="1259"/>
      <c r="Q85" s="757"/>
      <c r="R85" s="103">
        <v>2483.7</v>
      </c>
      <c r="S85" s="1227">
        <f>Q85*R85</f>
        <v>0</v>
      </c>
      <c r="T85" s="1144"/>
      <c r="U85" s="147"/>
      <c r="V85" s="3" t="s">
        <v>287</v>
      </c>
      <c r="X85" s="908">
        <f t="shared" si="25"/>
        <v>0</v>
      </c>
      <c r="Y85" s="917">
        <f t="shared" si="27"/>
        <v>0</v>
      </c>
      <c r="AA85" s="125"/>
      <c r="AY85" s="746"/>
      <c r="BB85" s="748"/>
      <c r="BC85" s="748"/>
      <c r="BD85" s="749"/>
    </row>
    <row r="86" spans="1:56" ht="12.75">
      <c r="A86" s="39">
        <f>A85+1</f>
        <v>627</v>
      </c>
      <c r="B86" s="37" t="s">
        <v>1319</v>
      </c>
      <c r="C86" s="37"/>
      <c r="D86" s="111"/>
      <c r="E86" s="757"/>
      <c r="F86" s="756"/>
      <c r="G86" s="1147">
        <f>F86-E86</f>
        <v>0</v>
      </c>
      <c r="H86" s="1144"/>
      <c r="I86" s="347" t="s">
        <v>1325</v>
      </c>
      <c r="J86" s="343"/>
      <c r="K86" s="103">
        <f>Uitvoerbestand!I75</f>
        <v>1205.26</v>
      </c>
      <c r="L86" s="1235">
        <f>F86*K86</f>
        <v>0</v>
      </c>
      <c r="M86" s="1236"/>
      <c r="N86" s="62"/>
      <c r="O86" s="1145"/>
      <c r="P86" s="1259"/>
      <c r="Q86" s="757"/>
      <c r="R86" s="759">
        <v>1200.46</v>
      </c>
      <c r="S86" s="1227">
        <f>Q86*R86</f>
        <v>0</v>
      </c>
      <c r="T86" s="1252"/>
      <c r="U86" s="146"/>
      <c r="V86" s="3" t="s">
        <v>177</v>
      </c>
      <c r="X86" s="908">
        <f t="shared" si="25"/>
        <v>0</v>
      </c>
      <c r="Y86" s="917">
        <f t="shared" si="27"/>
        <v>0</v>
      </c>
      <c r="AA86" s="125"/>
      <c r="AY86" s="746"/>
      <c r="AZ86" s="746"/>
      <c r="BA86" s="747"/>
      <c r="BB86" s="748"/>
      <c r="BC86" s="748"/>
      <c r="BD86" s="749"/>
    </row>
    <row r="87" spans="1:56" ht="12.75">
      <c r="A87" s="36">
        <f>A86+1</f>
        <v>628</v>
      </c>
      <c r="B87" s="42" t="s">
        <v>223</v>
      </c>
      <c r="C87" s="42"/>
      <c r="D87" s="110"/>
      <c r="E87" s="63">
        <f>SUM(E82:E86)</f>
        <v>0</v>
      </c>
      <c r="F87" s="64">
        <f>SUM(F82:F86)</f>
        <v>0</v>
      </c>
      <c r="G87" s="1149">
        <f>SUM(G82:G86)</f>
        <v>0</v>
      </c>
      <c r="H87" s="1144"/>
      <c r="I87" s="348"/>
      <c r="J87" s="343"/>
      <c r="K87" s="305"/>
      <c r="L87" s="1149">
        <f>SUM(L82:L86)</f>
        <v>0</v>
      </c>
      <c r="M87" s="1236"/>
      <c r="N87" s="54"/>
      <c r="O87" s="1149">
        <f>SUM(O82:O86)</f>
        <v>0</v>
      </c>
      <c r="P87" s="1144"/>
      <c r="Q87" s="64">
        <f>SUM(Q82:Q86)</f>
        <v>0</v>
      </c>
      <c r="R87" s="43"/>
      <c r="S87" s="1149">
        <f>SUM(S82:S86)</f>
        <v>0</v>
      </c>
      <c r="T87" s="1144"/>
      <c r="U87" s="147"/>
      <c r="V87" s="3"/>
      <c r="Z87">
        <f>SUM(Y82:Y86)</f>
        <v>0</v>
      </c>
      <c r="AA87" s="125"/>
      <c r="AY87" s="746"/>
      <c r="BB87" s="748"/>
      <c r="BC87" s="748"/>
      <c r="BD87" s="749"/>
    </row>
    <row r="88" spans="1:56" ht="12.75">
      <c r="A88" s="22"/>
      <c r="B88" s="23"/>
      <c r="C88" s="24"/>
      <c r="D88" s="23"/>
      <c r="E88" s="65"/>
      <c r="F88" s="58"/>
      <c r="G88" s="58"/>
      <c r="H88" s="58"/>
      <c r="I88" s="346"/>
      <c r="J88" s="343"/>
      <c r="K88" s="298"/>
      <c r="L88" s="66"/>
      <c r="M88" s="58"/>
      <c r="N88" s="54"/>
      <c r="R88" s="34"/>
      <c r="S88" s="79"/>
      <c r="T88" s="79"/>
      <c r="U88" s="143"/>
      <c r="V88" s="3"/>
      <c r="AA88" s="125"/>
      <c r="AY88" s="746"/>
      <c r="AZ88" s="746"/>
      <c r="BA88" s="747"/>
      <c r="BB88" s="748"/>
      <c r="BC88" s="748"/>
      <c r="BD88" s="749"/>
    </row>
    <row r="89" spans="1:56" ht="12.75">
      <c r="A89" s="22"/>
      <c r="B89" s="23" t="s">
        <v>1748</v>
      </c>
      <c r="C89" s="24"/>
      <c r="D89" s="23"/>
      <c r="E89" s="65"/>
      <c r="F89" s="58"/>
      <c r="G89" s="58"/>
      <c r="H89" s="58"/>
      <c r="I89" s="346"/>
      <c r="J89" s="343"/>
      <c r="K89" s="306"/>
      <c r="L89" s="66"/>
      <c r="M89" s="58"/>
      <c r="N89" s="54"/>
      <c r="O89" s="65"/>
      <c r="P89" s="65"/>
      <c r="Q89" s="65"/>
      <c r="R89" s="78"/>
      <c r="S89" s="55"/>
      <c r="T89" s="55"/>
      <c r="U89" s="144"/>
      <c r="V89" s="3"/>
      <c r="AA89" s="125"/>
      <c r="AY89" s="746"/>
      <c r="AZ89" s="746"/>
      <c r="BA89" s="747"/>
      <c r="BB89" s="748"/>
      <c r="BC89" s="748"/>
      <c r="BD89" s="749"/>
    </row>
    <row r="90" spans="1:56" ht="12.75">
      <c r="A90" s="39">
        <f>A87+1</f>
        <v>629</v>
      </c>
      <c r="B90" s="40" t="str">
        <f>CONCATENATE("Zorgvernieuwingsprojecten ",E8)</f>
        <v>Zorgvernieuwingsprojecten 2006</v>
      </c>
      <c r="C90" s="40"/>
      <c r="D90" s="41"/>
      <c r="E90" s="757"/>
      <c r="F90" s="132">
        <f>S252</f>
        <v>0</v>
      </c>
      <c r="G90" s="1147">
        <f>(F90-E90)</f>
        <v>0</v>
      </c>
      <c r="H90" s="1144"/>
      <c r="I90" s="347" t="s">
        <v>1008</v>
      </c>
      <c r="J90" s="343"/>
      <c r="K90" s="523"/>
      <c r="L90" s="1416">
        <f>F90</f>
        <v>0</v>
      </c>
      <c r="M90" s="1417"/>
      <c r="N90" s="55"/>
      <c r="O90" s="1145"/>
      <c r="P90" s="1259"/>
      <c r="Q90" s="757"/>
      <c r="R90" s="523"/>
      <c r="S90" s="1227">
        <f>Q90</f>
        <v>0</v>
      </c>
      <c r="T90" s="1252"/>
      <c r="U90" s="147"/>
      <c r="V90" s="3" t="s">
        <v>936</v>
      </c>
      <c r="X90" s="908">
        <f t="shared" si="25"/>
        <v>0</v>
      </c>
      <c r="Y90" s="917">
        <f>E90</f>
        <v>0</v>
      </c>
      <c r="Z90">
        <f>Y90</f>
        <v>0</v>
      </c>
      <c r="AA90" s="125"/>
      <c r="AY90" s="746"/>
      <c r="AZ90" s="746"/>
      <c r="BA90" s="747"/>
      <c r="BB90" s="748"/>
      <c r="BC90" s="748"/>
      <c r="BD90" s="749"/>
    </row>
    <row r="91" spans="1:56" ht="12.75">
      <c r="A91" s="36">
        <f>A90+1</f>
        <v>630</v>
      </c>
      <c r="B91" s="263" t="s">
        <v>1486</v>
      </c>
      <c r="C91" s="42"/>
      <c r="D91" s="42"/>
      <c r="E91" s="45"/>
      <c r="F91" s="440" t="str">
        <f>IF(F90=0," ",ROUND(F90/(G313-G300-G312),3))</f>
        <v> </v>
      </c>
      <c r="G91" s="122"/>
      <c r="H91" s="135"/>
      <c r="I91" s="348"/>
      <c r="J91" s="343"/>
      <c r="K91" s="382"/>
      <c r="L91" s="122"/>
      <c r="M91" s="384"/>
      <c r="N91" s="54"/>
      <c r="O91" s="78"/>
      <c r="P91" s="78"/>
      <c r="Q91" s="122"/>
      <c r="R91" s="384"/>
      <c r="S91" s="122"/>
      <c r="T91" s="86"/>
      <c r="U91" s="147"/>
      <c r="V91" s="3"/>
      <c r="AA91" s="125"/>
      <c r="AY91" s="746"/>
      <c r="AZ91" s="746"/>
      <c r="BA91" s="747"/>
      <c r="BB91" s="748"/>
      <c r="BC91" s="748"/>
      <c r="BD91" s="749"/>
    </row>
    <row r="92" spans="1:56" ht="12.75">
      <c r="A92" s="23"/>
      <c r="B92" s="6" t="s">
        <v>841</v>
      </c>
      <c r="C92" s="24"/>
      <c r="D92" s="24"/>
      <c r="E92" s="72"/>
      <c r="F92" s="72"/>
      <c r="G92" s="122"/>
      <c r="H92" s="86"/>
      <c r="I92" s="348"/>
      <c r="J92" s="343"/>
      <c r="K92" s="382"/>
      <c r="L92" s="122"/>
      <c r="M92" s="384"/>
      <c r="N92" s="54"/>
      <c r="O92" s="78"/>
      <c r="P92" s="78"/>
      <c r="Q92" s="122"/>
      <c r="R92" s="384"/>
      <c r="S92" s="122"/>
      <c r="T92" s="86"/>
      <c r="U92" s="147"/>
      <c r="V92" s="3"/>
      <c r="AA92" s="125"/>
      <c r="AY92" s="746"/>
      <c r="AZ92" s="746"/>
      <c r="BA92" s="747"/>
      <c r="BB92" s="748"/>
      <c r="BC92" s="748"/>
      <c r="BD92" s="749"/>
    </row>
    <row r="93" spans="1:56" ht="12.75">
      <c r="A93" s="11"/>
      <c r="B93" s="24"/>
      <c r="C93" s="24"/>
      <c r="D93" s="24"/>
      <c r="E93" s="72"/>
      <c r="F93" s="72"/>
      <c r="G93" s="122"/>
      <c r="H93" s="86"/>
      <c r="I93" s="348"/>
      <c r="J93" s="343"/>
      <c r="K93" s="307"/>
      <c r="L93" s="122"/>
      <c r="M93" s="384"/>
      <c r="N93" s="54"/>
      <c r="O93" s="122"/>
      <c r="P93" s="86"/>
      <c r="Q93" s="72"/>
      <c r="R93" s="35"/>
      <c r="S93" s="122"/>
      <c r="T93" s="86"/>
      <c r="U93" s="147"/>
      <c r="V93" s="3"/>
      <c r="AA93" s="125"/>
      <c r="AY93" s="746"/>
      <c r="AZ93" s="746"/>
      <c r="BA93" s="747"/>
      <c r="BB93" s="748"/>
      <c r="BC93" s="748"/>
      <c r="BD93" s="749"/>
    </row>
    <row r="94" spans="1:56" ht="12.75">
      <c r="A94" s="22"/>
      <c r="B94" s="23"/>
      <c r="C94" s="24"/>
      <c r="D94" s="25"/>
      <c r="E94" s="26" t="s">
        <v>224</v>
      </c>
      <c r="F94" s="26" t="str">
        <f>F7</f>
        <v>Mutatie</v>
      </c>
      <c r="G94" s="1338" t="s">
        <v>221</v>
      </c>
      <c r="H94" s="1274"/>
      <c r="I94" s="343"/>
      <c r="J94" s="343"/>
      <c r="K94" s="1387" t="str">
        <f>CONCATENATE("Budget ",$E$8)</f>
        <v>Budget 2006</v>
      </c>
      <c r="L94" s="1388"/>
      <c r="M94" s="1389"/>
      <c r="N94" s="25"/>
      <c r="O94" s="1264" t="s">
        <v>227</v>
      </c>
      <c r="P94" s="1265"/>
      <c r="Q94" s="1386" t="s">
        <v>227</v>
      </c>
      <c r="R94" s="1264" t="str">
        <f>CONCATENATE("Nacalculatie ",$E$8-1)</f>
        <v>Nacalculatie 2005</v>
      </c>
      <c r="S94" s="1385"/>
      <c r="T94" s="1272"/>
      <c r="U94" s="141"/>
      <c r="V94" s="3"/>
      <c r="AA94" s="125"/>
      <c r="AY94" s="746"/>
      <c r="AZ94" s="746"/>
      <c r="BA94" s="747"/>
      <c r="BB94" s="748"/>
      <c r="BC94" s="748"/>
      <c r="BD94" s="749"/>
    </row>
    <row r="95" spans="1:56" ht="12.75">
      <c r="A95" s="28"/>
      <c r="B95" s="29"/>
      <c r="C95" s="30"/>
      <c r="D95" s="30"/>
      <c r="E95" s="31">
        <f>$E$8</f>
        <v>2006</v>
      </c>
      <c r="F95" s="31">
        <f>$E$8</f>
        <v>2006</v>
      </c>
      <c r="G95" s="1250"/>
      <c r="H95" s="1415"/>
      <c r="I95" s="345"/>
      <c r="J95" s="343"/>
      <c r="K95" s="302" t="s">
        <v>233</v>
      </c>
      <c r="L95" s="1380" t="s">
        <v>234</v>
      </c>
      <c r="M95" s="1392"/>
      <c r="N95" s="30"/>
      <c r="O95" s="1380">
        <f>$E$8-2</f>
        <v>2004</v>
      </c>
      <c r="P95" s="1381"/>
      <c r="Q95" s="33">
        <f>$E$8-1</f>
        <v>2005</v>
      </c>
      <c r="R95" s="32" t="s">
        <v>233</v>
      </c>
      <c r="S95" s="1380" t="s">
        <v>234</v>
      </c>
      <c r="T95" s="1382"/>
      <c r="U95" s="142"/>
      <c r="V95" s="3"/>
      <c r="AA95" s="125"/>
      <c r="AY95" s="746"/>
      <c r="AZ95" s="746"/>
      <c r="BA95" s="747"/>
      <c r="BB95" s="748"/>
      <c r="BC95" s="748"/>
      <c r="BD95" s="749"/>
    </row>
    <row r="96" spans="1:56" ht="12.75">
      <c r="A96" s="22"/>
      <c r="B96" s="23"/>
      <c r="C96" s="24"/>
      <c r="D96" s="23"/>
      <c r="E96" s="27" t="s">
        <v>910</v>
      </c>
      <c r="F96" s="27" t="s">
        <v>911</v>
      </c>
      <c r="G96" s="1340" t="s">
        <v>912</v>
      </c>
      <c r="H96" s="1340"/>
      <c r="I96" s="346"/>
      <c r="J96" s="343"/>
      <c r="K96" s="303" t="s">
        <v>913</v>
      </c>
      <c r="L96" s="1340" t="s">
        <v>914</v>
      </c>
      <c r="M96" s="1340"/>
      <c r="N96" s="1340" t="s">
        <v>915</v>
      </c>
      <c r="O96" s="1340"/>
      <c r="P96" s="1340"/>
      <c r="Q96" s="27" t="s">
        <v>916</v>
      </c>
      <c r="R96" s="27" t="s">
        <v>917</v>
      </c>
      <c r="S96" s="1340" t="s">
        <v>918</v>
      </c>
      <c r="T96" s="1340"/>
      <c r="U96" s="142"/>
      <c r="V96" s="3"/>
      <c r="AA96" s="125"/>
      <c r="AY96" s="746"/>
      <c r="AZ96" s="746"/>
      <c r="BA96" s="747"/>
      <c r="BB96" s="748"/>
      <c r="BC96" s="748"/>
      <c r="BD96" s="749"/>
    </row>
    <row r="97" spans="1:56" ht="12.75">
      <c r="A97" s="22"/>
      <c r="B97" s="23" t="s">
        <v>2258</v>
      </c>
      <c r="C97" s="24"/>
      <c r="D97" s="27"/>
      <c r="E97" s="34"/>
      <c r="F97" s="23"/>
      <c r="G97" s="23"/>
      <c r="H97" s="23"/>
      <c r="I97" s="346"/>
      <c r="J97" s="343"/>
      <c r="K97" s="1076" t="str">
        <f>K10</f>
        <v>Incl. voorl. index 2006</v>
      </c>
      <c r="L97" s="10"/>
      <c r="M97" s="23"/>
      <c r="N97" s="24"/>
      <c r="O97" s="34"/>
      <c r="P97" s="34"/>
      <c r="Q97" s="34"/>
      <c r="R97" s="34"/>
      <c r="S97" s="55"/>
      <c r="T97" s="84"/>
      <c r="U97" s="144"/>
      <c r="V97" s="3"/>
      <c r="AA97" s="125"/>
      <c r="AY97" s="746"/>
      <c r="AZ97" s="746"/>
      <c r="BA97" s="747"/>
      <c r="BB97" s="748"/>
      <c r="BC97" s="748"/>
      <c r="BD97" s="749"/>
    </row>
    <row r="98" spans="1:56" ht="12.75">
      <c r="A98" s="36">
        <v>701</v>
      </c>
      <c r="B98" s="93" t="s">
        <v>2158</v>
      </c>
      <c r="C98" s="94"/>
      <c r="D98" s="267" t="s">
        <v>866</v>
      </c>
      <c r="E98" s="757"/>
      <c r="F98" s="60"/>
      <c r="G98" s="1147">
        <f aca="true" t="shared" si="28" ref="G98:G108">F98-E98</f>
        <v>0</v>
      </c>
      <c r="H98" s="1144"/>
      <c r="I98" s="347" t="s">
        <v>1678</v>
      </c>
      <c r="J98" s="343"/>
      <c r="K98" s="103">
        <f>Uitvoerbestand!I79</f>
        <v>19.13</v>
      </c>
      <c r="L98" s="1235">
        <f aca="true" t="shared" si="29" ref="L98:L108">F98*K98</f>
        <v>0</v>
      </c>
      <c r="M98" s="1236"/>
      <c r="N98" s="62"/>
      <c r="O98" s="1145"/>
      <c r="P98" s="1259"/>
      <c r="Q98" s="757"/>
      <c r="R98" s="103">
        <v>19.05</v>
      </c>
      <c r="S98" s="1227">
        <f aca="true" t="shared" si="30" ref="S98:S108">Q98*R98</f>
        <v>0</v>
      </c>
      <c r="T98" s="1144"/>
      <c r="U98" s="145"/>
      <c r="V98" s="3" t="s">
        <v>1560</v>
      </c>
      <c r="X98" s="908">
        <f t="shared" si="25"/>
        <v>0</v>
      </c>
      <c r="Y98" s="917">
        <f t="shared" si="27"/>
        <v>0</v>
      </c>
      <c r="AA98" s="125"/>
      <c r="AY98" s="746"/>
      <c r="AZ98" s="746"/>
      <c r="BA98" s="747"/>
      <c r="BB98" s="748"/>
      <c r="BC98" s="748"/>
      <c r="BD98" s="749"/>
    </row>
    <row r="99" spans="1:56" ht="12.75">
      <c r="A99" s="39">
        <f aca="true" t="shared" si="31" ref="A99:A109">A98+1</f>
        <v>702</v>
      </c>
      <c r="B99" s="93" t="s">
        <v>2159</v>
      </c>
      <c r="C99" s="94"/>
      <c r="D99" s="267" t="s">
        <v>867</v>
      </c>
      <c r="E99" s="757"/>
      <c r="F99" s="60"/>
      <c r="G99" s="1147">
        <f t="shared" si="28"/>
        <v>0</v>
      </c>
      <c r="H99" s="1144"/>
      <c r="I99" s="347" t="s">
        <v>1679</v>
      </c>
      <c r="J99" s="343"/>
      <c r="K99" s="103">
        <f>Uitvoerbestand!I80</f>
        <v>146.85999999999999</v>
      </c>
      <c r="L99" s="1235">
        <f t="shared" si="29"/>
        <v>0</v>
      </c>
      <c r="M99" s="1236"/>
      <c r="N99" s="62"/>
      <c r="O99" s="1145"/>
      <c r="P99" s="1259"/>
      <c r="Q99" s="757"/>
      <c r="R99" s="103">
        <v>146.14</v>
      </c>
      <c r="S99" s="1227">
        <f t="shared" si="30"/>
        <v>0</v>
      </c>
      <c r="T99" s="1252"/>
      <c r="U99" s="146"/>
      <c r="V99" s="3" t="s">
        <v>179</v>
      </c>
      <c r="X99" s="908">
        <f t="shared" si="25"/>
        <v>0</v>
      </c>
      <c r="Y99" s="917">
        <f t="shared" si="27"/>
        <v>0</v>
      </c>
      <c r="AA99" s="125"/>
      <c r="AY99" s="746"/>
      <c r="AZ99" s="746"/>
      <c r="BA99" s="747"/>
      <c r="BB99" s="748"/>
      <c r="BC99" s="748"/>
      <c r="BD99" s="749"/>
    </row>
    <row r="100" spans="1:56" ht="12.75">
      <c r="A100" s="39">
        <f t="shared" si="31"/>
        <v>703</v>
      </c>
      <c r="B100" s="93" t="s">
        <v>2160</v>
      </c>
      <c r="C100" s="94"/>
      <c r="D100" s="267" t="s">
        <v>868</v>
      </c>
      <c r="E100" s="757"/>
      <c r="F100" s="60"/>
      <c r="G100" s="1147">
        <f t="shared" si="28"/>
        <v>0</v>
      </c>
      <c r="H100" s="1144"/>
      <c r="I100" s="347" t="s">
        <v>1680</v>
      </c>
      <c r="J100" s="343"/>
      <c r="K100" s="103">
        <f>Uitvoerbestand!I81</f>
        <v>399.84000000000003</v>
      </c>
      <c r="L100" s="1235">
        <f t="shared" si="29"/>
        <v>0</v>
      </c>
      <c r="M100" s="1236"/>
      <c r="N100" s="62"/>
      <c r="O100" s="1145"/>
      <c r="P100" s="1259"/>
      <c r="Q100" s="757"/>
      <c r="R100" s="103">
        <v>398.12</v>
      </c>
      <c r="S100" s="1227">
        <f t="shared" si="30"/>
        <v>0</v>
      </c>
      <c r="T100" s="1144"/>
      <c r="U100" s="147"/>
      <c r="V100" s="3" t="s">
        <v>180</v>
      </c>
      <c r="X100" s="908">
        <f t="shared" si="25"/>
        <v>0</v>
      </c>
      <c r="Y100" s="917">
        <f t="shared" si="27"/>
        <v>0</v>
      </c>
      <c r="AA100" s="125"/>
      <c r="AY100" s="746"/>
      <c r="AZ100" s="746"/>
      <c r="BA100" s="747"/>
      <c r="BB100" s="748"/>
      <c r="BC100" s="748"/>
      <c r="BD100" s="749"/>
    </row>
    <row r="101" spans="1:56" ht="12.75">
      <c r="A101" s="39">
        <f t="shared" si="31"/>
        <v>704</v>
      </c>
      <c r="B101" s="93" t="s">
        <v>2161</v>
      </c>
      <c r="C101" s="94"/>
      <c r="D101" s="267" t="s">
        <v>869</v>
      </c>
      <c r="E101" s="757"/>
      <c r="F101" s="60"/>
      <c r="G101" s="1147">
        <f t="shared" si="28"/>
        <v>0</v>
      </c>
      <c r="H101" s="1144"/>
      <c r="I101" s="347" t="s">
        <v>1681</v>
      </c>
      <c r="J101" s="343"/>
      <c r="K101" s="103">
        <f>Uitvoerbestand!I82</f>
        <v>139.01</v>
      </c>
      <c r="L101" s="1235">
        <f t="shared" si="29"/>
        <v>0</v>
      </c>
      <c r="M101" s="1236"/>
      <c r="N101" s="62"/>
      <c r="O101" s="1145"/>
      <c r="P101" s="1259"/>
      <c r="Q101" s="757"/>
      <c r="R101" s="103">
        <v>138.33</v>
      </c>
      <c r="S101" s="1227">
        <f t="shared" si="30"/>
        <v>0</v>
      </c>
      <c r="T101" s="1252"/>
      <c r="U101" s="146"/>
      <c r="V101" s="3" t="s">
        <v>181</v>
      </c>
      <c r="X101" s="908">
        <f t="shared" si="25"/>
        <v>0</v>
      </c>
      <c r="Y101" s="917">
        <f t="shared" si="27"/>
        <v>0</v>
      </c>
      <c r="AA101" s="125"/>
      <c r="AY101" s="746"/>
      <c r="AZ101" s="746"/>
      <c r="BA101" s="747"/>
      <c r="BB101" s="748"/>
      <c r="BC101" s="748"/>
      <c r="BD101" s="749"/>
    </row>
    <row r="102" spans="1:56" ht="12.75">
      <c r="A102" s="39">
        <f t="shared" si="31"/>
        <v>705</v>
      </c>
      <c r="B102" s="93" t="s">
        <v>2162</v>
      </c>
      <c r="C102" s="94"/>
      <c r="D102" s="267" t="s">
        <v>870</v>
      </c>
      <c r="E102" s="757"/>
      <c r="F102" s="60"/>
      <c r="G102" s="1147">
        <f t="shared" si="28"/>
        <v>0</v>
      </c>
      <c r="H102" s="1144"/>
      <c r="I102" s="347" t="s">
        <v>1682</v>
      </c>
      <c r="J102" s="343"/>
      <c r="K102" s="103">
        <f>Uitvoerbestand!I83</f>
        <v>89.52000000000001</v>
      </c>
      <c r="L102" s="1235">
        <f t="shared" si="29"/>
        <v>0</v>
      </c>
      <c r="M102" s="1236"/>
      <c r="N102" s="62"/>
      <c r="O102" s="1145"/>
      <c r="P102" s="1259"/>
      <c r="Q102" s="757"/>
      <c r="R102" s="103">
        <v>89.03</v>
      </c>
      <c r="S102" s="1227">
        <f t="shared" si="30"/>
        <v>0</v>
      </c>
      <c r="T102" s="1144"/>
      <c r="U102" s="147"/>
      <c r="V102" s="3" t="s">
        <v>182</v>
      </c>
      <c r="X102" s="908">
        <f t="shared" si="25"/>
        <v>0</v>
      </c>
      <c r="Y102" s="917">
        <f t="shared" si="27"/>
        <v>0</v>
      </c>
      <c r="AA102" s="125"/>
      <c r="AY102" s="746"/>
      <c r="AZ102" s="746"/>
      <c r="BA102" s="747"/>
      <c r="BB102" s="748"/>
      <c r="BC102" s="748"/>
      <c r="BD102" s="749"/>
    </row>
    <row r="103" spans="1:56" ht="12.75">
      <c r="A103" s="39">
        <f t="shared" si="31"/>
        <v>706</v>
      </c>
      <c r="B103" s="93" t="s">
        <v>893</v>
      </c>
      <c r="C103" s="94"/>
      <c r="D103" s="267" t="s">
        <v>871</v>
      </c>
      <c r="E103" s="757"/>
      <c r="F103" s="60"/>
      <c r="G103" s="1147">
        <f t="shared" si="28"/>
        <v>0</v>
      </c>
      <c r="H103" s="1144"/>
      <c r="I103" s="347" t="s">
        <v>1683</v>
      </c>
      <c r="J103" s="343"/>
      <c r="K103" s="103">
        <f>Uitvoerbestand!I84</f>
        <v>84.08000000000001</v>
      </c>
      <c r="L103" s="1235">
        <f t="shared" si="29"/>
        <v>0</v>
      </c>
      <c r="M103" s="1236"/>
      <c r="N103" s="62"/>
      <c r="O103" s="1145"/>
      <c r="P103" s="1259"/>
      <c r="Q103" s="757"/>
      <c r="R103" s="103">
        <v>83.61</v>
      </c>
      <c r="S103" s="1227">
        <f t="shared" si="30"/>
        <v>0</v>
      </c>
      <c r="T103" s="1144"/>
      <c r="U103" s="147"/>
      <c r="V103" s="3" t="s">
        <v>183</v>
      </c>
      <c r="X103" s="908">
        <f t="shared" si="25"/>
        <v>0</v>
      </c>
      <c r="Y103" s="917">
        <f t="shared" si="27"/>
        <v>0</v>
      </c>
      <c r="AA103" s="125"/>
      <c r="AY103" s="746"/>
      <c r="AZ103" s="746"/>
      <c r="BA103" s="747"/>
      <c r="BB103" s="748"/>
      <c r="BC103" s="748"/>
      <c r="BD103" s="749"/>
    </row>
    <row r="104" spans="1:56" ht="12.75">
      <c r="A104" s="39">
        <f>A103+1</f>
        <v>707</v>
      </c>
      <c r="B104" s="93" t="s">
        <v>1437</v>
      </c>
      <c r="C104" s="94"/>
      <c r="D104" s="267" t="s">
        <v>1438</v>
      </c>
      <c r="E104" s="757"/>
      <c r="F104" s="60"/>
      <c r="G104" s="1147">
        <f>F104-E104</f>
        <v>0</v>
      </c>
      <c r="H104" s="1144"/>
      <c r="I104" s="347" t="s">
        <v>1439</v>
      </c>
      <c r="J104" s="343"/>
      <c r="K104" s="103">
        <f>Uitvoerbestand!I85</f>
        <v>46.94</v>
      </c>
      <c r="L104" s="1235">
        <f>F104*K104</f>
        <v>0</v>
      </c>
      <c r="M104" s="1236"/>
      <c r="N104" s="62"/>
      <c r="O104" s="1145"/>
      <c r="P104" s="1259"/>
      <c r="Q104" s="757"/>
      <c r="R104" s="103">
        <v>46.62</v>
      </c>
      <c r="S104" s="1227">
        <f>Q104*R104</f>
        <v>0</v>
      </c>
      <c r="T104" s="1144"/>
      <c r="U104" s="147"/>
      <c r="V104" s="3" t="s">
        <v>1712</v>
      </c>
      <c r="X104" s="908">
        <f t="shared" si="25"/>
        <v>0</v>
      </c>
      <c r="Y104" s="917">
        <f t="shared" si="27"/>
        <v>0</v>
      </c>
      <c r="AA104" s="125"/>
      <c r="AY104" s="746"/>
      <c r="AZ104" s="746"/>
      <c r="BA104" s="747"/>
      <c r="BB104" s="748"/>
      <c r="BC104" s="748"/>
      <c r="BD104" s="749"/>
    </row>
    <row r="105" spans="1:56" ht="12.75">
      <c r="A105" s="39">
        <f>A104+1</f>
        <v>708</v>
      </c>
      <c r="B105" s="93" t="s">
        <v>2163</v>
      </c>
      <c r="C105" s="94"/>
      <c r="D105" s="267" t="s">
        <v>872</v>
      </c>
      <c r="E105" s="757"/>
      <c r="F105" s="60"/>
      <c r="G105" s="1147">
        <f t="shared" si="28"/>
        <v>0</v>
      </c>
      <c r="H105" s="1144"/>
      <c r="I105" s="347" t="s">
        <v>1684</v>
      </c>
      <c r="J105" s="343"/>
      <c r="K105" s="103">
        <f>Uitvoerbestand!I86</f>
        <v>58.24</v>
      </c>
      <c r="L105" s="1235">
        <f t="shared" si="29"/>
        <v>0</v>
      </c>
      <c r="M105" s="1236"/>
      <c r="N105" s="62"/>
      <c r="O105" s="1145"/>
      <c r="P105" s="1259"/>
      <c r="Q105" s="757"/>
      <c r="R105" s="103">
        <v>57.88</v>
      </c>
      <c r="S105" s="1227">
        <f t="shared" si="30"/>
        <v>0</v>
      </c>
      <c r="T105" s="1144"/>
      <c r="U105" s="147"/>
      <c r="V105" s="3" t="s">
        <v>184</v>
      </c>
      <c r="X105" s="908">
        <f t="shared" si="25"/>
        <v>0</v>
      </c>
      <c r="Y105" s="917">
        <f t="shared" si="27"/>
        <v>0</v>
      </c>
      <c r="AA105" s="125"/>
      <c r="AY105" s="746"/>
      <c r="AZ105" s="746"/>
      <c r="BA105" s="747"/>
      <c r="BB105" s="748"/>
      <c r="BC105" s="748"/>
      <c r="BD105" s="749"/>
    </row>
    <row r="106" spans="1:56" ht="12.75">
      <c r="A106" s="39">
        <f t="shared" si="31"/>
        <v>709</v>
      </c>
      <c r="B106" s="93" t="s">
        <v>894</v>
      </c>
      <c r="C106" s="94"/>
      <c r="D106" s="267" t="s">
        <v>887</v>
      </c>
      <c r="E106" s="757"/>
      <c r="F106" s="60"/>
      <c r="G106" s="1147">
        <f t="shared" si="28"/>
        <v>0</v>
      </c>
      <c r="H106" s="1144"/>
      <c r="I106" s="347" t="s">
        <v>1685</v>
      </c>
      <c r="J106" s="343"/>
      <c r="K106" s="103">
        <f>Uitvoerbestand!I87</f>
        <v>191.15</v>
      </c>
      <c r="L106" s="1235">
        <f t="shared" si="29"/>
        <v>0</v>
      </c>
      <c r="M106" s="1236"/>
      <c r="N106" s="62"/>
      <c r="O106" s="1145"/>
      <c r="P106" s="1259"/>
      <c r="Q106" s="757"/>
      <c r="R106" s="103">
        <v>190.26</v>
      </c>
      <c r="S106" s="1227">
        <f t="shared" si="30"/>
        <v>0</v>
      </c>
      <c r="T106" s="1252"/>
      <c r="U106" s="146"/>
      <c r="V106" s="3" t="s">
        <v>1561</v>
      </c>
      <c r="X106" s="908">
        <f t="shared" si="25"/>
        <v>0</v>
      </c>
      <c r="Y106" s="917">
        <f t="shared" si="27"/>
        <v>0</v>
      </c>
      <c r="AA106" s="125"/>
      <c r="AY106" s="746"/>
      <c r="AZ106" s="746"/>
      <c r="BA106" s="747"/>
      <c r="BB106" s="748"/>
      <c r="BC106" s="748"/>
      <c r="BD106" s="749"/>
    </row>
    <row r="107" spans="1:56" ht="12.75">
      <c r="A107" s="39">
        <f t="shared" si="31"/>
        <v>710</v>
      </c>
      <c r="B107" s="93" t="s">
        <v>902</v>
      </c>
      <c r="C107" s="94"/>
      <c r="D107" s="267" t="s">
        <v>888</v>
      </c>
      <c r="E107" s="757"/>
      <c r="F107" s="60"/>
      <c r="G107" s="1147">
        <f t="shared" si="28"/>
        <v>0</v>
      </c>
      <c r="H107" s="1144"/>
      <c r="I107" s="347" t="s">
        <v>1686</v>
      </c>
      <c r="J107" s="343"/>
      <c r="K107" s="103">
        <f>Uitvoerbestand!I88</f>
        <v>712.99</v>
      </c>
      <c r="L107" s="1235">
        <f t="shared" si="29"/>
        <v>0</v>
      </c>
      <c r="M107" s="1236"/>
      <c r="N107" s="62"/>
      <c r="O107" s="1145"/>
      <c r="P107" s="1259"/>
      <c r="Q107" s="757"/>
      <c r="R107" s="103">
        <v>710.02</v>
      </c>
      <c r="S107" s="1227">
        <f t="shared" si="30"/>
        <v>0</v>
      </c>
      <c r="T107" s="1144"/>
      <c r="U107" s="147"/>
      <c r="V107" s="3" t="s">
        <v>1562</v>
      </c>
      <c r="X107" s="908">
        <f t="shared" si="25"/>
        <v>0</v>
      </c>
      <c r="Y107" s="917">
        <f t="shared" si="27"/>
        <v>0</v>
      </c>
      <c r="AA107" s="125"/>
      <c r="AY107" s="746"/>
      <c r="AZ107" s="746"/>
      <c r="BA107" s="747"/>
      <c r="BB107" s="748"/>
      <c r="BC107" s="748"/>
      <c r="BD107" s="749"/>
    </row>
    <row r="108" spans="1:56" ht="12.75">
      <c r="A108" s="39">
        <f t="shared" si="31"/>
        <v>711</v>
      </c>
      <c r="B108" s="93" t="s">
        <v>2303</v>
      </c>
      <c r="C108" s="94"/>
      <c r="D108" s="267" t="s">
        <v>889</v>
      </c>
      <c r="E108" s="757"/>
      <c r="F108" s="60"/>
      <c r="G108" s="1147">
        <f t="shared" si="28"/>
        <v>0</v>
      </c>
      <c r="H108" s="1144"/>
      <c r="I108" s="347" t="s">
        <v>1687</v>
      </c>
      <c r="J108" s="343"/>
      <c r="K108" s="103">
        <f>Uitvoerbestand!I89</f>
        <v>36.31</v>
      </c>
      <c r="L108" s="1235">
        <f t="shared" si="29"/>
        <v>0</v>
      </c>
      <c r="M108" s="1236"/>
      <c r="N108" s="62"/>
      <c r="O108" s="1145"/>
      <c r="P108" s="1259"/>
      <c r="Q108" s="757"/>
      <c r="R108" s="103">
        <v>36.12</v>
      </c>
      <c r="S108" s="1227">
        <f t="shared" si="30"/>
        <v>0</v>
      </c>
      <c r="T108" s="1144"/>
      <c r="U108" s="147"/>
      <c r="V108" s="3" t="s">
        <v>185</v>
      </c>
      <c r="X108" s="908">
        <f t="shared" si="25"/>
        <v>0</v>
      </c>
      <c r="Y108" s="917">
        <f t="shared" si="27"/>
        <v>0</v>
      </c>
      <c r="AA108" s="125"/>
      <c r="AY108" s="746"/>
      <c r="AZ108" s="746"/>
      <c r="BA108" s="747"/>
      <c r="BB108" s="748"/>
      <c r="BC108" s="748"/>
      <c r="BD108" s="749"/>
    </row>
    <row r="109" spans="1:56" ht="12.75">
      <c r="A109" s="36">
        <f t="shared" si="31"/>
        <v>712</v>
      </c>
      <c r="B109" s="42" t="s">
        <v>223</v>
      </c>
      <c r="C109" s="42"/>
      <c r="D109" s="42"/>
      <c r="E109" s="63">
        <f>SUM(E98:E108)</f>
        <v>0</v>
      </c>
      <c r="F109" s="64">
        <f>SUM(F98:F108)</f>
        <v>0</v>
      </c>
      <c r="G109" s="1149">
        <f>SUM(G98:G108)</f>
        <v>0</v>
      </c>
      <c r="H109" s="1144"/>
      <c r="I109" s="348"/>
      <c r="J109" s="343"/>
      <c r="K109" s="305"/>
      <c r="L109" s="1149">
        <f>SUM(L98:L108)</f>
        <v>0</v>
      </c>
      <c r="M109" s="1236"/>
      <c r="N109" s="54"/>
      <c r="O109" s="1149">
        <f>SUM(O98:O108)</f>
        <v>0</v>
      </c>
      <c r="P109" s="1144"/>
      <c r="Q109" s="64">
        <f>SUM(Q98:Q108)</f>
        <v>0</v>
      </c>
      <c r="R109" s="43"/>
      <c r="S109" s="1149">
        <f>SUM(S98:S108)</f>
        <v>0</v>
      </c>
      <c r="T109" s="1144"/>
      <c r="U109" s="147"/>
      <c r="V109" s="3"/>
      <c r="Z109">
        <f>SUM(Y98:Y108)</f>
        <v>0</v>
      </c>
      <c r="AA109" s="125"/>
      <c r="AY109" s="746"/>
      <c r="AZ109" s="746"/>
      <c r="BA109" s="747"/>
      <c r="BB109" s="748"/>
      <c r="BC109" s="748"/>
      <c r="BD109" s="749"/>
    </row>
    <row r="110" spans="1:56" ht="12.75">
      <c r="A110" s="22"/>
      <c r="B110" s="23" t="s">
        <v>2259</v>
      </c>
      <c r="C110" s="24"/>
      <c r="D110" s="27"/>
      <c r="E110" s="34"/>
      <c r="F110" s="23"/>
      <c r="G110" s="23"/>
      <c r="H110" s="23"/>
      <c r="I110" s="346"/>
      <c r="J110" s="343"/>
      <c r="K110" s="298"/>
      <c r="L110" s="10"/>
      <c r="M110" s="23"/>
      <c r="N110" s="24"/>
      <c r="O110" s="34"/>
      <c r="P110" s="34"/>
      <c r="Q110" s="34"/>
      <c r="R110" s="34"/>
      <c r="S110" s="55"/>
      <c r="T110" s="84"/>
      <c r="U110" s="144"/>
      <c r="V110" s="3"/>
      <c r="AA110" s="125"/>
      <c r="AY110" s="746"/>
      <c r="AZ110" s="746"/>
      <c r="BA110" s="747"/>
      <c r="BB110" s="748"/>
      <c r="BC110" s="748"/>
      <c r="BD110" s="749"/>
    </row>
    <row r="111" spans="1:56" ht="12.75">
      <c r="A111" s="36">
        <f>A109+1</f>
        <v>713</v>
      </c>
      <c r="B111" s="93" t="s">
        <v>2158</v>
      </c>
      <c r="C111" s="94"/>
      <c r="D111" s="267" t="s">
        <v>873</v>
      </c>
      <c r="E111" s="757"/>
      <c r="F111" s="60"/>
      <c r="G111" s="1147">
        <f aca="true" t="shared" si="32" ref="G111:G121">F111-E111</f>
        <v>0</v>
      </c>
      <c r="H111" s="1144"/>
      <c r="I111" s="347" t="s">
        <v>2225</v>
      </c>
      <c r="J111" s="343"/>
      <c r="K111" s="103">
        <f>Uitvoerbestand!I92</f>
        <v>19.13</v>
      </c>
      <c r="L111" s="1235">
        <f aca="true" t="shared" si="33" ref="L111:L121">F111*K111</f>
        <v>0</v>
      </c>
      <c r="M111" s="1236"/>
      <c r="N111" s="62"/>
      <c r="O111" s="1145"/>
      <c r="P111" s="1259"/>
      <c r="Q111" s="757"/>
      <c r="R111" s="103">
        <v>19.05</v>
      </c>
      <c r="S111" s="1227">
        <f aca="true" t="shared" si="34" ref="S111:S121">Q111*R111</f>
        <v>0</v>
      </c>
      <c r="T111" s="1144"/>
      <c r="U111" s="145"/>
      <c r="V111" s="3" t="s">
        <v>186</v>
      </c>
      <c r="X111" s="908">
        <f t="shared" si="25"/>
        <v>0</v>
      </c>
      <c r="Y111" s="917">
        <f t="shared" si="27"/>
        <v>0</v>
      </c>
      <c r="AA111" s="125"/>
      <c r="AY111" s="746"/>
      <c r="AZ111" s="746"/>
      <c r="BA111" s="747"/>
      <c r="BB111" s="748"/>
      <c r="BC111" s="748"/>
      <c r="BD111" s="749"/>
    </row>
    <row r="112" spans="1:56" ht="12.75">
      <c r="A112" s="39">
        <f aca="true" t="shared" si="35" ref="A112:A122">A111+1</f>
        <v>714</v>
      </c>
      <c r="B112" s="93" t="s">
        <v>2159</v>
      </c>
      <c r="C112" s="94"/>
      <c r="D112" s="267" t="s">
        <v>874</v>
      </c>
      <c r="E112" s="757"/>
      <c r="F112" s="60"/>
      <c r="G112" s="1147">
        <f t="shared" si="32"/>
        <v>0</v>
      </c>
      <c r="H112" s="1144"/>
      <c r="I112" s="347" t="s">
        <v>1688</v>
      </c>
      <c r="J112" s="343"/>
      <c r="K112" s="103">
        <f>Uitvoerbestand!I93</f>
        <v>184.60999999999999</v>
      </c>
      <c r="L112" s="1235">
        <f t="shared" si="33"/>
        <v>0</v>
      </c>
      <c r="M112" s="1236"/>
      <c r="N112" s="62"/>
      <c r="O112" s="1145"/>
      <c r="P112" s="1259"/>
      <c r="Q112" s="757"/>
      <c r="R112" s="103">
        <v>183.74</v>
      </c>
      <c r="S112" s="1227">
        <f t="shared" si="34"/>
        <v>0</v>
      </c>
      <c r="T112" s="1252"/>
      <c r="U112" s="146"/>
      <c r="V112" s="3" t="s">
        <v>190</v>
      </c>
      <c r="X112" s="908">
        <f t="shared" si="25"/>
        <v>0</v>
      </c>
      <c r="Y112" s="917">
        <f t="shared" si="27"/>
        <v>0</v>
      </c>
      <c r="AA112" s="125"/>
      <c r="AY112" s="746"/>
      <c r="AZ112" s="746"/>
      <c r="BA112" s="747"/>
      <c r="BB112" s="748"/>
      <c r="BC112" s="748"/>
      <c r="BD112" s="749"/>
    </row>
    <row r="113" spans="1:56" ht="12.75">
      <c r="A113" s="39">
        <f t="shared" si="35"/>
        <v>715</v>
      </c>
      <c r="B113" s="93" t="s">
        <v>2160</v>
      </c>
      <c r="C113" s="94"/>
      <c r="D113" s="267" t="s">
        <v>875</v>
      </c>
      <c r="E113" s="757"/>
      <c r="F113" s="60"/>
      <c r="G113" s="1147">
        <f t="shared" si="32"/>
        <v>0</v>
      </c>
      <c r="H113" s="1144"/>
      <c r="I113" s="347" t="s">
        <v>1689</v>
      </c>
      <c r="J113" s="343"/>
      <c r="K113" s="103">
        <f>Uitvoerbestand!I94</f>
        <v>382.45000000000005</v>
      </c>
      <c r="L113" s="1235">
        <f t="shared" si="33"/>
        <v>0</v>
      </c>
      <c r="M113" s="1236"/>
      <c r="N113" s="62"/>
      <c r="O113" s="1145"/>
      <c r="P113" s="1259"/>
      <c r="Q113" s="757"/>
      <c r="R113" s="103">
        <v>380.8</v>
      </c>
      <c r="S113" s="1227">
        <f t="shared" si="34"/>
        <v>0</v>
      </c>
      <c r="T113" s="1144"/>
      <c r="U113" s="147"/>
      <c r="V113" s="3" t="s">
        <v>191</v>
      </c>
      <c r="X113" s="908">
        <f t="shared" si="25"/>
        <v>0</v>
      </c>
      <c r="Y113" s="917">
        <f t="shared" si="27"/>
        <v>0</v>
      </c>
      <c r="AA113" s="125"/>
      <c r="AY113" s="746"/>
      <c r="AZ113" s="746"/>
      <c r="BA113" s="747"/>
      <c r="BB113" s="748"/>
      <c r="BC113" s="748"/>
      <c r="BD113" s="749"/>
    </row>
    <row r="114" spans="1:56" ht="12.75">
      <c r="A114" s="39">
        <f t="shared" si="35"/>
        <v>716</v>
      </c>
      <c r="B114" s="93" t="s">
        <v>2161</v>
      </c>
      <c r="C114" s="94"/>
      <c r="D114" s="267" t="s">
        <v>876</v>
      </c>
      <c r="E114" s="757"/>
      <c r="F114" s="60"/>
      <c r="G114" s="1147">
        <f t="shared" si="32"/>
        <v>0</v>
      </c>
      <c r="H114" s="1144"/>
      <c r="I114" s="347" t="s">
        <v>1690</v>
      </c>
      <c r="J114" s="343"/>
      <c r="K114" s="103">
        <f>Uitvoerbestand!I95</f>
        <v>94.05000000000001</v>
      </c>
      <c r="L114" s="1235">
        <f t="shared" si="33"/>
        <v>0</v>
      </c>
      <c r="M114" s="1236"/>
      <c r="N114" s="62"/>
      <c r="O114" s="1145"/>
      <c r="P114" s="1259"/>
      <c r="Q114" s="757"/>
      <c r="R114" s="103">
        <v>93.54</v>
      </c>
      <c r="S114" s="1227">
        <f t="shared" si="34"/>
        <v>0</v>
      </c>
      <c r="T114" s="1252"/>
      <c r="U114" s="146"/>
      <c r="V114" s="3" t="s">
        <v>192</v>
      </c>
      <c r="X114" s="908">
        <f t="shared" si="25"/>
        <v>0</v>
      </c>
      <c r="Y114" s="917">
        <f t="shared" si="27"/>
        <v>0</v>
      </c>
      <c r="AA114" s="125"/>
      <c r="AY114" s="746"/>
      <c r="AZ114" s="746"/>
      <c r="BA114" s="747"/>
      <c r="BB114" s="748"/>
      <c r="BC114" s="748"/>
      <c r="BD114" s="749"/>
    </row>
    <row r="115" spans="1:56" ht="12.75">
      <c r="A115" s="39">
        <f t="shared" si="35"/>
        <v>717</v>
      </c>
      <c r="B115" s="93" t="s">
        <v>2162</v>
      </c>
      <c r="C115" s="94"/>
      <c r="D115" s="267" t="s">
        <v>877</v>
      </c>
      <c r="E115" s="757"/>
      <c r="F115" s="60"/>
      <c r="G115" s="1147">
        <f t="shared" si="32"/>
        <v>0</v>
      </c>
      <c r="H115" s="1144"/>
      <c r="I115" s="347" t="s">
        <v>1691</v>
      </c>
      <c r="J115" s="343"/>
      <c r="K115" s="103">
        <f>Uitvoerbestand!I96</f>
        <v>63.47</v>
      </c>
      <c r="L115" s="1235">
        <f t="shared" si="33"/>
        <v>0</v>
      </c>
      <c r="M115" s="1236"/>
      <c r="N115" s="62"/>
      <c r="O115" s="1145"/>
      <c r="P115" s="1259"/>
      <c r="Q115" s="757"/>
      <c r="R115" s="103">
        <v>63.09</v>
      </c>
      <c r="S115" s="1227">
        <f t="shared" si="34"/>
        <v>0</v>
      </c>
      <c r="T115" s="1144"/>
      <c r="U115" s="147"/>
      <c r="V115" s="3" t="s">
        <v>193</v>
      </c>
      <c r="X115" s="908">
        <f t="shared" si="25"/>
        <v>0</v>
      </c>
      <c r="Y115" s="917">
        <f t="shared" si="27"/>
        <v>0</v>
      </c>
      <c r="AA115" s="125"/>
      <c r="AY115" s="746"/>
      <c r="AZ115" s="746"/>
      <c r="BA115" s="747"/>
      <c r="BB115" s="748"/>
      <c r="BC115" s="748"/>
      <c r="BD115" s="749"/>
    </row>
    <row r="116" spans="1:56" ht="12.75">
      <c r="A116" s="39">
        <f t="shared" si="35"/>
        <v>718</v>
      </c>
      <c r="B116" s="93" t="s">
        <v>893</v>
      </c>
      <c r="C116" s="94"/>
      <c r="D116" s="267" t="s">
        <v>878</v>
      </c>
      <c r="E116" s="757"/>
      <c r="F116" s="60"/>
      <c r="G116" s="1147">
        <f t="shared" si="32"/>
        <v>0</v>
      </c>
      <c r="H116" s="1144"/>
      <c r="I116" s="347" t="s">
        <v>1692</v>
      </c>
      <c r="J116" s="343"/>
      <c r="K116" s="103">
        <f>Uitvoerbestand!I97</f>
        <v>79.83000000000001</v>
      </c>
      <c r="L116" s="1235">
        <f t="shared" si="33"/>
        <v>0</v>
      </c>
      <c r="M116" s="1236"/>
      <c r="N116" s="62"/>
      <c r="O116" s="1145"/>
      <c r="P116" s="1259"/>
      <c r="Q116" s="757"/>
      <c r="R116" s="103">
        <v>79.38</v>
      </c>
      <c r="S116" s="1227">
        <f t="shared" si="34"/>
        <v>0</v>
      </c>
      <c r="T116" s="1144"/>
      <c r="U116" s="147"/>
      <c r="V116" s="3" t="s">
        <v>194</v>
      </c>
      <c r="X116" s="908">
        <f t="shared" si="25"/>
        <v>0</v>
      </c>
      <c r="Y116" s="917">
        <f t="shared" si="27"/>
        <v>0</v>
      </c>
      <c r="AA116" s="125"/>
      <c r="AY116" s="746"/>
      <c r="AZ116" s="746"/>
      <c r="BA116" s="747"/>
      <c r="BB116" s="748"/>
      <c r="BC116" s="748"/>
      <c r="BD116" s="749"/>
    </row>
    <row r="117" spans="1:56" ht="12.75">
      <c r="A117" s="39">
        <f>A116+1</f>
        <v>719</v>
      </c>
      <c r="B117" s="93" t="s">
        <v>1437</v>
      </c>
      <c r="C117" s="94"/>
      <c r="D117" s="267" t="s">
        <v>1440</v>
      </c>
      <c r="E117" s="757"/>
      <c r="F117" s="60"/>
      <c r="G117" s="1147">
        <f t="shared" si="32"/>
        <v>0</v>
      </c>
      <c r="H117" s="1144"/>
      <c r="I117" s="347" t="s">
        <v>1441</v>
      </c>
      <c r="J117" s="343"/>
      <c r="K117" s="103">
        <f>Uitvoerbestand!I98</f>
        <v>44.81</v>
      </c>
      <c r="L117" s="1235">
        <f t="shared" si="33"/>
        <v>0</v>
      </c>
      <c r="M117" s="1236"/>
      <c r="N117" s="62"/>
      <c r="O117" s="1145"/>
      <c r="P117" s="1259"/>
      <c r="Q117" s="757"/>
      <c r="R117" s="103">
        <v>44.5</v>
      </c>
      <c r="S117" s="1227">
        <f>Q117*R117</f>
        <v>0</v>
      </c>
      <c r="T117" s="1144"/>
      <c r="U117" s="147"/>
      <c r="V117" s="3" t="s">
        <v>1711</v>
      </c>
      <c r="X117" s="908">
        <f t="shared" si="25"/>
        <v>0</v>
      </c>
      <c r="Y117" s="917">
        <f t="shared" si="27"/>
        <v>0</v>
      </c>
      <c r="AA117" s="125"/>
      <c r="AY117" s="746"/>
      <c r="AZ117" s="746"/>
      <c r="BA117" s="747"/>
      <c r="BB117" s="748"/>
      <c r="BC117" s="748"/>
      <c r="BD117" s="749"/>
    </row>
    <row r="118" spans="1:56" ht="12.75">
      <c r="A118" s="39">
        <f>A117+1</f>
        <v>720</v>
      </c>
      <c r="B118" s="93" t="s">
        <v>2163</v>
      </c>
      <c r="C118" s="94"/>
      <c r="D118" s="267" t="s">
        <v>879</v>
      </c>
      <c r="E118" s="757"/>
      <c r="F118" s="60"/>
      <c r="G118" s="1147">
        <f t="shared" si="32"/>
        <v>0</v>
      </c>
      <c r="H118" s="1144"/>
      <c r="I118" s="347" t="s">
        <v>2221</v>
      </c>
      <c r="J118" s="343"/>
      <c r="K118" s="103">
        <f>Uitvoerbestand!I99</f>
        <v>55.23</v>
      </c>
      <c r="L118" s="1235">
        <f t="shared" si="33"/>
        <v>0</v>
      </c>
      <c r="M118" s="1236"/>
      <c r="N118" s="62"/>
      <c r="O118" s="1145"/>
      <c r="P118" s="1259"/>
      <c r="Q118" s="757"/>
      <c r="R118" s="103">
        <v>54.88</v>
      </c>
      <c r="S118" s="1227">
        <f t="shared" si="34"/>
        <v>0</v>
      </c>
      <c r="T118" s="1144"/>
      <c r="U118" s="147"/>
      <c r="V118" s="3" t="s">
        <v>195</v>
      </c>
      <c r="X118" s="908">
        <f t="shared" si="25"/>
        <v>0</v>
      </c>
      <c r="Y118" s="917">
        <f t="shared" si="27"/>
        <v>0</v>
      </c>
      <c r="AA118" s="125"/>
      <c r="AY118" s="746"/>
      <c r="AZ118" s="746"/>
      <c r="BA118" s="747"/>
      <c r="BB118" s="748"/>
      <c r="BC118" s="748"/>
      <c r="BD118" s="749"/>
    </row>
    <row r="119" spans="1:56" ht="12.75">
      <c r="A119" s="39">
        <f t="shared" si="35"/>
        <v>721</v>
      </c>
      <c r="B119" s="93" t="s">
        <v>894</v>
      </c>
      <c r="C119" s="94"/>
      <c r="D119" s="267" t="s">
        <v>890</v>
      </c>
      <c r="E119" s="757"/>
      <c r="F119" s="60"/>
      <c r="G119" s="1147">
        <f t="shared" si="32"/>
        <v>0</v>
      </c>
      <c r="H119" s="1144"/>
      <c r="I119" s="347" t="s">
        <v>2222</v>
      </c>
      <c r="J119" s="343"/>
      <c r="K119" s="103">
        <f>Uitvoerbestand!I100</f>
        <v>191.15</v>
      </c>
      <c r="L119" s="1235">
        <f t="shared" si="33"/>
        <v>0</v>
      </c>
      <c r="M119" s="1236"/>
      <c r="N119" s="62"/>
      <c r="O119" s="1145"/>
      <c r="P119" s="1259"/>
      <c r="Q119" s="757"/>
      <c r="R119" s="103">
        <v>190.26</v>
      </c>
      <c r="S119" s="1227">
        <f t="shared" si="34"/>
        <v>0</v>
      </c>
      <c r="T119" s="1252"/>
      <c r="U119" s="146"/>
      <c r="V119" s="3" t="s">
        <v>966</v>
      </c>
      <c r="X119" s="908">
        <f t="shared" si="25"/>
        <v>0</v>
      </c>
      <c r="Y119" s="917">
        <f t="shared" si="27"/>
        <v>0</v>
      </c>
      <c r="AA119" s="125"/>
      <c r="AY119" s="746"/>
      <c r="AZ119" s="746"/>
      <c r="BA119" s="747"/>
      <c r="BB119" s="748"/>
      <c r="BC119" s="748"/>
      <c r="BD119" s="749"/>
    </row>
    <row r="120" spans="1:56" ht="12.75">
      <c r="A120" s="39">
        <f t="shared" si="35"/>
        <v>722</v>
      </c>
      <c r="B120" s="93" t="s">
        <v>902</v>
      </c>
      <c r="C120" s="94"/>
      <c r="D120" s="267" t="s">
        <v>891</v>
      </c>
      <c r="E120" s="757"/>
      <c r="F120" s="60"/>
      <c r="G120" s="1147">
        <f t="shared" si="32"/>
        <v>0</v>
      </c>
      <c r="H120" s="1144"/>
      <c r="I120" s="347" t="s">
        <v>2223</v>
      </c>
      <c r="J120" s="343"/>
      <c r="K120" s="103">
        <f>Uitvoerbestand!I101</f>
        <v>712.99</v>
      </c>
      <c r="L120" s="1235">
        <f t="shared" si="33"/>
        <v>0</v>
      </c>
      <c r="M120" s="1236"/>
      <c r="N120" s="62"/>
      <c r="O120" s="1145"/>
      <c r="P120" s="1259"/>
      <c r="Q120" s="757"/>
      <c r="R120" s="103">
        <v>710.02</v>
      </c>
      <c r="S120" s="1227">
        <f t="shared" si="34"/>
        <v>0</v>
      </c>
      <c r="T120" s="1144"/>
      <c r="U120" s="147"/>
      <c r="V120" s="3" t="s">
        <v>967</v>
      </c>
      <c r="X120" s="908">
        <f t="shared" si="25"/>
        <v>0</v>
      </c>
      <c r="Y120" s="917">
        <f t="shared" si="27"/>
        <v>0</v>
      </c>
      <c r="AA120" s="125"/>
      <c r="AY120" s="746"/>
      <c r="AZ120" s="746"/>
      <c r="BA120" s="747"/>
      <c r="BB120" s="748"/>
      <c r="BC120" s="748"/>
      <c r="BD120" s="749"/>
    </row>
    <row r="121" spans="1:56" ht="12.75">
      <c r="A121" s="39">
        <f t="shared" si="35"/>
        <v>723</v>
      </c>
      <c r="B121" s="93" t="s">
        <v>2303</v>
      </c>
      <c r="C121" s="94"/>
      <c r="D121" s="267" t="s">
        <v>892</v>
      </c>
      <c r="E121" s="757"/>
      <c r="F121" s="60"/>
      <c r="G121" s="1147">
        <f t="shared" si="32"/>
        <v>0</v>
      </c>
      <c r="H121" s="1144"/>
      <c r="I121" s="347" t="s">
        <v>2224</v>
      </c>
      <c r="J121" s="343"/>
      <c r="K121" s="103">
        <f>Uitvoerbestand!I102</f>
        <v>36.31</v>
      </c>
      <c r="L121" s="1235">
        <f t="shared" si="33"/>
        <v>0</v>
      </c>
      <c r="M121" s="1236"/>
      <c r="N121" s="62"/>
      <c r="O121" s="1145"/>
      <c r="P121" s="1259"/>
      <c r="Q121" s="757"/>
      <c r="R121" s="103">
        <v>36.12</v>
      </c>
      <c r="S121" s="1227">
        <f t="shared" si="34"/>
        <v>0</v>
      </c>
      <c r="T121" s="1144"/>
      <c r="U121" s="147"/>
      <c r="V121" s="3" t="s">
        <v>196</v>
      </c>
      <c r="X121" s="908">
        <f t="shared" si="25"/>
        <v>0</v>
      </c>
      <c r="Y121" s="917">
        <f t="shared" si="27"/>
        <v>0</v>
      </c>
      <c r="AA121" s="125"/>
      <c r="AY121" s="746"/>
      <c r="AZ121" s="746"/>
      <c r="BA121" s="747"/>
      <c r="BB121" s="748"/>
      <c r="BC121" s="748"/>
      <c r="BD121" s="749"/>
    </row>
    <row r="122" spans="1:56" ht="12.75">
      <c r="A122" s="36">
        <f t="shared" si="35"/>
        <v>724</v>
      </c>
      <c r="B122" s="42" t="s">
        <v>223</v>
      </c>
      <c r="C122" s="42"/>
      <c r="D122" s="42"/>
      <c r="E122" s="63">
        <f>SUM(E111:E121)</f>
        <v>0</v>
      </c>
      <c r="F122" s="64">
        <f>SUM(F111:F121)</f>
        <v>0</v>
      </c>
      <c r="G122" s="1149">
        <f>SUM(G111:G121)</f>
        <v>0</v>
      </c>
      <c r="H122" s="1144"/>
      <c r="I122" s="348"/>
      <c r="J122" s="343"/>
      <c r="K122" s="305"/>
      <c r="L122" s="1149">
        <f>SUM(L111:L121)</f>
        <v>0</v>
      </c>
      <c r="M122" s="1236"/>
      <c r="N122" s="54"/>
      <c r="O122" s="1149">
        <f>SUM(O111:O121)</f>
        <v>0</v>
      </c>
      <c r="P122" s="1144"/>
      <c r="Q122" s="64">
        <f>SUM(Q111:Q121)</f>
        <v>0</v>
      </c>
      <c r="R122" s="43"/>
      <c r="S122" s="1149">
        <f>SUM(S111:S121)</f>
        <v>0</v>
      </c>
      <c r="T122" s="1144"/>
      <c r="U122" s="147"/>
      <c r="V122" s="3"/>
      <c r="Z122">
        <f>SUM(Y111:Y121)</f>
        <v>0</v>
      </c>
      <c r="AA122" s="125"/>
      <c r="AY122" s="746"/>
      <c r="AZ122" s="746"/>
      <c r="BA122" s="747"/>
      <c r="BB122" s="748"/>
      <c r="BC122" s="748"/>
      <c r="BD122" s="749"/>
    </row>
    <row r="123" spans="1:56" ht="12.75">
      <c r="A123" s="22"/>
      <c r="B123" s="23" t="s">
        <v>2260</v>
      </c>
      <c r="C123" s="24"/>
      <c r="D123" s="27"/>
      <c r="E123" s="34"/>
      <c r="F123" s="23"/>
      <c r="G123" s="23"/>
      <c r="H123" s="23"/>
      <c r="I123" s="346"/>
      <c r="J123" s="343"/>
      <c r="K123" s="298"/>
      <c r="L123" s="10"/>
      <c r="M123" s="23"/>
      <c r="N123" s="24"/>
      <c r="O123" s="34"/>
      <c r="P123" s="34"/>
      <c r="Q123" s="34"/>
      <c r="R123" s="34"/>
      <c r="S123" s="55"/>
      <c r="T123" s="84"/>
      <c r="U123" s="144"/>
      <c r="V123" s="3"/>
      <c r="AA123" s="125"/>
      <c r="AY123" s="746"/>
      <c r="AZ123" s="746"/>
      <c r="BA123" s="747"/>
      <c r="BB123" s="748"/>
      <c r="BC123" s="748"/>
      <c r="BD123" s="749"/>
    </row>
    <row r="124" spans="1:56" ht="12.75">
      <c r="A124" s="36">
        <f>A122+1</f>
        <v>725</v>
      </c>
      <c r="B124" s="93" t="s">
        <v>2158</v>
      </c>
      <c r="C124" s="94"/>
      <c r="D124" s="267" t="s">
        <v>592</v>
      </c>
      <c r="E124" s="757"/>
      <c r="F124" s="60"/>
      <c r="G124" s="1147">
        <f aca="true" t="shared" si="36" ref="G124:G134">F124-E124</f>
        <v>0</v>
      </c>
      <c r="H124" s="1144"/>
      <c r="I124" s="347" t="s">
        <v>2226</v>
      </c>
      <c r="J124" s="343"/>
      <c r="K124" s="103">
        <f>Uitvoerbestand!I105</f>
        <v>19.13</v>
      </c>
      <c r="L124" s="1235">
        <f aca="true" t="shared" si="37" ref="L124:L134">F124*K124</f>
        <v>0</v>
      </c>
      <c r="M124" s="1236"/>
      <c r="N124" s="62"/>
      <c r="O124" s="1145"/>
      <c r="P124" s="1259"/>
      <c r="Q124" s="757"/>
      <c r="R124" s="103">
        <v>19.05</v>
      </c>
      <c r="S124" s="1227">
        <f aca="true" t="shared" si="38" ref="S124:S134">Q124*R124</f>
        <v>0</v>
      </c>
      <c r="T124" s="1144"/>
      <c r="U124" s="145"/>
      <c r="V124" s="3" t="s">
        <v>197</v>
      </c>
      <c r="X124" s="908">
        <f t="shared" si="25"/>
        <v>0</v>
      </c>
      <c r="Y124" s="917">
        <f t="shared" si="27"/>
        <v>0</v>
      </c>
      <c r="AA124" s="125"/>
      <c r="AY124" s="746"/>
      <c r="AZ124" s="746"/>
      <c r="BA124" s="747"/>
      <c r="BB124" s="748"/>
      <c r="BC124" s="748"/>
      <c r="BD124" s="749"/>
    </row>
    <row r="125" spans="1:56" ht="12.75">
      <c r="A125" s="39">
        <f aca="true" t="shared" si="39" ref="A125:A135">A124+1</f>
        <v>726</v>
      </c>
      <c r="B125" s="93" t="s">
        <v>2159</v>
      </c>
      <c r="C125" s="94"/>
      <c r="D125" s="267" t="s">
        <v>593</v>
      </c>
      <c r="E125" s="757"/>
      <c r="F125" s="60"/>
      <c r="G125" s="1147">
        <f t="shared" si="36"/>
        <v>0</v>
      </c>
      <c r="H125" s="1144"/>
      <c r="I125" s="347" t="s">
        <v>2227</v>
      </c>
      <c r="J125" s="343"/>
      <c r="K125" s="103">
        <f>Uitvoerbestand!I106</f>
        <v>184.60999999999999</v>
      </c>
      <c r="L125" s="1235">
        <f t="shared" si="37"/>
        <v>0</v>
      </c>
      <c r="M125" s="1236"/>
      <c r="N125" s="62"/>
      <c r="O125" s="1145"/>
      <c r="P125" s="1259"/>
      <c r="Q125" s="757"/>
      <c r="R125" s="103">
        <v>183.74</v>
      </c>
      <c r="S125" s="1227">
        <f t="shared" si="38"/>
        <v>0</v>
      </c>
      <c r="T125" s="1252"/>
      <c r="U125" s="146"/>
      <c r="V125" s="3" t="s">
        <v>198</v>
      </c>
      <c r="X125" s="908">
        <f t="shared" si="25"/>
        <v>0</v>
      </c>
      <c r="Y125" s="917">
        <f t="shared" si="27"/>
        <v>0</v>
      </c>
      <c r="AA125" s="125"/>
      <c r="AY125" s="746"/>
      <c r="AZ125" s="746"/>
      <c r="BA125" s="747"/>
      <c r="BB125" s="748"/>
      <c r="BC125" s="748"/>
      <c r="BD125" s="749"/>
    </row>
    <row r="126" spans="1:56" ht="12.75">
      <c r="A126" s="39">
        <f t="shared" si="39"/>
        <v>727</v>
      </c>
      <c r="B126" s="93" t="s">
        <v>2160</v>
      </c>
      <c r="C126" s="94"/>
      <c r="D126" s="267" t="s">
        <v>594</v>
      </c>
      <c r="E126" s="757"/>
      <c r="F126" s="60"/>
      <c r="G126" s="1147">
        <f t="shared" si="36"/>
        <v>0</v>
      </c>
      <c r="H126" s="1144"/>
      <c r="I126" s="347" t="s">
        <v>2228</v>
      </c>
      <c r="J126" s="343"/>
      <c r="K126" s="103">
        <f>Uitvoerbestand!I107</f>
        <v>382.45000000000005</v>
      </c>
      <c r="L126" s="1235">
        <f t="shared" si="37"/>
        <v>0</v>
      </c>
      <c r="M126" s="1236"/>
      <c r="N126" s="62"/>
      <c r="O126" s="1145"/>
      <c r="P126" s="1259"/>
      <c r="Q126" s="757"/>
      <c r="R126" s="103">
        <v>380.8</v>
      </c>
      <c r="S126" s="1227">
        <f t="shared" si="38"/>
        <v>0</v>
      </c>
      <c r="T126" s="1144"/>
      <c r="U126" s="147"/>
      <c r="V126" s="3" t="s">
        <v>199</v>
      </c>
      <c r="X126" s="908">
        <f t="shared" si="25"/>
        <v>0</v>
      </c>
      <c r="Y126" s="917">
        <f t="shared" si="27"/>
        <v>0</v>
      </c>
      <c r="AA126" s="125"/>
      <c r="AY126" s="746"/>
      <c r="AZ126" s="746"/>
      <c r="BA126" s="747"/>
      <c r="BB126" s="748"/>
      <c r="BC126" s="748"/>
      <c r="BD126" s="749"/>
    </row>
    <row r="127" spans="1:56" ht="12.75">
      <c r="A127" s="39">
        <f t="shared" si="39"/>
        <v>728</v>
      </c>
      <c r="B127" s="93" t="s">
        <v>2161</v>
      </c>
      <c r="C127" s="94"/>
      <c r="D127" s="267" t="s">
        <v>595</v>
      </c>
      <c r="E127" s="757"/>
      <c r="F127" s="60"/>
      <c r="G127" s="1147">
        <f t="shared" si="36"/>
        <v>0</v>
      </c>
      <c r="H127" s="1144"/>
      <c r="I127" s="347" t="s">
        <v>2229</v>
      </c>
      <c r="J127" s="343"/>
      <c r="K127" s="103">
        <f>Uitvoerbestand!I108</f>
        <v>94.05000000000001</v>
      </c>
      <c r="L127" s="1235">
        <f t="shared" si="37"/>
        <v>0</v>
      </c>
      <c r="M127" s="1236"/>
      <c r="N127" s="62"/>
      <c r="O127" s="1145"/>
      <c r="P127" s="1259"/>
      <c r="Q127" s="757"/>
      <c r="R127" s="103">
        <v>93.54</v>
      </c>
      <c r="S127" s="1227">
        <f t="shared" si="38"/>
        <v>0</v>
      </c>
      <c r="T127" s="1252"/>
      <c r="U127" s="146"/>
      <c r="V127" s="3" t="s">
        <v>200</v>
      </c>
      <c r="X127" s="908">
        <f t="shared" si="25"/>
        <v>0</v>
      </c>
      <c r="Y127" s="917">
        <f t="shared" si="27"/>
        <v>0</v>
      </c>
      <c r="AA127" s="125"/>
      <c r="AY127" s="746"/>
      <c r="AZ127" s="746"/>
      <c r="BA127" s="747"/>
      <c r="BB127" s="748"/>
      <c r="BC127" s="748"/>
      <c r="BD127" s="749"/>
    </row>
    <row r="128" spans="1:56" ht="12.75">
      <c r="A128" s="39">
        <f t="shared" si="39"/>
        <v>729</v>
      </c>
      <c r="B128" s="93" t="s">
        <v>2162</v>
      </c>
      <c r="C128" s="94"/>
      <c r="D128" s="267" t="s">
        <v>596</v>
      </c>
      <c r="E128" s="757"/>
      <c r="F128" s="60"/>
      <c r="G128" s="1147">
        <f t="shared" si="36"/>
        <v>0</v>
      </c>
      <c r="H128" s="1144"/>
      <c r="I128" s="347" t="s">
        <v>2230</v>
      </c>
      <c r="J128" s="343"/>
      <c r="K128" s="103">
        <f>Uitvoerbestand!I109</f>
        <v>63.47</v>
      </c>
      <c r="L128" s="1235">
        <f t="shared" si="37"/>
        <v>0</v>
      </c>
      <c r="M128" s="1236"/>
      <c r="N128" s="62"/>
      <c r="O128" s="1145"/>
      <c r="P128" s="1259"/>
      <c r="Q128" s="757"/>
      <c r="R128" s="103">
        <v>63.09</v>
      </c>
      <c r="S128" s="1227">
        <f t="shared" si="38"/>
        <v>0</v>
      </c>
      <c r="T128" s="1144"/>
      <c r="U128" s="147"/>
      <c r="V128" s="3" t="s">
        <v>201</v>
      </c>
      <c r="X128" s="908">
        <f t="shared" si="25"/>
        <v>0</v>
      </c>
      <c r="Y128" s="917">
        <f t="shared" si="27"/>
        <v>0</v>
      </c>
      <c r="AA128" s="125"/>
      <c r="AY128" s="746"/>
      <c r="AZ128" s="746"/>
      <c r="BA128" s="747"/>
      <c r="BB128" s="748"/>
      <c r="BC128" s="748"/>
      <c r="BD128" s="749"/>
    </row>
    <row r="129" spans="1:56" ht="12.75">
      <c r="A129" s="39">
        <f t="shared" si="39"/>
        <v>730</v>
      </c>
      <c r="B129" s="93" t="s">
        <v>893</v>
      </c>
      <c r="C129" s="94"/>
      <c r="D129" s="267" t="s">
        <v>597</v>
      </c>
      <c r="E129" s="757"/>
      <c r="F129" s="60"/>
      <c r="G129" s="1147">
        <f t="shared" si="36"/>
        <v>0</v>
      </c>
      <c r="H129" s="1144"/>
      <c r="I129" s="347" t="s">
        <v>2231</v>
      </c>
      <c r="J129" s="343"/>
      <c r="K129" s="103">
        <f>Uitvoerbestand!I110</f>
        <v>79.83000000000001</v>
      </c>
      <c r="L129" s="1235">
        <f t="shared" si="37"/>
        <v>0</v>
      </c>
      <c r="M129" s="1236"/>
      <c r="N129" s="62"/>
      <c r="O129" s="1145"/>
      <c r="P129" s="1259"/>
      <c r="Q129" s="757"/>
      <c r="R129" s="103">
        <v>79.38</v>
      </c>
      <c r="S129" s="1227">
        <f t="shared" si="38"/>
        <v>0</v>
      </c>
      <c r="T129" s="1144"/>
      <c r="U129" s="147"/>
      <c r="V129" s="3" t="s">
        <v>202</v>
      </c>
      <c r="X129" s="908">
        <f t="shared" si="25"/>
        <v>0</v>
      </c>
      <c r="Y129" s="917">
        <f t="shared" si="27"/>
        <v>0</v>
      </c>
      <c r="AA129" s="125"/>
      <c r="AY129" s="746"/>
      <c r="AZ129" s="746"/>
      <c r="BA129" s="747"/>
      <c r="BB129" s="748"/>
      <c r="BC129" s="748"/>
      <c r="BD129" s="749"/>
    </row>
    <row r="130" spans="1:56" ht="12.75">
      <c r="A130" s="39">
        <f>A129+1</f>
        <v>731</v>
      </c>
      <c r="B130" s="93" t="s">
        <v>1437</v>
      </c>
      <c r="C130" s="94"/>
      <c r="D130" s="267" t="s">
        <v>1442</v>
      </c>
      <c r="E130" s="757"/>
      <c r="F130" s="60"/>
      <c r="G130" s="1147">
        <f t="shared" si="36"/>
        <v>0</v>
      </c>
      <c r="H130" s="1144"/>
      <c r="I130" s="347" t="s">
        <v>1443</v>
      </c>
      <c r="J130" s="343"/>
      <c r="K130" s="103">
        <f>Uitvoerbestand!I111</f>
        <v>44.81</v>
      </c>
      <c r="L130" s="1235">
        <f t="shared" si="37"/>
        <v>0</v>
      </c>
      <c r="M130" s="1236"/>
      <c r="N130" s="62"/>
      <c r="O130" s="1145"/>
      <c r="P130" s="1259"/>
      <c r="Q130" s="757"/>
      <c r="R130" s="103">
        <v>44.5</v>
      </c>
      <c r="S130" s="1227">
        <f>Q130*R130</f>
        <v>0</v>
      </c>
      <c r="T130" s="1144"/>
      <c r="U130" s="147"/>
      <c r="V130" s="3" t="s">
        <v>1710</v>
      </c>
      <c r="X130" s="908">
        <f t="shared" si="25"/>
        <v>0</v>
      </c>
      <c r="Y130" s="917">
        <f t="shared" si="27"/>
        <v>0</v>
      </c>
      <c r="AA130" s="125"/>
      <c r="AY130" s="746"/>
      <c r="AZ130" s="746"/>
      <c r="BA130" s="747"/>
      <c r="BB130" s="748"/>
      <c r="BC130" s="748"/>
      <c r="BD130" s="749"/>
    </row>
    <row r="131" spans="1:56" ht="12.75">
      <c r="A131" s="39">
        <f>A130+1</f>
        <v>732</v>
      </c>
      <c r="B131" s="93" t="s">
        <v>2163</v>
      </c>
      <c r="C131" s="94"/>
      <c r="D131" s="267" t="s">
        <v>598</v>
      </c>
      <c r="E131" s="757"/>
      <c r="F131" s="60"/>
      <c r="G131" s="1147">
        <f t="shared" si="36"/>
        <v>0</v>
      </c>
      <c r="H131" s="1144"/>
      <c r="I131" s="347" t="s">
        <v>2232</v>
      </c>
      <c r="J131" s="343"/>
      <c r="K131" s="103">
        <f>Uitvoerbestand!I112</f>
        <v>55.23</v>
      </c>
      <c r="L131" s="1235">
        <f t="shared" si="37"/>
        <v>0</v>
      </c>
      <c r="M131" s="1236"/>
      <c r="N131" s="62"/>
      <c r="O131" s="1145"/>
      <c r="P131" s="1259"/>
      <c r="Q131" s="757"/>
      <c r="R131" s="103">
        <v>54.88</v>
      </c>
      <c r="S131" s="1227">
        <f t="shared" si="38"/>
        <v>0</v>
      </c>
      <c r="T131" s="1144"/>
      <c r="U131" s="147"/>
      <c r="V131" s="3" t="s">
        <v>203</v>
      </c>
      <c r="X131" s="908">
        <f t="shared" si="25"/>
        <v>0</v>
      </c>
      <c r="Y131" s="917">
        <f t="shared" si="27"/>
        <v>0</v>
      </c>
      <c r="AA131" s="125"/>
      <c r="AY131" s="746"/>
      <c r="AZ131" s="746"/>
      <c r="BA131" s="747"/>
      <c r="BB131" s="748"/>
      <c r="BC131" s="748"/>
      <c r="BD131" s="749"/>
    </row>
    <row r="132" spans="1:56" ht="12.75">
      <c r="A132" s="39">
        <f t="shared" si="39"/>
        <v>733</v>
      </c>
      <c r="B132" s="93" t="s">
        <v>894</v>
      </c>
      <c r="C132" s="94"/>
      <c r="D132" s="267" t="s">
        <v>599</v>
      </c>
      <c r="E132" s="757"/>
      <c r="F132" s="60"/>
      <c r="G132" s="1147">
        <f t="shared" si="36"/>
        <v>0</v>
      </c>
      <c r="H132" s="1144"/>
      <c r="I132" s="347" t="s">
        <v>2233</v>
      </c>
      <c r="J132" s="343"/>
      <c r="K132" s="103">
        <f>Uitvoerbestand!I113</f>
        <v>191.15</v>
      </c>
      <c r="L132" s="1235">
        <f t="shared" si="37"/>
        <v>0</v>
      </c>
      <c r="M132" s="1236"/>
      <c r="N132" s="62"/>
      <c r="O132" s="1145"/>
      <c r="P132" s="1259"/>
      <c r="Q132" s="757"/>
      <c r="R132" s="103">
        <v>190.26</v>
      </c>
      <c r="S132" s="1227">
        <f t="shared" si="38"/>
        <v>0</v>
      </c>
      <c r="T132" s="1252"/>
      <c r="U132" s="146"/>
      <c r="V132" s="3" t="s">
        <v>968</v>
      </c>
      <c r="X132" s="908">
        <f t="shared" si="25"/>
        <v>0</v>
      </c>
      <c r="Y132" s="917">
        <f t="shared" si="27"/>
        <v>0</v>
      </c>
      <c r="AA132" s="125"/>
      <c r="AY132" s="746"/>
      <c r="AZ132" s="746"/>
      <c r="BA132" s="747"/>
      <c r="BB132" s="748"/>
      <c r="BC132" s="748"/>
      <c r="BD132" s="749"/>
    </row>
    <row r="133" spans="1:56" ht="12.75">
      <c r="A133" s="39">
        <f t="shared" si="39"/>
        <v>734</v>
      </c>
      <c r="B133" s="93" t="s">
        <v>902</v>
      </c>
      <c r="C133" s="94"/>
      <c r="D133" s="267" t="s">
        <v>600</v>
      </c>
      <c r="E133" s="757"/>
      <c r="F133" s="60"/>
      <c r="G133" s="1147">
        <f t="shared" si="36"/>
        <v>0</v>
      </c>
      <c r="H133" s="1144"/>
      <c r="I133" s="347" t="s">
        <v>2234</v>
      </c>
      <c r="J133" s="343"/>
      <c r="K133" s="103">
        <f>Uitvoerbestand!I114</f>
        <v>712.99</v>
      </c>
      <c r="L133" s="1235">
        <f t="shared" si="37"/>
        <v>0</v>
      </c>
      <c r="M133" s="1236"/>
      <c r="N133" s="62"/>
      <c r="O133" s="1145"/>
      <c r="P133" s="1259"/>
      <c r="Q133" s="757"/>
      <c r="R133" s="103">
        <v>710.02</v>
      </c>
      <c r="S133" s="1227">
        <f t="shared" si="38"/>
        <v>0</v>
      </c>
      <c r="T133" s="1144"/>
      <c r="U133" s="147"/>
      <c r="V133" s="3" t="s">
        <v>969</v>
      </c>
      <c r="X133" s="908">
        <f t="shared" si="25"/>
        <v>0</v>
      </c>
      <c r="Y133" s="917">
        <f t="shared" si="27"/>
        <v>0</v>
      </c>
      <c r="AA133" s="125"/>
      <c r="AY133" s="749"/>
      <c r="AZ133" s="746"/>
      <c r="BA133" s="747"/>
      <c r="BB133" s="749"/>
      <c r="BC133" s="748"/>
      <c r="BD133" s="749"/>
    </row>
    <row r="134" spans="1:56" ht="12.75">
      <c r="A134" s="39">
        <f t="shared" si="39"/>
        <v>735</v>
      </c>
      <c r="B134" s="93" t="s">
        <v>2303</v>
      </c>
      <c r="C134" s="94"/>
      <c r="D134" s="267" t="s">
        <v>601</v>
      </c>
      <c r="E134" s="757"/>
      <c r="F134" s="60"/>
      <c r="G134" s="1147">
        <f t="shared" si="36"/>
        <v>0</v>
      </c>
      <c r="H134" s="1144"/>
      <c r="I134" s="347" t="s">
        <v>2235</v>
      </c>
      <c r="J134" s="343"/>
      <c r="K134" s="103">
        <f>Uitvoerbestand!I115</f>
        <v>36.31</v>
      </c>
      <c r="L134" s="1235">
        <f t="shared" si="37"/>
        <v>0</v>
      </c>
      <c r="M134" s="1236"/>
      <c r="N134" s="62"/>
      <c r="O134" s="1145"/>
      <c r="P134" s="1259"/>
      <c r="Q134" s="757"/>
      <c r="R134" s="103">
        <v>36.12</v>
      </c>
      <c r="S134" s="1227">
        <f t="shared" si="38"/>
        <v>0</v>
      </c>
      <c r="T134" s="1144"/>
      <c r="U134" s="147"/>
      <c r="V134" s="3" t="s">
        <v>1551</v>
      </c>
      <c r="X134" s="908">
        <f t="shared" si="25"/>
        <v>0</v>
      </c>
      <c r="Y134" s="917">
        <f t="shared" si="27"/>
        <v>0</v>
      </c>
      <c r="AA134" s="125"/>
      <c r="AZ134" s="746"/>
      <c r="BA134" s="747"/>
      <c r="BC134" s="748"/>
      <c r="BD134" s="749"/>
    </row>
    <row r="135" spans="1:56" ht="12.75">
      <c r="A135" s="36">
        <f t="shared" si="39"/>
        <v>736</v>
      </c>
      <c r="B135" s="42" t="s">
        <v>223</v>
      </c>
      <c r="C135" s="42"/>
      <c r="D135" s="42"/>
      <c r="E135" s="63">
        <f>SUM(E124:E134)</f>
        <v>0</v>
      </c>
      <c r="F135" s="64">
        <f>SUM(F124:F134)</f>
        <v>0</v>
      </c>
      <c r="G135" s="1149">
        <f>SUM(G124:G134)</f>
        <v>0</v>
      </c>
      <c r="H135" s="1144"/>
      <c r="I135" s="348"/>
      <c r="J135" s="343"/>
      <c r="K135" s="305"/>
      <c r="L135" s="1149">
        <f>SUM(L124:L134)</f>
        <v>0</v>
      </c>
      <c r="M135" s="1236"/>
      <c r="N135" s="54"/>
      <c r="O135" s="1149">
        <f>SUM(O124:O134)</f>
        <v>0</v>
      </c>
      <c r="P135" s="1144"/>
      <c r="Q135" s="64">
        <f>SUM(Q124:Q134)</f>
        <v>0</v>
      </c>
      <c r="R135" s="43"/>
      <c r="S135" s="1149">
        <f>SUM(S124:S134)</f>
        <v>0</v>
      </c>
      <c r="T135" s="1144"/>
      <c r="U135" s="147"/>
      <c r="V135" s="3"/>
      <c r="Z135">
        <f>SUM(Y124:Y134)</f>
        <v>0</v>
      </c>
      <c r="AA135" s="125"/>
      <c r="AZ135" s="746"/>
      <c r="BA135" s="747"/>
      <c r="BC135" s="748"/>
      <c r="BD135" s="749"/>
    </row>
    <row r="136" spans="1:56" ht="12.75">
      <c r="A136" s="11"/>
      <c r="B136" s="24"/>
      <c r="C136" s="24"/>
      <c r="D136" s="24"/>
      <c r="E136" s="114"/>
      <c r="F136" s="114"/>
      <c r="G136" s="115"/>
      <c r="H136" s="116"/>
      <c r="I136" s="348"/>
      <c r="J136" s="343"/>
      <c r="K136" s="308"/>
      <c r="L136" s="115"/>
      <c r="M136" s="118"/>
      <c r="N136" s="54"/>
      <c r="O136" s="115"/>
      <c r="P136" s="116"/>
      <c r="Q136" s="114"/>
      <c r="R136" s="117"/>
      <c r="S136" s="115"/>
      <c r="T136" s="116"/>
      <c r="U136" s="147"/>
      <c r="V136" s="3"/>
      <c r="AA136" s="125"/>
      <c r="AZ136" s="746"/>
      <c r="BA136" s="747"/>
      <c r="BC136" s="748"/>
      <c r="BD136" s="749"/>
    </row>
    <row r="137" spans="1:56" ht="12.75">
      <c r="A137" s="22"/>
      <c r="B137" s="23"/>
      <c r="C137" s="24"/>
      <c r="D137" s="25"/>
      <c r="E137" s="26" t="s">
        <v>224</v>
      </c>
      <c r="F137" s="26" t="str">
        <f>F7</f>
        <v>Mutatie</v>
      </c>
      <c r="G137" s="1338" t="s">
        <v>221</v>
      </c>
      <c r="H137" s="1466"/>
      <c r="I137" s="343"/>
      <c r="J137" s="343"/>
      <c r="K137" s="1387" t="str">
        <f>CONCATENATE("Budget ",$E$8)</f>
        <v>Budget 2006</v>
      </c>
      <c r="L137" s="1464"/>
      <c r="M137" s="1465"/>
      <c r="N137" s="120"/>
      <c r="O137" s="1264" t="s">
        <v>227</v>
      </c>
      <c r="P137" s="1271"/>
      <c r="Q137" s="1272"/>
      <c r="R137" s="1264" t="str">
        <f>CONCATENATE("Nacalculatie ",$E$8-1)</f>
        <v>Nacalculatie 2005</v>
      </c>
      <c r="S137" s="1265"/>
      <c r="T137" s="1266"/>
      <c r="U137" s="148"/>
      <c r="V137" s="3"/>
      <c r="AA137" s="125"/>
      <c r="BC137" s="748"/>
      <c r="BD137" s="749"/>
    </row>
    <row r="138" spans="1:56" ht="12.75">
      <c r="A138" s="28"/>
      <c r="B138" s="29"/>
      <c r="C138" s="30"/>
      <c r="D138" s="30"/>
      <c r="E138" s="31">
        <f>$E$8</f>
        <v>2006</v>
      </c>
      <c r="F138" s="31">
        <f>$E$8</f>
        <v>2006</v>
      </c>
      <c r="G138" s="1250"/>
      <c r="H138" s="1467"/>
      <c r="I138" s="345"/>
      <c r="J138" s="343"/>
      <c r="K138" s="302" t="s">
        <v>233</v>
      </c>
      <c r="L138" s="1380" t="s">
        <v>234</v>
      </c>
      <c r="M138" s="1381"/>
      <c r="N138" s="121"/>
      <c r="O138" s="1380">
        <f>$E$8-2</f>
        <v>2004</v>
      </c>
      <c r="P138" s="1381"/>
      <c r="Q138" s="33">
        <f>$E$8-1</f>
        <v>2005</v>
      </c>
      <c r="R138" s="32" t="s">
        <v>233</v>
      </c>
      <c r="S138" s="1380" t="s">
        <v>234</v>
      </c>
      <c r="T138" s="1381"/>
      <c r="U138" s="149"/>
      <c r="V138" s="3"/>
      <c r="AA138" s="125"/>
      <c r="BC138" s="748"/>
      <c r="BD138" s="749"/>
    </row>
    <row r="139" spans="1:56" ht="12.75">
      <c r="A139" s="28"/>
      <c r="B139" s="1505" t="s">
        <v>2261</v>
      </c>
      <c r="C139" s="30"/>
      <c r="D139" s="30"/>
      <c r="E139" s="27" t="s">
        <v>910</v>
      </c>
      <c r="F139" s="27" t="s">
        <v>911</v>
      </c>
      <c r="G139" s="1340" t="s">
        <v>912</v>
      </c>
      <c r="H139" s="1340"/>
      <c r="I139" s="346"/>
      <c r="J139" s="343"/>
      <c r="K139" s="303" t="s">
        <v>913</v>
      </c>
      <c r="L139" s="1340" t="s">
        <v>914</v>
      </c>
      <c r="M139" s="1340"/>
      <c r="N139" s="1340" t="s">
        <v>915</v>
      </c>
      <c r="O139" s="1340"/>
      <c r="P139" s="1340"/>
      <c r="Q139" s="27" t="s">
        <v>916</v>
      </c>
      <c r="R139" s="27" t="s">
        <v>917</v>
      </c>
      <c r="S139" s="1340" t="s">
        <v>918</v>
      </c>
      <c r="T139" s="1340"/>
      <c r="U139" s="149"/>
      <c r="V139" s="3"/>
      <c r="AA139" s="125"/>
      <c r="BC139" s="748"/>
      <c r="BD139" s="749"/>
    </row>
    <row r="140" spans="1:56" ht="9.75" customHeight="1">
      <c r="A140" s="22"/>
      <c r="B140" s="1414"/>
      <c r="C140" s="24"/>
      <c r="D140" s="27"/>
      <c r="E140" s="34"/>
      <c r="F140" s="23"/>
      <c r="G140" s="23"/>
      <c r="H140" s="23"/>
      <c r="I140" s="346"/>
      <c r="J140" s="343"/>
      <c r="K140" s="1076" t="str">
        <f>K10</f>
        <v>Incl. voorl. index 2006</v>
      </c>
      <c r="L140" s="10"/>
      <c r="M140" s="23"/>
      <c r="N140" s="24"/>
      <c r="O140" s="34"/>
      <c r="P140" s="34"/>
      <c r="Q140" s="34"/>
      <c r="R140" s="34"/>
      <c r="S140" s="55"/>
      <c r="T140" s="84"/>
      <c r="U140" s="144"/>
      <c r="V140" s="3"/>
      <c r="AA140" s="125"/>
      <c r="BC140" s="748"/>
      <c r="BD140" s="749"/>
    </row>
    <row r="141" spans="1:56" ht="12.75">
      <c r="A141" s="36">
        <v>801</v>
      </c>
      <c r="B141" s="93" t="s">
        <v>2158</v>
      </c>
      <c r="C141" s="94"/>
      <c r="D141" s="267" t="s">
        <v>602</v>
      </c>
      <c r="E141" s="757"/>
      <c r="F141" s="60"/>
      <c r="G141" s="1147">
        <f aca="true" t="shared" si="40" ref="G141:G151">F141-E141</f>
        <v>0</v>
      </c>
      <c r="H141" s="1144"/>
      <c r="I141" s="347" t="s">
        <v>2245</v>
      </c>
      <c r="J141" s="343"/>
      <c r="K141" s="103">
        <f>Uitvoerbestand!I118</f>
        <v>19.13</v>
      </c>
      <c r="L141" s="1235">
        <f aca="true" t="shared" si="41" ref="L141:L151">F141*K141</f>
        <v>0</v>
      </c>
      <c r="M141" s="1236"/>
      <c r="N141" s="62"/>
      <c r="O141" s="1145"/>
      <c r="P141" s="1259"/>
      <c r="Q141" s="757"/>
      <c r="R141" s="103">
        <v>19.05</v>
      </c>
      <c r="S141" s="1227">
        <f aca="true" t="shared" si="42" ref="S141:S151">Q141*R141</f>
        <v>0</v>
      </c>
      <c r="T141" s="1144"/>
      <c r="U141" s="145"/>
      <c r="V141" s="3" t="s">
        <v>1552</v>
      </c>
      <c r="X141" s="908">
        <f aca="true" t="shared" si="43" ref="X141:X151">(S141+L141)*A141</f>
        <v>0</v>
      </c>
      <c r="Y141" s="917">
        <f aca="true" t="shared" si="44" ref="Y141:Y199">E141*K141</f>
        <v>0</v>
      </c>
      <c r="AA141" s="125"/>
      <c r="BD141" s="749"/>
    </row>
    <row r="142" spans="1:27" ht="12.75">
      <c r="A142" s="39">
        <f aca="true" t="shared" si="45" ref="A142:A152">A141+1</f>
        <v>802</v>
      </c>
      <c r="B142" s="93" t="s">
        <v>2159</v>
      </c>
      <c r="C142" s="94"/>
      <c r="D142" s="267" t="s">
        <v>603</v>
      </c>
      <c r="E142" s="757"/>
      <c r="F142" s="60"/>
      <c r="G142" s="1147">
        <f t="shared" si="40"/>
        <v>0</v>
      </c>
      <c r="H142" s="1144"/>
      <c r="I142" s="347" t="s">
        <v>2236</v>
      </c>
      <c r="J142" s="343"/>
      <c r="K142" s="103">
        <f>Uitvoerbestand!I119</f>
        <v>184.60999999999999</v>
      </c>
      <c r="L142" s="1235">
        <f t="shared" si="41"/>
        <v>0</v>
      </c>
      <c r="M142" s="1236"/>
      <c r="N142" s="62"/>
      <c r="O142" s="1145"/>
      <c r="P142" s="1259"/>
      <c r="Q142" s="757"/>
      <c r="R142" s="103">
        <v>183.74</v>
      </c>
      <c r="S142" s="1227">
        <f t="shared" si="42"/>
        <v>0</v>
      </c>
      <c r="T142" s="1252"/>
      <c r="U142" s="146"/>
      <c r="V142" s="3" t="s">
        <v>1553</v>
      </c>
      <c r="X142" s="908">
        <f t="shared" si="43"/>
        <v>0</v>
      </c>
      <c r="Y142" s="917">
        <f t="shared" si="44"/>
        <v>0</v>
      </c>
      <c r="AA142" s="125"/>
    </row>
    <row r="143" spans="1:27" ht="12.75">
      <c r="A143" s="39">
        <f t="shared" si="45"/>
        <v>803</v>
      </c>
      <c r="B143" s="93" t="s">
        <v>2160</v>
      </c>
      <c r="C143" s="94"/>
      <c r="D143" s="267" t="s">
        <v>604</v>
      </c>
      <c r="E143" s="757"/>
      <c r="F143" s="60"/>
      <c r="G143" s="1147">
        <f t="shared" si="40"/>
        <v>0</v>
      </c>
      <c r="H143" s="1144"/>
      <c r="I143" s="347" t="s">
        <v>2237</v>
      </c>
      <c r="J143" s="343"/>
      <c r="K143" s="103">
        <f>Uitvoerbestand!I120</f>
        <v>382.45000000000005</v>
      </c>
      <c r="L143" s="1235">
        <f t="shared" si="41"/>
        <v>0</v>
      </c>
      <c r="M143" s="1236"/>
      <c r="N143" s="62"/>
      <c r="O143" s="1145"/>
      <c r="P143" s="1259"/>
      <c r="Q143" s="757"/>
      <c r="R143" s="103">
        <v>380.8</v>
      </c>
      <c r="S143" s="1227">
        <f t="shared" si="42"/>
        <v>0</v>
      </c>
      <c r="T143" s="1144"/>
      <c r="U143" s="147"/>
      <c r="V143" s="3" t="s">
        <v>1554</v>
      </c>
      <c r="X143" s="908">
        <f t="shared" si="43"/>
        <v>0</v>
      </c>
      <c r="Y143" s="917">
        <f t="shared" si="44"/>
        <v>0</v>
      </c>
      <c r="AA143" s="125"/>
    </row>
    <row r="144" spans="1:55" ht="12.75">
      <c r="A144" s="39">
        <f t="shared" si="45"/>
        <v>804</v>
      </c>
      <c r="B144" s="93" t="s">
        <v>2161</v>
      </c>
      <c r="C144" s="94"/>
      <c r="D144" s="267" t="s">
        <v>605</v>
      </c>
      <c r="E144" s="757"/>
      <c r="F144" s="60"/>
      <c r="G144" s="1147">
        <f t="shared" si="40"/>
        <v>0</v>
      </c>
      <c r="H144" s="1144"/>
      <c r="I144" s="347" t="s">
        <v>2238</v>
      </c>
      <c r="J144" s="343"/>
      <c r="K144" s="103">
        <f>Uitvoerbestand!I121</f>
        <v>94.05000000000001</v>
      </c>
      <c r="L144" s="1235">
        <f t="shared" si="41"/>
        <v>0</v>
      </c>
      <c r="M144" s="1236"/>
      <c r="N144" s="62"/>
      <c r="O144" s="1145"/>
      <c r="P144" s="1259"/>
      <c r="Q144" s="757"/>
      <c r="R144" s="103">
        <v>93.54</v>
      </c>
      <c r="S144" s="1227">
        <f t="shared" si="42"/>
        <v>0</v>
      </c>
      <c r="T144" s="1252"/>
      <c r="U144" s="146"/>
      <c r="V144" s="3" t="s">
        <v>1555</v>
      </c>
      <c r="X144" s="908">
        <f t="shared" si="43"/>
        <v>0</v>
      </c>
      <c r="Y144" s="917">
        <f t="shared" si="44"/>
        <v>0</v>
      </c>
      <c r="AA144" s="125"/>
      <c r="BC144" s="537"/>
    </row>
    <row r="145" spans="1:55" ht="12.75">
      <c r="A145" s="39">
        <f t="shared" si="45"/>
        <v>805</v>
      </c>
      <c r="B145" s="93" t="s">
        <v>2162</v>
      </c>
      <c r="C145" s="94"/>
      <c r="D145" s="267" t="s">
        <v>606</v>
      </c>
      <c r="E145" s="757"/>
      <c r="F145" s="60"/>
      <c r="G145" s="1147">
        <f t="shared" si="40"/>
        <v>0</v>
      </c>
      <c r="H145" s="1144"/>
      <c r="I145" s="347" t="s">
        <v>2239</v>
      </c>
      <c r="J145" s="343"/>
      <c r="K145" s="103">
        <f>Uitvoerbestand!I122</f>
        <v>63.47</v>
      </c>
      <c r="L145" s="1235">
        <f t="shared" si="41"/>
        <v>0</v>
      </c>
      <c r="M145" s="1236"/>
      <c r="N145" s="62"/>
      <c r="O145" s="1145"/>
      <c r="P145" s="1259"/>
      <c r="Q145" s="757"/>
      <c r="R145" s="103">
        <v>63.09</v>
      </c>
      <c r="S145" s="1227">
        <f t="shared" si="42"/>
        <v>0</v>
      </c>
      <c r="T145" s="1144"/>
      <c r="U145" s="147"/>
      <c r="V145" s="3" t="s">
        <v>1556</v>
      </c>
      <c r="X145" s="908">
        <f t="shared" si="43"/>
        <v>0</v>
      </c>
      <c r="Y145" s="917">
        <f t="shared" si="44"/>
        <v>0</v>
      </c>
      <c r="AA145" s="125"/>
      <c r="BC145" s="537"/>
    </row>
    <row r="146" spans="1:55" ht="12.75">
      <c r="A146" s="39">
        <f t="shared" si="45"/>
        <v>806</v>
      </c>
      <c r="B146" s="93" t="s">
        <v>893</v>
      </c>
      <c r="C146" s="94"/>
      <c r="D146" s="267" t="s">
        <v>607</v>
      </c>
      <c r="E146" s="757"/>
      <c r="F146" s="60"/>
      <c r="G146" s="1147">
        <f t="shared" si="40"/>
        <v>0</v>
      </c>
      <c r="H146" s="1144"/>
      <c r="I146" s="347" t="s">
        <v>2240</v>
      </c>
      <c r="J146" s="343"/>
      <c r="K146" s="103">
        <f>Uitvoerbestand!I123</f>
        <v>79.83000000000001</v>
      </c>
      <c r="L146" s="1235">
        <f t="shared" si="41"/>
        <v>0</v>
      </c>
      <c r="M146" s="1236"/>
      <c r="N146" s="62"/>
      <c r="O146" s="1145"/>
      <c r="P146" s="1259"/>
      <c r="Q146" s="757"/>
      <c r="R146" s="103">
        <v>79.38</v>
      </c>
      <c r="S146" s="1227">
        <f t="shared" si="42"/>
        <v>0</v>
      </c>
      <c r="T146" s="1144"/>
      <c r="U146" s="147"/>
      <c r="V146" s="3" t="s">
        <v>1557</v>
      </c>
      <c r="X146" s="908">
        <f t="shared" si="43"/>
        <v>0</v>
      </c>
      <c r="Y146" s="917">
        <f t="shared" si="44"/>
        <v>0</v>
      </c>
      <c r="AA146" s="125"/>
      <c r="BC146" s="537"/>
    </row>
    <row r="147" spans="1:27" ht="12.75">
      <c r="A147" s="39">
        <f>A146+1</f>
        <v>807</v>
      </c>
      <c r="B147" s="93" t="s">
        <v>1437</v>
      </c>
      <c r="C147" s="94"/>
      <c r="D147" s="267" t="s">
        <v>1444</v>
      </c>
      <c r="E147" s="757"/>
      <c r="F147" s="60"/>
      <c r="G147" s="1147">
        <f t="shared" si="40"/>
        <v>0</v>
      </c>
      <c r="H147" s="1144"/>
      <c r="I147" s="347" t="s">
        <v>1446</v>
      </c>
      <c r="J147" s="343"/>
      <c r="K147" s="103">
        <f>Uitvoerbestand!I124</f>
        <v>44.81</v>
      </c>
      <c r="L147" s="1235">
        <f t="shared" si="41"/>
        <v>0</v>
      </c>
      <c r="M147" s="1236"/>
      <c r="N147" s="62"/>
      <c r="O147" s="1145"/>
      <c r="P147" s="1259"/>
      <c r="Q147" s="757"/>
      <c r="R147" s="103">
        <v>44.5</v>
      </c>
      <c r="S147" s="1227">
        <f>Q147*R147</f>
        <v>0</v>
      </c>
      <c r="T147" s="1144"/>
      <c r="U147" s="147"/>
      <c r="V147" s="3" t="s">
        <v>1713</v>
      </c>
      <c r="X147" s="908">
        <f t="shared" si="43"/>
        <v>0</v>
      </c>
      <c r="Y147" s="917">
        <f t="shared" si="44"/>
        <v>0</v>
      </c>
      <c r="AA147" s="125"/>
    </row>
    <row r="148" spans="1:27" ht="12.75">
      <c r="A148" s="39">
        <f>A147+1</f>
        <v>808</v>
      </c>
      <c r="B148" s="93" t="s">
        <v>2163</v>
      </c>
      <c r="C148" s="94"/>
      <c r="D148" s="267" t="s">
        <v>608</v>
      </c>
      <c r="E148" s="757"/>
      <c r="F148" s="60"/>
      <c r="G148" s="1147">
        <f t="shared" si="40"/>
        <v>0</v>
      </c>
      <c r="H148" s="1144"/>
      <c r="I148" s="347" t="s">
        <v>2241</v>
      </c>
      <c r="J148" s="343"/>
      <c r="K148" s="103">
        <f>Uitvoerbestand!I125</f>
        <v>55.23</v>
      </c>
      <c r="L148" s="1235">
        <f t="shared" si="41"/>
        <v>0</v>
      </c>
      <c r="M148" s="1236"/>
      <c r="N148" s="62"/>
      <c r="O148" s="1145"/>
      <c r="P148" s="1259"/>
      <c r="Q148" s="757"/>
      <c r="R148" s="103">
        <v>54.88</v>
      </c>
      <c r="S148" s="1227">
        <f t="shared" si="42"/>
        <v>0</v>
      </c>
      <c r="T148" s="1144"/>
      <c r="U148" s="147"/>
      <c r="V148" s="3" t="s">
        <v>1558</v>
      </c>
      <c r="X148" s="908">
        <f t="shared" si="43"/>
        <v>0</v>
      </c>
      <c r="Y148" s="917">
        <f t="shared" si="44"/>
        <v>0</v>
      </c>
      <c r="AA148" s="125"/>
    </row>
    <row r="149" spans="1:27" ht="12.75">
      <c r="A149" s="39">
        <f t="shared" si="45"/>
        <v>809</v>
      </c>
      <c r="B149" s="93" t="s">
        <v>894</v>
      </c>
      <c r="C149" s="94"/>
      <c r="D149" s="267" t="s">
        <v>609</v>
      </c>
      <c r="E149" s="757"/>
      <c r="F149" s="60"/>
      <c r="G149" s="1147">
        <f t="shared" si="40"/>
        <v>0</v>
      </c>
      <c r="H149" s="1144"/>
      <c r="I149" s="347" t="s">
        <v>2242</v>
      </c>
      <c r="J149" s="343"/>
      <c r="K149" s="103">
        <f>Uitvoerbestand!I126</f>
        <v>191.15</v>
      </c>
      <c r="L149" s="1235">
        <f t="shared" si="41"/>
        <v>0</v>
      </c>
      <c r="M149" s="1236"/>
      <c r="N149" s="62"/>
      <c r="O149" s="1145"/>
      <c r="P149" s="1259"/>
      <c r="Q149" s="757"/>
      <c r="R149" s="103">
        <v>190.26</v>
      </c>
      <c r="S149" s="1227">
        <f t="shared" si="42"/>
        <v>0</v>
      </c>
      <c r="T149" s="1252"/>
      <c r="U149" s="146"/>
      <c r="V149" s="3" t="s">
        <v>970</v>
      </c>
      <c r="X149" s="908">
        <f t="shared" si="43"/>
        <v>0</v>
      </c>
      <c r="Y149" s="917">
        <f t="shared" si="44"/>
        <v>0</v>
      </c>
      <c r="AA149" s="125"/>
    </row>
    <row r="150" spans="1:25" ht="12.75">
      <c r="A150" s="39">
        <f t="shared" si="45"/>
        <v>810</v>
      </c>
      <c r="B150" s="93" t="s">
        <v>902</v>
      </c>
      <c r="C150" s="94"/>
      <c r="D150" s="267" t="s">
        <v>610</v>
      </c>
      <c r="E150" s="757"/>
      <c r="F150" s="60"/>
      <c r="G150" s="1147">
        <f t="shared" si="40"/>
        <v>0</v>
      </c>
      <c r="H150" s="1144"/>
      <c r="I150" s="347" t="s">
        <v>2243</v>
      </c>
      <c r="J150" s="343"/>
      <c r="K150" s="103">
        <f>Uitvoerbestand!I127</f>
        <v>712.99</v>
      </c>
      <c r="L150" s="1235">
        <f t="shared" si="41"/>
        <v>0</v>
      </c>
      <c r="M150" s="1236"/>
      <c r="N150" s="62"/>
      <c r="O150" s="1145"/>
      <c r="P150" s="1259"/>
      <c r="Q150" s="757"/>
      <c r="R150" s="103">
        <v>710.02</v>
      </c>
      <c r="S150" s="1227">
        <f t="shared" si="42"/>
        <v>0</v>
      </c>
      <c r="T150" s="1144"/>
      <c r="U150" s="147"/>
      <c r="V150" s="3" t="s">
        <v>971</v>
      </c>
      <c r="X150" s="908">
        <f t="shared" si="43"/>
        <v>0</v>
      </c>
      <c r="Y150" s="917">
        <f t="shared" si="44"/>
        <v>0</v>
      </c>
    </row>
    <row r="151" spans="1:25" ht="12.75">
      <c r="A151" s="39">
        <f t="shared" si="45"/>
        <v>811</v>
      </c>
      <c r="B151" s="93" t="s">
        <v>2303</v>
      </c>
      <c r="C151" s="94"/>
      <c r="D151" s="267" t="s">
        <v>611</v>
      </c>
      <c r="E151" s="757"/>
      <c r="F151" s="60"/>
      <c r="G151" s="1147">
        <f t="shared" si="40"/>
        <v>0</v>
      </c>
      <c r="H151" s="1144"/>
      <c r="I151" s="347" t="s">
        <v>2244</v>
      </c>
      <c r="J151" s="343"/>
      <c r="K151" s="103">
        <f>Uitvoerbestand!I128</f>
        <v>36.31</v>
      </c>
      <c r="L151" s="1235">
        <f t="shared" si="41"/>
        <v>0</v>
      </c>
      <c r="M151" s="1236"/>
      <c r="N151" s="62"/>
      <c r="O151" s="1145"/>
      <c r="P151" s="1259"/>
      <c r="Q151" s="757"/>
      <c r="R151" s="103">
        <v>36.12</v>
      </c>
      <c r="S151" s="1227">
        <f t="shared" si="42"/>
        <v>0</v>
      </c>
      <c r="T151" s="1144"/>
      <c r="U151" s="147"/>
      <c r="V151" s="3" t="s">
        <v>1559</v>
      </c>
      <c r="X151" s="908">
        <f t="shared" si="43"/>
        <v>0</v>
      </c>
      <c r="Y151" s="917">
        <f t="shared" si="44"/>
        <v>0</v>
      </c>
    </row>
    <row r="152" spans="1:26" ht="12.75">
      <c r="A152" s="36">
        <f t="shared" si="45"/>
        <v>812</v>
      </c>
      <c r="B152" s="42" t="s">
        <v>223</v>
      </c>
      <c r="C152" s="42"/>
      <c r="D152" s="42"/>
      <c r="E152" s="63">
        <f>SUM(E141:E151)</f>
        <v>0</v>
      </c>
      <c r="F152" s="64">
        <f>SUM(F141:F151)</f>
        <v>0</v>
      </c>
      <c r="G152" s="1149">
        <f>SUM(G141:G151)</f>
        <v>0</v>
      </c>
      <c r="H152" s="1144"/>
      <c r="I152" s="348"/>
      <c r="J152" s="343"/>
      <c r="K152" s="305"/>
      <c r="L152" s="1149">
        <f>SUM(L141:L151)</f>
        <v>0</v>
      </c>
      <c r="M152" s="1236"/>
      <c r="N152" s="54"/>
      <c r="O152" s="1149">
        <f>SUM(O141:O151)</f>
        <v>0</v>
      </c>
      <c r="P152" s="1144"/>
      <c r="Q152" s="64">
        <f>SUM(Q141:Q151)</f>
        <v>0</v>
      </c>
      <c r="R152" s="43"/>
      <c r="S152" s="1149">
        <f>SUM(S141:S151)</f>
        <v>0</v>
      </c>
      <c r="T152" s="1144"/>
      <c r="U152" s="147"/>
      <c r="V152" s="3"/>
      <c r="Z152">
        <f>SUM(Y141:Y151)</f>
        <v>0</v>
      </c>
    </row>
    <row r="153" spans="1:22" ht="12.75">
      <c r="A153" s="22"/>
      <c r="B153" s="23" t="s">
        <v>1563</v>
      </c>
      <c r="C153" s="24"/>
      <c r="D153" s="27"/>
      <c r="E153" s="34"/>
      <c r="F153" s="23"/>
      <c r="G153" s="23"/>
      <c r="H153" s="23"/>
      <c r="I153" s="346"/>
      <c r="J153" s="343"/>
      <c r="K153" s="298"/>
      <c r="L153" s="10"/>
      <c r="M153" s="23"/>
      <c r="N153" s="24"/>
      <c r="O153" s="34"/>
      <c r="P153" s="34"/>
      <c r="Q153" s="34"/>
      <c r="R153" s="34"/>
      <c r="S153" s="55"/>
      <c r="T153" s="84"/>
      <c r="U153" s="144"/>
      <c r="V153" s="3"/>
    </row>
    <row r="154" spans="1:25" ht="12.75">
      <c r="A154" s="36">
        <f>A152+1</f>
        <v>813</v>
      </c>
      <c r="B154" s="93" t="s">
        <v>2158</v>
      </c>
      <c r="C154" s="94"/>
      <c r="D154" s="267" t="s">
        <v>880</v>
      </c>
      <c r="E154" s="757"/>
      <c r="F154" s="60"/>
      <c r="G154" s="1147">
        <f aca="true" t="shared" si="46" ref="G154:G160">F154-E154</f>
        <v>0</v>
      </c>
      <c r="H154" s="1144"/>
      <c r="I154" s="347" t="s">
        <v>662</v>
      </c>
      <c r="J154" s="343"/>
      <c r="K154" s="103">
        <f>Uitvoerbestand!I131</f>
        <v>19.13</v>
      </c>
      <c r="L154" s="1235">
        <f aca="true" t="shared" si="47" ref="L154:L160">F154*K154</f>
        <v>0</v>
      </c>
      <c r="M154" s="1236"/>
      <c r="N154" s="62"/>
      <c r="O154" s="1145"/>
      <c r="P154" s="1259"/>
      <c r="Q154" s="757"/>
      <c r="R154" s="103">
        <v>19.05</v>
      </c>
      <c r="S154" s="1227">
        <f aca="true" t="shared" si="48" ref="S154:S160">Q154*R154</f>
        <v>0</v>
      </c>
      <c r="T154" s="1144"/>
      <c r="U154" s="145"/>
      <c r="V154" s="3" t="s">
        <v>938</v>
      </c>
      <c r="X154" s="908">
        <f aca="true" t="shared" si="49" ref="X154:X161">(S154+L154)*A154</f>
        <v>0</v>
      </c>
      <c r="Y154" s="917">
        <f t="shared" si="44"/>
        <v>0</v>
      </c>
    </row>
    <row r="155" spans="1:25" ht="12.75">
      <c r="A155" s="39">
        <f aca="true" t="shared" si="50" ref="A155:A162">A154+1</f>
        <v>814</v>
      </c>
      <c r="B155" s="93" t="s">
        <v>2159</v>
      </c>
      <c r="C155" s="94"/>
      <c r="D155" s="267" t="s">
        <v>881</v>
      </c>
      <c r="E155" s="757"/>
      <c r="F155" s="60"/>
      <c r="G155" s="1147">
        <f t="shared" si="46"/>
        <v>0</v>
      </c>
      <c r="H155" s="1144"/>
      <c r="I155" s="347" t="s">
        <v>663</v>
      </c>
      <c r="J155" s="343"/>
      <c r="K155" s="103">
        <f>Uitvoerbestand!I132</f>
        <v>352.36</v>
      </c>
      <c r="L155" s="1235">
        <f t="shared" si="47"/>
        <v>0</v>
      </c>
      <c r="M155" s="1236"/>
      <c r="N155" s="62"/>
      <c r="O155" s="1145"/>
      <c r="P155" s="1259"/>
      <c r="Q155" s="757"/>
      <c r="R155" s="103">
        <v>350.89</v>
      </c>
      <c r="S155" s="1227">
        <f t="shared" si="48"/>
        <v>0</v>
      </c>
      <c r="T155" s="1252"/>
      <c r="U155" s="146"/>
      <c r="V155" s="3" t="s">
        <v>939</v>
      </c>
      <c r="X155" s="908">
        <f t="shared" si="49"/>
        <v>0</v>
      </c>
      <c r="Y155" s="917">
        <f t="shared" si="44"/>
        <v>0</v>
      </c>
    </row>
    <row r="156" spans="1:25" ht="12.75">
      <c r="A156" s="39">
        <f t="shared" si="50"/>
        <v>815</v>
      </c>
      <c r="B156" s="93" t="s">
        <v>2161</v>
      </c>
      <c r="C156" s="94"/>
      <c r="D156" s="267" t="s">
        <v>882</v>
      </c>
      <c r="E156" s="757"/>
      <c r="F156" s="60"/>
      <c r="G156" s="1147">
        <f t="shared" si="46"/>
        <v>0</v>
      </c>
      <c r="H156" s="1144"/>
      <c r="I156" s="347" t="s">
        <v>664</v>
      </c>
      <c r="J156" s="343"/>
      <c r="K156" s="103">
        <f>Uitvoerbestand!I133</f>
        <v>185.84</v>
      </c>
      <c r="L156" s="1235">
        <f t="shared" si="47"/>
        <v>0</v>
      </c>
      <c r="M156" s="1236"/>
      <c r="N156" s="62"/>
      <c r="O156" s="1145"/>
      <c r="P156" s="1259"/>
      <c r="Q156" s="757"/>
      <c r="R156" s="103">
        <v>185.04</v>
      </c>
      <c r="S156" s="1227">
        <f t="shared" si="48"/>
        <v>0</v>
      </c>
      <c r="T156" s="1252"/>
      <c r="U156" s="146"/>
      <c r="V156" s="3" t="s">
        <v>940</v>
      </c>
      <c r="X156" s="908">
        <f t="shared" si="49"/>
        <v>0</v>
      </c>
      <c r="Y156" s="917">
        <f t="shared" si="44"/>
        <v>0</v>
      </c>
    </row>
    <row r="157" spans="1:25" ht="12.75">
      <c r="A157" s="39">
        <f t="shared" si="50"/>
        <v>816</v>
      </c>
      <c r="B157" s="93" t="s">
        <v>2162</v>
      </c>
      <c r="C157" s="94"/>
      <c r="D157" s="267" t="s">
        <v>883</v>
      </c>
      <c r="E157" s="757"/>
      <c r="F157" s="60"/>
      <c r="G157" s="1147">
        <f t="shared" si="46"/>
        <v>0</v>
      </c>
      <c r="H157" s="1144"/>
      <c r="I157" s="347" t="s">
        <v>665</v>
      </c>
      <c r="J157" s="343"/>
      <c r="K157" s="103">
        <f>Uitvoerbestand!I134</f>
        <v>109.9</v>
      </c>
      <c r="L157" s="1235">
        <f t="shared" si="47"/>
        <v>0</v>
      </c>
      <c r="M157" s="1236"/>
      <c r="N157" s="62"/>
      <c r="O157" s="1145"/>
      <c r="P157" s="1259"/>
      <c r="Q157" s="757"/>
      <c r="R157" s="103">
        <v>109.4</v>
      </c>
      <c r="S157" s="1227">
        <f t="shared" si="48"/>
        <v>0</v>
      </c>
      <c r="T157" s="1144"/>
      <c r="U157" s="147"/>
      <c r="V157" s="3" t="s">
        <v>941</v>
      </c>
      <c r="X157" s="908">
        <f t="shared" si="49"/>
        <v>0</v>
      </c>
      <c r="Y157" s="917">
        <f t="shared" si="44"/>
        <v>0</v>
      </c>
    </row>
    <row r="158" spans="1:25" ht="12.75">
      <c r="A158" s="39">
        <f t="shared" si="50"/>
        <v>817</v>
      </c>
      <c r="B158" s="93" t="s">
        <v>893</v>
      </c>
      <c r="C158" s="94"/>
      <c r="D158" s="267" t="s">
        <v>884</v>
      </c>
      <c r="E158" s="757"/>
      <c r="F158" s="60"/>
      <c r="G158" s="1147">
        <f t="shared" si="46"/>
        <v>0</v>
      </c>
      <c r="H158" s="1144"/>
      <c r="I158" s="347" t="s">
        <v>666</v>
      </c>
      <c r="J158" s="343"/>
      <c r="K158" s="103">
        <f>Uitvoerbestand!I135</f>
        <v>101.67</v>
      </c>
      <c r="L158" s="1235">
        <f t="shared" si="47"/>
        <v>0</v>
      </c>
      <c r="M158" s="1236"/>
      <c r="N158" s="62"/>
      <c r="O158" s="1145"/>
      <c r="P158" s="1259"/>
      <c r="Q158" s="757"/>
      <c r="R158" s="103">
        <v>101.2</v>
      </c>
      <c r="S158" s="1227">
        <f t="shared" si="48"/>
        <v>0</v>
      </c>
      <c r="T158" s="1144"/>
      <c r="U158" s="147"/>
      <c r="V158" s="3" t="s">
        <v>942</v>
      </c>
      <c r="X158" s="908">
        <f t="shared" si="49"/>
        <v>0</v>
      </c>
      <c r="Y158" s="917">
        <f t="shared" si="44"/>
        <v>0</v>
      </c>
    </row>
    <row r="159" spans="1:27" ht="12.75">
      <c r="A159" s="39">
        <f>A158+1</f>
        <v>818</v>
      </c>
      <c r="B159" s="93" t="s">
        <v>1437</v>
      </c>
      <c r="C159" s="94"/>
      <c r="D159" s="267" t="s">
        <v>1445</v>
      </c>
      <c r="E159" s="757"/>
      <c r="F159" s="60"/>
      <c r="G159" s="1147">
        <f t="shared" si="46"/>
        <v>0</v>
      </c>
      <c r="H159" s="1144"/>
      <c r="I159" s="347" t="s">
        <v>1447</v>
      </c>
      <c r="J159" s="343"/>
      <c r="K159" s="103">
        <f>Uitvoerbestand!I136</f>
        <v>55.69</v>
      </c>
      <c r="L159" s="1235">
        <f t="shared" si="47"/>
        <v>0</v>
      </c>
      <c r="M159" s="1236"/>
      <c r="N159" s="62"/>
      <c r="O159" s="1145"/>
      <c r="P159" s="1259"/>
      <c r="Q159" s="757"/>
      <c r="R159" s="103">
        <v>55.41</v>
      </c>
      <c r="S159" s="1227">
        <f>Q159*R159</f>
        <v>0</v>
      </c>
      <c r="T159" s="1144"/>
      <c r="U159" s="147"/>
      <c r="V159" s="3" t="s">
        <v>1714</v>
      </c>
      <c r="X159" s="908">
        <f t="shared" si="49"/>
        <v>0</v>
      </c>
      <c r="Y159" s="917">
        <f t="shared" si="44"/>
        <v>0</v>
      </c>
      <c r="AA159" s="125"/>
    </row>
    <row r="160" spans="1:25" ht="12.75">
      <c r="A160" s="39">
        <f>A159+1</f>
        <v>819</v>
      </c>
      <c r="B160" s="93" t="s">
        <v>2163</v>
      </c>
      <c r="C160" s="94"/>
      <c r="D160" s="267" t="s">
        <v>2246</v>
      </c>
      <c r="E160" s="757"/>
      <c r="F160" s="60"/>
      <c r="G160" s="1147">
        <f t="shared" si="46"/>
        <v>0</v>
      </c>
      <c r="H160" s="1144"/>
      <c r="I160" s="347" t="s">
        <v>667</v>
      </c>
      <c r="J160" s="343"/>
      <c r="K160" s="103">
        <f>Uitvoerbestand!I137</f>
        <v>71.60000000000001</v>
      </c>
      <c r="L160" s="1235">
        <f t="shared" si="47"/>
        <v>0</v>
      </c>
      <c r="M160" s="1236"/>
      <c r="N160" s="62"/>
      <c r="O160" s="1145"/>
      <c r="P160" s="1259"/>
      <c r="Q160" s="757"/>
      <c r="R160" s="103">
        <v>71.25</v>
      </c>
      <c r="S160" s="1227">
        <f t="shared" si="48"/>
        <v>0</v>
      </c>
      <c r="T160" s="1144"/>
      <c r="U160" s="147"/>
      <c r="V160" s="3" t="s">
        <v>943</v>
      </c>
      <c r="X160" s="908">
        <f t="shared" si="49"/>
        <v>0</v>
      </c>
      <c r="Y160" s="917">
        <f t="shared" si="44"/>
        <v>0</v>
      </c>
    </row>
    <row r="161" spans="1:25" ht="12.75">
      <c r="A161" s="39">
        <f t="shared" si="50"/>
        <v>820</v>
      </c>
      <c r="B161" s="93" t="s">
        <v>2303</v>
      </c>
      <c r="C161" s="94"/>
      <c r="D161" s="267" t="s">
        <v>2279</v>
      </c>
      <c r="E161" s="757"/>
      <c r="F161" s="60"/>
      <c r="G161" s="1147">
        <f>F161-E161</f>
        <v>0</v>
      </c>
      <c r="H161" s="1144"/>
      <c r="I161" s="348" t="s">
        <v>900</v>
      </c>
      <c r="J161" s="343"/>
      <c r="K161" s="103">
        <f>Uitvoerbestand!I138</f>
        <v>92.28</v>
      </c>
      <c r="L161" s="1235">
        <f>F161*K161</f>
        <v>0</v>
      </c>
      <c r="M161" s="1236"/>
      <c r="N161" s="55"/>
      <c r="O161" s="1145"/>
      <c r="P161" s="1259"/>
      <c r="Q161" s="757"/>
      <c r="R161" s="103">
        <v>91.79</v>
      </c>
      <c r="S161" s="1227">
        <f>Q161*R161</f>
        <v>0</v>
      </c>
      <c r="T161" s="1144"/>
      <c r="U161" s="147"/>
      <c r="V161" s="755" t="s">
        <v>2278</v>
      </c>
      <c r="X161" s="908">
        <f t="shared" si="49"/>
        <v>0</v>
      </c>
      <c r="Y161" s="917">
        <f t="shared" si="44"/>
        <v>0</v>
      </c>
    </row>
    <row r="162" spans="1:26" ht="12.75">
      <c r="A162" s="36">
        <f t="shared" si="50"/>
        <v>821</v>
      </c>
      <c r="B162" s="42" t="s">
        <v>223</v>
      </c>
      <c r="C162" s="42"/>
      <c r="D162" s="42"/>
      <c r="E162" s="63">
        <f>SUM(E154:E161)</f>
        <v>0</v>
      </c>
      <c r="F162" s="63">
        <f>SUM(F154:F161)</f>
        <v>0</v>
      </c>
      <c r="G162" s="1149">
        <f>SUM(G154:G161)</f>
        <v>0</v>
      </c>
      <c r="H162" s="1144"/>
      <c r="I162" s="695"/>
      <c r="J162" s="343"/>
      <c r="K162" s="305"/>
      <c r="L162" s="1149">
        <f>SUM(L154:L161)</f>
        <v>0</v>
      </c>
      <c r="M162" s="1236"/>
      <c r="N162" s="54"/>
      <c r="O162" s="1149">
        <f>SUM(O154:O161)</f>
        <v>0</v>
      </c>
      <c r="P162" s="1144"/>
      <c r="Q162" s="64">
        <f>SUM(Q154:Q161)</f>
        <v>0</v>
      </c>
      <c r="R162" s="43"/>
      <c r="S162" s="1149">
        <f>SUM(S154:S161)</f>
        <v>0</v>
      </c>
      <c r="T162" s="1144"/>
      <c r="U162" s="147"/>
      <c r="V162" s="3"/>
      <c r="Z162">
        <f>SUM(Y154:Y161)</f>
        <v>0</v>
      </c>
    </row>
    <row r="163" spans="2:22" ht="8.25" customHeight="1">
      <c r="B163" s="24"/>
      <c r="I163" s="695"/>
      <c r="J163" s="343"/>
      <c r="K163"/>
      <c r="U163" s="150"/>
      <c r="V163" s="3"/>
    </row>
    <row r="164" spans="2:22" ht="12.75" customHeight="1">
      <c r="B164" s="23" t="s">
        <v>633</v>
      </c>
      <c r="I164" s="695"/>
      <c r="J164" s="343"/>
      <c r="K164"/>
      <c r="U164" s="150"/>
      <c r="V164" s="3"/>
    </row>
    <row r="165" spans="1:26" ht="12.75">
      <c r="A165" s="36">
        <f>A162+1</f>
        <v>822</v>
      </c>
      <c r="B165" s="44" t="s">
        <v>1448</v>
      </c>
      <c r="C165" s="42"/>
      <c r="D165" s="51" t="s">
        <v>813</v>
      </c>
      <c r="E165" s="757"/>
      <c r="F165" s="131"/>
      <c r="G165" s="1149">
        <f>F165-E165</f>
        <v>0</v>
      </c>
      <c r="H165" s="1412"/>
      <c r="I165" s="347" t="s">
        <v>1451</v>
      </c>
      <c r="J165" s="343"/>
      <c r="K165" s="760">
        <f>Uitvoerbestand!I141</f>
        <v>65.16</v>
      </c>
      <c r="L165" s="1149">
        <f>F165*K165</f>
        <v>0</v>
      </c>
      <c r="M165" s="1236"/>
      <c r="N165" s="54"/>
      <c r="O165" s="1145"/>
      <c r="P165" s="1259"/>
      <c r="Q165" s="757"/>
      <c r="R165" s="760">
        <v>64.87</v>
      </c>
      <c r="S165" s="1149">
        <f>Q165*R165</f>
        <v>0</v>
      </c>
      <c r="T165" s="1378"/>
      <c r="U165" s="150"/>
      <c r="V165" s="3" t="s">
        <v>1706</v>
      </c>
      <c r="X165" s="908">
        <f>(S165+L165)*A165</f>
        <v>0</v>
      </c>
      <c r="Y165" s="917">
        <f t="shared" si="44"/>
        <v>0</v>
      </c>
      <c r="Z165">
        <f>Y165</f>
        <v>0</v>
      </c>
    </row>
    <row r="166" spans="1:26" ht="12.75">
      <c r="A166" s="36">
        <f>A165+1</f>
        <v>823</v>
      </c>
      <c r="B166" s="44" t="s">
        <v>1449</v>
      </c>
      <c r="C166" s="42"/>
      <c r="D166" s="51" t="s">
        <v>2058</v>
      </c>
      <c r="E166" s="757"/>
      <c r="F166" s="131"/>
      <c r="G166" s="1149">
        <f>F166-E166</f>
        <v>0</v>
      </c>
      <c r="H166" s="1412"/>
      <c r="I166" s="347" t="s">
        <v>1450</v>
      </c>
      <c r="J166" s="343"/>
      <c r="K166" s="760">
        <f>Uitvoerbestand!I142</f>
        <v>65.16</v>
      </c>
      <c r="L166" s="1149">
        <f>F166*K166</f>
        <v>0</v>
      </c>
      <c r="M166" s="1236"/>
      <c r="N166" s="54"/>
      <c r="O166" s="1145"/>
      <c r="P166" s="1259"/>
      <c r="Q166" s="757"/>
      <c r="R166" s="760">
        <v>64.87</v>
      </c>
      <c r="S166" s="1149">
        <f>Q166*R166</f>
        <v>0</v>
      </c>
      <c r="T166" s="1378"/>
      <c r="U166" s="150"/>
      <c r="V166" s="3" t="s">
        <v>1707</v>
      </c>
      <c r="X166" s="908">
        <f>(S166+L166)*A166</f>
        <v>0</v>
      </c>
      <c r="Y166" s="917">
        <f t="shared" si="44"/>
        <v>0</v>
      </c>
      <c r="Z166">
        <f>Y166</f>
        <v>0</v>
      </c>
    </row>
    <row r="167" spans="1:22" ht="8.25" customHeight="1">
      <c r="A167" s="22"/>
      <c r="C167" s="24"/>
      <c r="D167" s="23"/>
      <c r="E167" s="65"/>
      <c r="F167" s="58"/>
      <c r="G167" s="58"/>
      <c r="H167" s="58"/>
      <c r="I167" s="346"/>
      <c r="J167" s="343"/>
      <c r="K167" s="298"/>
      <c r="L167" s="66"/>
      <c r="M167" s="58"/>
      <c r="N167" s="54"/>
      <c r="O167" s="1470"/>
      <c r="P167" s="1471"/>
      <c r="Q167" s="1001"/>
      <c r="R167" s="1001"/>
      <c r="S167" s="55"/>
      <c r="T167" s="55"/>
      <c r="U167" s="143"/>
      <c r="V167" s="3"/>
    </row>
    <row r="168" spans="1:22" ht="12.75">
      <c r="A168" s="424"/>
      <c r="B168" s="23" t="s">
        <v>1743</v>
      </c>
      <c r="C168" s="424"/>
      <c r="D168" s="975"/>
      <c r="E168" s="973"/>
      <c r="F168" s="973"/>
      <c r="G168" s="1413">
        <f aca="true" t="shared" si="51" ref="G168:G182">F168-E168</f>
        <v>0</v>
      </c>
      <c r="H168" s="1414"/>
      <c r="I168" s="347"/>
      <c r="J168" s="343"/>
      <c r="K168" s="974"/>
      <c r="L168" s="1390">
        <f aca="true" t="shared" si="52" ref="L168:L173">F168*K168</f>
        <v>0</v>
      </c>
      <c r="M168" s="1391"/>
      <c r="N168" s="55"/>
      <c r="O168" s="1390">
        <f>I168*N168</f>
        <v>0</v>
      </c>
      <c r="P168" s="1391"/>
      <c r="Q168" s="973"/>
      <c r="R168" s="976"/>
      <c r="S168" s="1468"/>
      <c r="T168" s="1469"/>
      <c r="U168" s="144"/>
      <c r="V168" s="3"/>
    </row>
    <row r="169" spans="1:25" ht="12.75">
      <c r="A169" s="36">
        <f>A166+1</f>
        <v>824</v>
      </c>
      <c r="B169" s="37" t="s">
        <v>2280</v>
      </c>
      <c r="C169" s="37"/>
      <c r="D169" s="38" t="s">
        <v>814</v>
      </c>
      <c r="E169" s="757"/>
      <c r="F169" s="60"/>
      <c r="G169" s="1147">
        <f t="shared" si="51"/>
        <v>0</v>
      </c>
      <c r="H169" s="1144"/>
      <c r="I169" s="341" t="s">
        <v>895</v>
      </c>
      <c r="J169" s="343"/>
      <c r="K169" s="103">
        <f>Uitvoerbestand!I145</f>
        <v>127.41000000000001</v>
      </c>
      <c r="L169" s="1235">
        <f t="shared" si="52"/>
        <v>0</v>
      </c>
      <c r="M169" s="1236"/>
      <c r="N169" s="62"/>
      <c r="O169" s="1145"/>
      <c r="P169" s="1259"/>
      <c r="Q169" s="757"/>
      <c r="R169" s="103">
        <v>126.83</v>
      </c>
      <c r="S169" s="1227">
        <f aca="true" t="shared" si="53" ref="S169:S175">Q169*R169</f>
        <v>0</v>
      </c>
      <c r="T169" s="1252"/>
      <c r="U169" s="144"/>
      <c r="V169" s="3" t="s">
        <v>1708</v>
      </c>
      <c r="X169" s="908">
        <f aca="true" t="shared" si="54" ref="X169:X182">(S169+L169)*A169</f>
        <v>0</v>
      </c>
      <c r="Y169" s="917">
        <f t="shared" si="44"/>
        <v>0</v>
      </c>
    </row>
    <row r="170" spans="1:25" ht="12.75">
      <c r="A170" s="36">
        <f aca="true" t="shared" si="55" ref="A170:A178">A169+1</f>
        <v>825</v>
      </c>
      <c r="B170" s="37" t="s">
        <v>847</v>
      </c>
      <c r="C170" s="37"/>
      <c r="D170" s="38" t="s">
        <v>814</v>
      </c>
      <c r="E170" s="757"/>
      <c r="F170" s="60"/>
      <c r="G170" s="1147">
        <f t="shared" si="51"/>
        <v>0</v>
      </c>
      <c r="H170" s="1144"/>
      <c r="I170" s="341" t="s">
        <v>896</v>
      </c>
      <c r="J170" s="343"/>
      <c r="K170" s="103">
        <f>Uitvoerbestand!I146</f>
        <v>127.41000000000001</v>
      </c>
      <c r="L170" s="1235">
        <f t="shared" si="52"/>
        <v>0</v>
      </c>
      <c r="M170" s="1236"/>
      <c r="N170" s="62"/>
      <c r="O170" s="1145"/>
      <c r="P170" s="1259"/>
      <c r="Q170" s="757"/>
      <c r="R170" s="4">
        <v>126.83</v>
      </c>
      <c r="S170" s="1227">
        <f t="shared" si="53"/>
        <v>0</v>
      </c>
      <c r="T170" s="1252"/>
      <c r="U170" s="146"/>
      <c r="V170" s="768" t="s">
        <v>1709</v>
      </c>
      <c r="X170" s="908">
        <f t="shared" si="54"/>
        <v>0</v>
      </c>
      <c r="Y170" s="917">
        <f t="shared" si="44"/>
        <v>0</v>
      </c>
    </row>
    <row r="171" spans="1:25" ht="12.75">
      <c r="A171" s="36">
        <f t="shared" si="55"/>
        <v>826</v>
      </c>
      <c r="B171" s="37" t="s">
        <v>1572</v>
      </c>
      <c r="C171" s="37"/>
      <c r="D171" s="38" t="s">
        <v>815</v>
      </c>
      <c r="E171" s="757"/>
      <c r="F171" s="60"/>
      <c r="G171" s="1147">
        <f t="shared" si="51"/>
        <v>0</v>
      </c>
      <c r="H171" s="1144"/>
      <c r="I171" s="341" t="s">
        <v>222</v>
      </c>
      <c r="J171" s="343"/>
      <c r="K171" s="103">
        <f>Uitvoerbestand!I147</f>
        <v>144.44</v>
      </c>
      <c r="L171" s="1235">
        <f t="shared" si="52"/>
        <v>0</v>
      </c>
      <c r="M171" s="1236"/>
      <c r="N171" s="62"/>
      <c r="O171" s="1145"/>
      <c r="P171" s="1259"/>
      <c r="Q171" s="757"/>
      <c r="R171" s="4">
        <v>143.8</v>
      </c>
      <c r="S171" s="1227">
        <f t="shared" si="53"/>
        <v>0</v>
      </c>
      <c r="T171" s="1252"/>
      <c r="U171" s="146"/>
      <c r="V171" s="3" t="s">
        <v>225</v>
      </c>
      <c r="X171" s="908">
        <f t="shared" si="54"/>
        <v>0</v>
      </c>
      <c r="Y171" s="917">
        <f t="shared" si="44"/>
        <v>0</v>
      </c>
    </row>
    <row r="172" spans="1:53" ht="12.75">
      <c r="A172" s="36">
        <f t="shared" si="55"/>
        <v>827</v>
      </c>
      <c r="B172" s="40" t="s">
        <v>2247</v>
      </c>
      <c r="C172" s="40"/>
      <c r="D172" s="38" t="s">
        <v>2060</v>
      </c>
      <c r="E172" s="757"/>
      <c r="F172" s="61"/>
      <c r="G172" s="1147">
        <f t="shared" si="51"/>
        <v>0</v>
      </c>
      <c r="H172" s="1144"/>
      <c r="I172" s="341" t="s">
        <v>862</v>
      </c>
      <c r="J172" s="343"/>
      <c r="K172" s="103">
        <f>Uitvoerbestand!I148</f>
        <v>1481.26</v>
      </c>
      <c r="L172" s="1235">
        <f t="shared" si="52"/>
        <v>0</v>
      </c>
      <c r="M172" s="1236"/>
      <c r="N172" s="55"/>
      <c r="O172" s="1145"/>
      <c r="P172" s="1259"/>
      <c r="Q172" s="757"/>
      <c r="R172" s="4">
        <v>1474.28</v>
      </c>
      <c r="S172" s="1227">
        <f t="shared" si="53"/>
        <v>0</v>
      </c>
      <c r="T172" s="1144"/>
      <c r="U172" s="147"/>
      <c r="V172" s="3" t="s">
        <v>944</v>
      </c>
      <c r="X172" s="908">
        <f t="shared" si="54"/>
        <v>0</v>
      </c>
      <c r="Y172" s="917">
        <f t="shared" si="44"/>
        <v>0</v>
      </c>
      <c r="AY172" s="456"/>
      <c r="AZ172" s="456"/>
      <c r="BA172" s="456"/>
    </row>
    <row r="173" spans="1:53" ht="12.75">
      <c r="A173" s="36">
        <f t="shared" si="55"/>
        <v>828</v>
      </c>
      <c r="B173" s="40" t="s">
        <v>1573</v>
      </c>
      <c r="C173" s="37"/>
      <c r="D173" s="38" t="s">
        <v>817</v>
      </c>
      <c r="E173" s="757"/>
      <c r="F173" s="60"/>
      <c r="G173" s="1147">
        <f t="shared" si="51"/>
        <v>0</v>
      </c>
      <c r="H173" s="1144"/>
      <c r="I173" s="341" t="s">
        <v>897</v>
      </c>
      <c r="J173" s="343"/>
      <c r="K173" s="103">
        <f>Uitvoerbestand!I149</f>
        <v>75.64</v>
      </c>
      <c r="L173" s="1235">
        <f t="shared" si="52"/>
        <v>0</v>
      </c>
      <c r="M173" s="1236"/>
      <c r="N173" s="62"/>
      <c r="O173" s="1145"/>
      <c r="P173" s="1259"/>
      <c r="Q173" s="757"/>
      <c r="R173" s="761">
        <v>75.29</v>
      </c>
      <c r="S173" s="1227">
        <f t="shared" si="53"/>
        <v>0</v>
      </c>
      <c r="T173" s="1144"/>
      <c r="U173" s="146"/>
      <c r="V173" s="3" t="s">
        <v>2207</v>
      </c>
      <c r="X173" s="908">
        <f t="shared" si="54"/>
        <v>0</v>
      </c>
      <c r="Y173" s="917">
        <f t="shared" si="44"/>
        <v>0</v>
      </c>
      <c r="AY173" s="456"/>
      <c r="AZ173" s="456"/>
      <c r="BA173" s="456"/>
    </row>
    <row r="174" spans="1:53" ht="12.75">
      <c r="A174" s="36">
        <f t="shared" si="55"/>
        <v>829</v>
      </c>
      <c r="B174" s="37" t="s">
        <v>697</v>
      </c>
      <c r="C174" s="37"/>
      <c r="D174" s="38" t="s">
        <v>2059</v>
      </c>
      <c r="E174" s="757"/>
      <c r="F174" s="60"/>
      <c r="G174" s="1147">
        <f aca="true" t="shared" si="56" ref="G174:G180">F174-E174</f>
        <v>0</v>
      </c>
      <c r="H174" s="1144"/>
      <c r="I174" s="341" t="s">
        <v>898</v>
      </c>
      <c r="J174" s="343"/>
      <c r="K174" s="103">
        <f>Uitvoerbestand!I150</f>
        <v>2972.73</v>
      </c>
      <c r="L174" s="1235">
        <f>F174*K174</f>
        <v>0</v>
      </c>
      <c r="M174" s="1236"/>
      <c r="N174" s="62"/>
      <c r="O174" s="1145"/>
      <c r="P174" s="1259"/>
      <c r="Q174" s="757"/>
      <c r="R174" s="4">
        <v>2956.14</v>
      </c>
      <c r="S174" s="1227">
        <f t="shared" si="53"/>
        <v>0</v>
      </c>
      <c r="T174" s="1144"/>
      <c r="U174" s="773"/>
      <c r="V174" s="768" t="s">
        <v>1715</v>
      </c>
      <c r="X174" s="908">
        <f t="shared" si="54"/>
        <v>0</v>
      </c>
      <c r="Y174" s="917">
        <f t="shared" si="44"/>
        <v>0</v>
      </c>
      <c r="AY174" s="456"/>
      <c r="AZ174" s="456"/>
      <c r="BA174" s="456"/>
    </row>
    <row r="175" spans="1:53" ht="12.75">
      <c r="A175" s="36">
        <f t="shared" si="55"/>
        <v>830</v>
      </c>
      <c r="B175" s="37" t="s">
        <v>1574</v>
      </c>
      <c r="C175" s="37"/>
      <c r="D175" s="38" t="s">
        <v>818</v>
      </c>
      <c r="E175" s="757"/>
      <c r="F175" s="60"/>
      <c r="G175" s="1147">
        <f t="shared" si="56"/>
        <v>0</v>
      </c>
      <c r="H175" s="1144"/>
      <c r="I175" s="341" t="s">
        <v>899</v>
      </c>
      <c r="J175" s="343"/>
      <c r="K175" s="103">
        <f>Uitvoerbestand!I151</f>
        <v>7.43</v>
      </c>
      <c r="L175" s="1235">
        <f>F175*K175</f>
        <v>0</v>
      </c>
      <c r="M175" s="1236"/>
      <c r="N175" s="62"/>
      <c r="O175" s="1145"/>
      <c r="P175" s="1259"/>
      <c r="Q175" s="757"/>
      <c r="R175" s="4">
        <v>7.39</v>
      </c>
      <c r="S175" s="1227">
        <f t="shared" si="53"/>
        <v>0</v>
      </c>
      <c r="T175" s="1144"/>
      <c r="U175" s="144"/>
      <c r="V175" s="768" t="s">
        <v>1716</v>
      </c>
      <c r="X175" s="908">
        <f t="shared" si="54"/>
        <v>0</v>
      </c>
      <c r="Y175" s="917">
        <f t="shared" si="44"/>
        <v>0</v>
      </c>
      <c r="AY175" s="456"/>
      <c r="AZ175" s="456"/>
      <c r="BA175" s="456"/>
    </row>
    <row r="176" spans="1:53" ht="12.75">
      <c r="A176" s="36">
        <f t="shared" si="55"/>
        <v>831</v>
      </c>
      <c r="B176" s="37" t="s">
        <v>1762</v>
      </c>
      <c r="C176" s="37"/>
      <c r="D176" s="701" t="s">
        <v>2057</v>
      </c>
      <c r="E176" s="757"/>
      <c r="F176" s="60"/>
      <c r="G176" s="1147">
        <f t="shared" si="56"/>
        <v>0</v>
      </c>
      <c r="H176" s="1144"/>
      <c r="I176" s="347" t="s">
        <v>519</v>
      </c>
      <c r="J176" s="343"/>
      <c r="K176" s="4">
        <f>Uitvoerbestand!I187</f>
        <v>1066</v>
      </c>
      <c r="L176" s="1235">
        <f>F176*K176</f>
        <v>0</v>
      </c>
      <c r="M176" s="1236"/>
      <c r="N176" s="55"/>
      <c r="O176" s="1145"/>
      <c r="P176" s="1393"/>
      <c r="Q176" s="698"/>
      <c r="R176" s="977"/>
      <c r="S176" s="1145"/>
      <c r="T176" s="1259"/>
      <c r="U176" s="145"/>
      <c r="V176" s="3"/>
      <c r="X176" s="908">
        <f t="shared" si="54"/>
        <v>0</v>
      </c>
      <c r="Y176" s="917">
        <f t="shared" si="44"/>
        <v>0</v>
      </c>
      <c r="AY176" s="456"/>
      <c r="AZ176" s="456"/>
      <c r="BA176" s="456"/>
    </row>
    <row r="177" spans="1:53" ht="12.75">
      <c r="A177" s="36">
        <f t="shared" si="55"/>
        <v>832</v>
      </c>
      <c r="B177" s="40" t="s">
        <v>686</v>
      </c>
      <c r="C177" s="40"/>
      <c r="D177" s="41"/>
      <c r="E177" s="757"/>
      <c r="F177" s="168">
        <f>E177</f>
        <v>0</v>
      </c>
      <c r="G177" s="1227">
        <f t="shared" si="56"/>
        <v>0</v>
      </c>
      <c r="H177" s="1144"/>
      <c r="I177" s="347" t="s">
        <v>696</v>
      </c>
      <c r="J177" s="343"/>
      <c r="K177" s="398"/>
      <c r="L177" s="1235">
        <f aca="true" t="shared" si="57" ref="L177:L182">F177</f>
        <v>0</v>
      </c>
      <c r="M177" s="1144"/>
      <c r="N177" s="55"/>
      <c r="O177" s="978"/>
      <c r="P177" s="979"/>
      <c r="Q177" s="979"/>
      <c r="R177" s="980"/>
      <c r="S177" s="1145"/>
      <c r="T177" s="1259"/>
      <c r="U177" s="147"/>
      <c r="V177" s="67" t="s">
        <v>696</v>
      </c>
      <c r="X177" s="908">
        <f t="shared" si="54"/>
        <v>0</v>
      </c>
      <c r="Y177" s="917">
        <f aca="true" t="shared" si="58" ref="Y177:Y182">E177</f>
        <v>0</v>
      </c>
      <c r="AY177" s="456"/>
      <c r="AZ177" s="456"/>
      <c r="BA177" s="456"/>
    </row>
    <row r="178" spans="1:53" ht="12.75">
      <c r="A178" s="36">
        <f t="shared" si="55"/>
        <v>833</v>
      </c>
      <c r="B178" s="46" t="s">
        <v>1257</v>
      </c>
      <c r="C178" s="37"/>
      <c r="D178" s="38"/>
      <c r="E178" s="757"/>
      <c r="F178" s="168">
        <f>individuele_prijsafspraken!P49</f>
        <v>0</v>
      </c>
      <c r="G178" s="1147">
        <f t="shared" si="56"/>
        <v>0</v>
      </c>
      <c r="H178" s="1144"/>
      <c r="I178" s="347" t="s">
        <v>1815</v>
      </c>
      <c r="J178" s="343"/>
      <c r="K178" s="398"/>
      <c r="L178" s="1235">
        <f t="shared" si="57"/>
        <v>0</v>
      </c>
      <c r="M178" s="1236"/>
      <c r="N178" s="55"/>
      <c r="O178" s="978"/>
      <c r="P178" s="979"/>
      <c r="Q178" s="979"/>
      <c r="R178" s="980"/>
      <c r="S178" s="1145"/>
      <c r="T178" s="1259"/>
      <c r="U178" s="147"/>
      <c r="V178" s="67" t="s">
        <v>1815</v>
      </c>
      <c r="X178" s="908">
        <f t="shared" si="54"/>
        <v>0</v>
      </c>
      <c r="Y178" s="917">
        <f t="shared" si="58"/>
        <v>0</v>
      </c>
      <c r="AY178" s="456"/>
      <c r="AZ178" s="456"/>
      <c r="BA178" s="456"/>
    </row>
    <row r="179" spans="1:53" ht="12.75">
      <c r="A179" s="36">
        <f>A178+1</f>
        <v>834</v>
      </c>
      <c r="B179" s="107" t="s">
        <v>2281</v>
      </c>
      <c r="C179" s="37"/>
      <c r="D179" s="38"/>
      <c r="E179" s="757"/>
      <c r="F179" s="168"/>
      <c r="G179" s="1147">
        <f t="shared" si="56"/>
        <v>0</v>
      </c>
      <c r="H179" s="1144"/>
      <c r="I179" s="347" t="s">
        <v>1827</v>
      </c>
      <c r="J179" s="343"/>
      <c r="K179" s="398"/>
      <c r="L179" s="1235">
        <f t="shared" si="57"/>
        <v>0</v>
      </c>
      <c r="M179" s="1236"/>
      <c r="N179" s="55"/>
      <c r="O179" s="984"/>
      <c r="P179" s="985"/>
      <c r="Q179" s="985"/>
      <c r="R179" s="985"/>
      <c r="S179" s="1394"/>
      <c r="T179" s="1395"/>
      <c r="U179" s="147"/>
      <c r="V179" s="67"/>
      <c r="X179" s="908">
        <f>(S179+L179+E179)*A179</f>
        <v>0</v>
      </c>
      <c r="Y179" s="917">
        <f t="shared" si="58"/>
        <v>0</v>
      </c>
      <c r="AY179" s="456"/>
      <c r="AZ179" s="456"/>
      <c r="BA179" s="456"/>
    </row>
    <row r="180" spans="1:53" ht="12.75">
      <c r="A180" s="36">
        <f>A179+1</f>
        <v>835</v>
      </c>
      <c r="B180" s="107" t="s">
        <v>2282</v>
      </c>
      <c r="C180" s="339"/>
      <c r="D180" s="387"/>
      <c r="E180" s="757"/>
      <c r="F180" s="168"/>
      <c r="G180" s="1147">
        <f t="shared" si="56"/>
        <v>0</v>
      </c>
      <c r="H180" s="1144"/>
      <c r="I180" s="347" t="s">
        <v>2283</v>
      </c>
      <c r="J180" s="343"/>
      <c r="L180" s="1235">
        <f t="shared" si="57"/>
        <v>0</v>
      </c>
      <c r="M180" s="1236"/>
      <c r="O180" s="986"/>
      <c r="P180" s="534"/>
      <c r="Q180" s="534"/>
      <c r="R180" s="673"/>
      <c r="S180" s="1396"/>
      <c r="T180" s="1324"/>
      <c r="U180" s="147"/>
      <c r="X180" s="908">
        <f>(S180+L180+E180)*A180</f>
        <v>0</v>
      </c>
      <c r="Y180" s="917">
        <f t="shared" si="58"/>
        <v>0</v>
      </c>
      <c r="AY180" s="456"/>
      <c r="AZ180" s="456"/>
      <c r="BA180" s="456"/>
    </row>
    <row r="181" spans="1:53" ht="12.75">
      <c r="A181" s="36">
        <f>A180+1</f>
        <v>836</v>
      </c>
      <c r="B181" s="40" t="s">
        <v>921</v>
      </c>
      <c r="C181" s="40"/>
      <c r="D181" s="41"/>
      <c r="E181" s="757"/>
      <c r="F181" s="168">
        <f>E181</f>
        <v>0</v>
      </c>
      <c r="G181" s="1336">
        <f t="shared" si="51"/>
        <v>0</v>
      </c>
      <c r="H181" s="1337"/>
      <c r="I181" s="347" t="s">
        <v>1746</v>
      </c>
      <c r="J181" s="343"/>
      <c r="K181" s="398"/>
      <c r="L181" s="1235">
        <f t="shared" si="57"/>
        <v>0</v>
      </c>
      <c r="M181" s="1236"/>
      <c r="N181" s="55"/>
      <c r="O181" s="978"/>
      <c r="P181" s="979"/>
      <c r="Q181" s="979"/>
      <c r="R181" s="980"/>
      <c r="S181" s="1145"/>
      <c r="T181" s="1259"/>
      <c r="U181" s="147"/>
      <c r="V181" s="67" t="s">
        <v>1746</v>
      </c>
      <c r="X181" s="908">
        <f t="shared" si="54"/>
        <v>0</v>
      </c>
      <c r="Y181" s="917">
        <f t="shared" si="58"/>
        <v>0</v>
      </c>
      <c r="AY181" s="456"/>
      <c r="AZ181" s="456"/>
      <c r="BA181" s="456"/>
    </row>
    <row r="182" spans="1:53" ht="12.75">
      <c r="A182" s="36">
        <f>A181+1</f>
        <v>837</v>
      </c>
      <c r="B182" s="40" t="s">
        <v>1240</v>
      </c>
      <c r="C182" s="40"/>
      <c r="D182" s="41"/>
      <c r="E182" s="757"/>
      <c r="F182" s="401">
        <f>E182</f>
        <v>0</v>
      </c>
      <c r="G182" s="1336">
        <f t="shared" si="51"/>
        <v>0</v>
      </c>
      <c r="H182" s="1337"/>
      <c r="I182" s="347" t="s">
        <v>1747</v>
      </c>
      <c r="J182" s="343"/>
      <c r="K182" s="398"/>
      <c r="L182" s="1235">
        <f t="shared" si="57"/>
        <v>0</v>
      </c>
      <c r="M182" s="1236"/>
      <c r="N182" s="55"/>
      <c r="O182" s="1399"/>
      <c r="P182" s="1400"/>
      <c r="Q182" s="979"/>
      <c r="R182" s="980"/>
      <c r="S182" s="1145"/>
      <c r="T182" s="1259"/>
      <c r="U182" s="147"/>
      <c r="V182" s="67" t="s">
        <v>1747</v>
      </c>
      <c r="X182" s="908">
        <f t="shared" si="54"/>
        <v>0</v>
      </c>
      <c r="Y182" s="917">
        <f t="shared" si="58"/>
        <v>0</v>
      </c>
      <c r="AY182" s="456"/>
      <c r="AZ182" s="456"/>
      <c r="BA182" s="456"/>
    </row>
    <row r="183" spans="1:53" ht="12.75">
      <c r="A183" s="36">
        <f>A182+1</f>
        <v>838</v>
      </c>
      <c r="B183" s="42" t="s">
        <v>223</v>
      </c>
      <c r="C183" s="42"/>
      <c r="D183" s="42"/>
      <c r="E183" s="42"/>
      <c r="F183" s="42"/>
      <c r="G183" s="42"/>
      <c r="H183" s="42"/>
      <c r="I183" s="348"/>
      <c r="J183" s="343"/>
      <c r="K183" s="42"/>
      <c r="L183" s="1149">
        <f>SUM(L168:M182)</f>
        <v>0</v>
      </c>
      <c r="M183" s="1236"/>
      <c r="N183" s="54"/>
      <c r="O183" s="42"/>
      <c r="P183" s="42"/>
      <c r="Q183" s="42"/>
      <c r="R183" s="42"/>
      <c r="S183" s="1261">
        <f>SUM(S168:T182)</f>
        <v>0</v>
      </c>
      <c r="T183" s="1324"/>
      <c r="U183" s="147"/>
      <c r="V183" s="3"/>
      <c r="Z183">
        <f>SUM(Y169:Y182)</f>
        <v>0</v>
      </c>
      <c r="AY183" s="456"/>
      <c r="AZ183" s="456"/>
      <c r="BA183" s="456"/>
    </row>
    <row r="184" spans="1:53" ht="12.75">
      <c r="A184" s="11"/>
      <c r="B184" s="24"/>
      <c r="C184" s="24"/>
      <c r="D184" s="24"/>
      <c r="E184" s="24"/>
      <c r="F184" s="24"/>
      <c r="G184" s="24"/>
      <c r="H184" s="24"/>
      <c r="I184" s="348"/>
      <c r="J184" s="343"/>
      <c r="K184" s="24"/>
      <c r="L184" s="122"/>
      <c r="M184" s="384"/>
      <c r="N184" s="54"/>
      <c r="O184" s="24"/>
      <c r="P184" s="24"/>
      <c r="Q184" s="24"/>
      <c r="R184" s="24"/>
      <c r="S184" s="122"/>
      <c r="T184" s="86"/>
      <c r="U184" s="147"/>
      <c r="V184" s="3"/>
      <c r="AY184" s="456"/>
      <c r="AZ184" s="456"/>
      <c r="BA184" s="456"/>
    </row>
    <row r="185" spans="1:53" ht="12.75">
      <c r="A185" s="22" t="s">
        <v>232</v>
      </c>
      <c r="B185" t="s">
        <v>1137</v>
      </c>
      <c r="C185" s="24"/>
      <c r="D185" s="30"/>
      <c r="E185" s="26" t="s">
        <v>224</v>
      </c>
      <c r="F185" s="26" t="str">
        <f>F7</f>
        <v>Mutatie</v>
      </c>
      <c r="G185" s="1338" t="s">
        <v>221</v>
      </c>
      <c r="H185" s="1339"/>
      <c r="I185" s="349"/>
      <c r="J185" s="343"/>
      <c r="K185" s="1387" t="str">
        <f>CONCATENATE("Budget ",$E$8)</f>
        <v>Budget 2006</v>
      </c>
      <c r="L185" s="1388"/>
      <c r="M185" s="1389"/>
      <c r="N185" s="30"/>
      <c r="P185" s="1397" t="s">
        <v>632</v>
      </c>
      <c r="Q185" s="1398"/>
      <c r="R185" s="1398"/>
      <c r="S185" s="1144"/>
      <c r="T185" s="342"/>
      <c r="U185" s="152"/>
      <c r="V185" s="3"/>
      <c r="W185" s="133"/>
      <c r="X185" s="909"/>
      <c r="AA185" s="133"/>
      <c r="AB185" s="133"/>
      <c r="AY185" s="456"/>
      <c r="AZ185" s="456"/>
      <c r="BA185" s="456"/>
    </row>
    <row r="186" spans="1:53" ht="12.75">
      <c r="A186" s="28"/>
      <c r="B186" s="29"/>
      <c r="C186" s="30"/>
      <c r="D186" s="30"/>
      <c r="E186" s="31">
        <f>$E$8</f>
        <v>2006</v>
      </c>
      <c r="F186" s="31">
        <f>$E$8</f>
        <v>2006</v>
      </c>
      <c r="G186" s="1250"/>
      <c r="H186" s="1251"/>
      <c r="I186" s="349"/>
      <c r="J186" s="343"/>
      <c r="K186" s="302" t="s">
        <v>233</v>
      </c>
      <c r="L186" s="1380" t="s">
        <v>234</v>
      </c>
      <c r="M186" s="1392"/>
      <c r="N186" s="30"/>
      <c r="O186" s="368"/>
      <c r="P186" s="687"/>
      <c r="Q186" s="303" t="s">
        <v>915</v>
      </c>
      <c r="R186" s="303" t="s">
        <v>916</v>
      </c>
      <c r="S186" s="688"/>
      <c r="T186" s="369"/>
      <c r="U186" s="152"/>
      <c r="V186" s="3"/>
      <c r="W186" s="133"/>
      <c r="X186" s="909"/>
      <c r="AA186" s="133"/>
      <c r="AB186" s="133"/>
      <c r="AY186" s="456"/>
      <c r="AZ186" s="456"/>
      <c r="BA186" s="456"/>
    </row>
    <row r="187" spans="1:53" ht="12.75">
      <c r="A187" s="28"/>
      <c r="B187" s="29"/>
      <c r="C187" s="30"/>
      <c r="D187" s="30"/>
      <c r="E187" s="27" t="s">
        <v>910</v>
      </c>
      <c r="F187" s="27" t="s">
        <v>911</v>
      </c>
      <c r="G187" s="1340" t="s">
        <v>912</v>
      </c>
      <c r="H187" s="1340"/>
      <c r="I187" s="346"/>
      <c r="J187" s="343"/>
      <c r="K187" s="303" t="s">
        <v>913</v>
      </c>
      <c r="L187" s="1340" t="s">
        <v>914</v>
      </c>
      <c r="M187" s="1340"/>
      <c r="N187" s="30"/>
      <c r="O187" s="368"/>
      <c r="P187" s="442" t="s">
        <v>2308</v>
      </c>
      <c r="Q187" s="442" t="s">
        <v>2305</v>
      </c>
      <c r="R187" s="1512" t="s">
        <v>945</v>
      </c>
      <c r="S187" s="1513"/>
      <c r="T187" s="369"/>
      <c r="U187" s="152"/>
      <c r="V187" s="3"/>
      <c r="W187" s="133"/>
      <c r="X187" s="909"/>
      <c r="AA187" s="268"/>
      <c r="AB187" s="133"/>
      <c r="AY187" s="456"/>
      <c r="AZ187" s="456"/>
      <c r="BA187" s="456"/>
    </row>
    <row r="188" spans="1:53" ht="12.75">
      <c r="A188" s="22"/>
      <c r="B188" s="23" t="s">
        <v>60</v>
      </c>
      <c r="C188" s="24"/>
      <c r="D188" s="23"/>
      <c r="E188" s="34"/>
      <c r="F188" s="23"/>
      <c r="G188" s="23"/>
      <c r="H188" s="23"/>
      <c r="I188" s="346"/>
      <c r="J188" s="343"/>
      <c r="K188" s="1076" t="str">
        <f>K10</f>
        <v>Incl. voorl. index 2006</v>
      </c>
      <c r="L188" s="268"/>
      <c r="M188" s="23"/>
      <c r="N188" s="24"/>
      <c r="O188" s="71"/>
      <c r="P188" s="443" t="s">
        <v>2309</v>
      </c>
      <c r="Q188" s="443" t="s">
        <v>2306</v>
      </c>
      <c r="R188" s="1514" t="s">
        <v>2307</v>
      </c>
      <c r="S188" s="1515"/>
      <c r="U188" s="152"/>
      <c r="V188" s="3"/>
      <c r="W188" s="133"/>
      <c r="X188" s="909"/>
      <c r="AA188" s="133"/>
      <c r="AB188" s="133"/>
      <c r="AY188" s="456"/>
      <c r="AZ188" s="456"/>
      <c r="BA188" s="456"/>
    </row>
    <row r="189" spans="1:53" ht="12.75">
      <c r="A189" s="36">
        <v>901</v>
      </c>
      <c r="B189" s="37" t="s">
        <v>906</v>
      </c>
      <c r="C189" s="37"/>
      <c r="D189" s="37"/>
      <c r="E189" s="757"/>
      <c r="F189" s="60"/>
      <c r="G189" s="1147">
        <f aca="true" t="shared" si="59" ref="G189:G202">F189-E189</f>
        <v>0</v>
      </c>
      <c r="H189" s="1234"/>
      <c r="I189" s="347" t="s">
        <v>2172</v>
      </c>
      <c r="J189" s="343"/>
      <c r="K189" s="304">
        <f>Uitvoerbestand!I154</f>
        <v>19851.71</v>
      </c>
      <c r="L189" s="1235">
        <f aca="true" t="shared" si="60" ref="L189:L197">F189*K189</f>
        <v>0</v>
      </c>
      <c r="M189" s="1236"/>
      <c r="N189" s="56"/>
      <c r="O189" s="367"/>
      <c r="P189" s="444">
        <v>98.3</v>
      </c>
      <c r="Q189" s="501">
        <f>F17/(365*0.983)</f>
        <v>0</v>
      </c>
      <c r="R189" s="1341">
        <f>((O17+Q17)*1.06)/(2*365)</f>
        <v>0</v>
      </c>
      <c r="S189" s="1342"/>
      <c r="U189" s="152"/>
      <c r="V189" s="3"/>
      <c r="W189" s="6"/>
      <c r="X189" s="909">
        <f>L189*A189</f>
        <v>0</v>
      </c>
      <c r="Y189" s="917">
        <f t="shared" si="44"/>
        <v>0</v>
      </c>
      <c r="AA189" s="133"/>
      <c r="AB189" s="133"/>
      <c r="AY189" s="456"/>
      <c r="AZ189" s="456"/>
      <c r="BA189" s="456"/>
    </row>
    <row r="190" spans="1:53" ht="12.75">
      <c r="A190" s="36">
        <f aca="true" t="shared" si="61" ref="A190:A203">A189+1</f>
        <v>902</v>
      </c>
      <c r="B190" s="37" t="s">
        <v>1513</v>
      </c>
      <c r="C190" s="37"/>
      <c r="D190" s="37"/>
      <c r="E190" s="757"/>
      <c r="F190" s="60"/>
      <c r="G190" s="1147">
        <f t="shared" si="59"/>
        <v>0</v>
      </c>
      <c r="H190" s="1234"/>
      <c r="I190" s="347" t="s">
        <v>1517</v>
      </c>
      <c r="J190" s="343"/>
      <c r="K190" s="304">
        <f>Uitvoerbestand!I155</f>
        <v>51849.89</v>
      </c>
      <c r="L190" s="1235">
        <f t="shared" si="60"/>
        <v>0</v>
      </c>
      <c r="M190" s="1257"/>
      <c r="N190" s="90"/>
      <c r="O190" s="367"/>
      <c r="P190" s="1404">
        <v>98.1</v>
      </c>
      <c r="Q190" s="1401">
        <f>(F26-F25)/(365*0.981)</f>
        <v>0</v>
      </c>
      <c r="R190" s="1228">
        <f>((SUM(O19:P24)+SUM(Q19:Q24))*1.06)/(2*365)</f>
        <v>0</v>
      </c>
      <c r="S190" s="1407"/>
      <c r="U190" s="152"/>
      <c r="V190" s="3"/>
      <c r="W190" s="6"/>
      <c r="X190" s="909">
        <f aca="true" t="shared" si="62" ref="X190:X199">L190*A190</f>
        <v>0</v>
      </c>
      <c r="Y190" s="917">
        <f t="shared" si="44"/>
        <v>0</v>
      </c>
      <c r="AA190" s="133"/>
      <c r="AB190" s="133"/>
      <c r="AY190" s="456"/>
      <c r="AZ190" s="456"/>
      <c r="BA190" s="456"/>
    </row>
    <row r="191" spans="1:53" ht="12.75">
      <c r="A191" s="36">
        <f t="shared" si="61"/>
        <v>903</v>
      </c>
      <c r="B191" s="37" t="s">
        <v>1726</v>
      </c>
      <c r="C191" s="37"/>
      <c r="D191" s="37"/>
      <c r="E191" s="757"/>
      <c r="F191" s="60"/>
      <c r="G191" s="1147">
        <f t="shared" si="59"/>
        <v>0</v>
      </c>
      <c r="H191" s="1234"/>
      <c r="I191" s="347" t="s">
        <v>1518</v>
      </c>
      <c r="J191" s="343"/>
      <c r="K191" s="304">
        <f>Uitvoerbestand!I156</f>
        <v>27794.370000000003</v>
      </c>
      <c r="L191" s="1235">
        <f t="shared" si="60"/>
        <v>0</v>
      </c>
      <c r="M191" s="1257"/>
      <c r="N191" s="90"/>
      <c r="O191" s="367"/>
      <c r="P191" s="1405"/>
      <c r="Q191" s="1402"/>
      <c r="R191" s="1408"/>
      <c r="S191" s="1409"/>
      <c r="T191" s="381" t="s">
        <v>935</v>
      </c>
      <c r="U191" s="152"/>
      <c r="V191" s="3"/>
      <c r="W191" s="6"/>
      <c r="X191" s="909">
        <f t="shared" si="62"/>
        <v>0</v>
      </c>
      <c r="Y191" s="917">
        <f t="shared" si="44"/>
        <v>0</v>
      </c>
      <c r="AA191" s="133"/>
      <c r="AB191" s="133"/>
      <c r="AY191" s="456"/>
      <c r="AZ191" s="456"/>
      <c r="BA191" s="456"/>
    </row>
    <row r="192" spans="1:53" ht="12.75">
      <c r="A192" s="36">
        <f t="shared" si="61"/>
        <v>904</v>
      </c>
      <c r="B192" s="37" t="s">
        <v>907</v>
      </c>
      <c r="C192" s="37"/>
      <c r="D192" s="37"/>
      <c r="E192" s="757"/>
      <c r="F192" s="60"/>
      <c r="G192" s="1147">
        <f t="shared" si="59"/>
        <v>0</v>
      </c>
      <c r="H192" s="1234"/>
      <c r="I192" s="347" t="s">
        <v>1519</v>
      </c>
      <c r="J192" s="343"/>
      <c r="K192" s="304">
        <f>Uitvoerbestand!I157</f>
        <v>21306.81</v>
      </c>
      <c r="L192" s="1235">
        <f t="shared" si="60"/>
        <v>0</v>
      </c>
      <c r="M192" s="1257"/>
      <c r="N192" s="90"/>
      <c r="O192" s="367"/>
      <c r="P192" s="1406"/>
      <c r="Q192" s="1403"/>
      <c r="R192" s="1410"/>
      <c r="S192" s="1411"/>
      <c r="T192" s="381"/>
      <c r="U192" s="152"/>
      <c r="V192" s="3"/>
      <c r="W192" s="6"/>
      <c r="X192" s="909">
        <f t="shared" si="62"/>
        <v>0</v>
      </c>
      <c r="Y192" s="917">
        <f t="shared" si="44"/>
        <v>0</v>
      </c>
      <c r="AA192" s="133"/>
      <c r="AB192" s="133"/>
      <c r="AY192" s="456"/>
      <c r="AZ192" s="456"/>
      <c r="BA192" s="456"/>
    </row>
    <row r="193" spans="1:53" ht="12.75">
      <c r="A193" s="36">
        <f t="shared" si="61"/>
        <v>905</v>
      </c>
      <c r="B193" s="37" t="s">
        <v>1730</v>
      </c>
      <c r="C193" s="37"/>
      <c r="D193" s="37"/>
      <c r="E193" s="757"/>
      <c r="F193" s="60"/>
      <c r="G193" s="1147">
        <f t="shared" si="59"/>
        <v>0</v>
      </c>
      <c r="H193" s="1234"/>
      <c r="I193" s="347" t="s">
        <v>1731</v>
      </c>
      <c r="J193" s="343"/>
      <c r="K193" s="304">
        <f>Uitvoerbestand!I158</f>
        <v>12065.59</v>
      </c>
      <c r="L193" s="1235">
        <f t="shared" si="60"/>
        <v>0</v>
      </c>
      <c r="M193" s="1257"/>
      <c r="N193" s="90"/>
      <c r="O193" s="367"/>
      <c r="P193" s="444">
        <v>98.1</v>
      </c>
      <c r="Q193" s="501">
        <f>F25/(200*0.981)</f>
        <v>0</v>
      </c>
      <c r="R193" s="1341">
        <f>(Q25*1.06)/200</f>
        <v>0</v>
      </c>
      <c r="S193" s="1342"/>
      <c r="T193" s="381"/>
      <c r="U193" s="152"/>
      <c r="V193" s="3"/>
      <c r="W193" s="6"/>
      <c r="X193" s="909">
        <f t="shared" si="62"/>
        <v>0</v>
      </c>
      <c r="Y193" s="917">
        <f t="shared" si="44"/>
        <v>0</v>
      </c>
      <c r="AA193" s="133"/>
      <c r="AB193" s="133"/>
      <c r="AY193" s="456"/>
      <c r="AZ193" s="456"/>
      <c r="BA193" s="456"/>
    </row>
    <row r="194" spans="1:53" ht="12.75">
      <c r="A194" s="36">
        <f t="shared" si="61"/>
        <v>906</v>
      </c>
      <c r="B194" s="37" t="s">
        <v>920</v>
      </c>
      <c r="C194" s="37"/>
      <c r="D194" s="37"/>
      <c r="E194" s="757">
        <v>0</v>
      </c>
      <c r="F194" s="60"/>
      <c r="G194" s="1147">
        <f>F194-E194</f>
        <v>0</v>
      </c>
      <c r="H194" s="1234"/>
      <c r="I194" s="347" t="s">
        <v>1525</v>
      </c>
      <c r="J194" s="343"/>
      <c r="K194" s="304">
        <f>Uitvoerbestand!I159</f>
        <v>18456.47</v>
      </c>
      <c r="L194" s="1235">
        <f>F194*K194</f>
        <v>0</v>
      </c>
      <c r="M194" s="1257"/>
      <c r="N194" s="90"/>
      <c r="O194" s="367"/>
      <c r="P194" s="444">
        <v>97</v>
      </c>
      <c r="Q194" s="501">
        <f>(F37-F31)/(365*0.97)</f>
        <v>0</v>
      </c>
      <c r="R194" s="1341">
        <f>((O37-O31+Q37-Q31)*1.06)/(2*365)</f>
        <v>0</v>
      </c>
      <c r="S194" s="1342"/>
      <c r="T194" s="381"/>
      <c r="U194" s="152"/>
      <c r="V194" s="3"/>
      <c r="W194" s="6"/>
      <c r="X194" s="909">
        <f t="shared" si="62"/>
        <v>0</v>
      </c>
      <c r="Y194" s="917">
        <f t="shared" si="44"/>
        <v>0</v>
      </c>
      <c r="AA194" s="133"/>
      <c r="AB194" s="133"/>
      <c r="AY194" s="456"/>
      <c r="AZ194" s="456"/>
      <c r="BA194" s="456"/>
    </row>
    <row r="195" spans="1:53" ht="12.75">
      <c r="A195" s="36">
        <f t="shared" si="61"/>
        <v>907</v>
      </c>
      <c r="B195" s="37" t="s">
        <v>1514</v>
      </c>
      <c r="C195" s="37"/>
      <c r="D195" s="37"/>
      <c r="E195" s="757"/>
      <c r="F195" s="60"/>
      <c r="G195" s="1147">
        <f>F195-E195</f>
        <v>0</v>
      </c>
      <c r="H195" s="1234"/>
      <c r="I195" s="347" t="s">
        <v>1524</v>
      </c>
      <c r="J195" s="343"/>
      <c r="K195" s="304">
        <f>Uitvoerbestand!I160</f>
        <v>17594.52</v>
      </c>
      <c r="L195" s="1235">
        <f>F195*K195</f>
        <v>0</v>
      </c>
      <c r="M195" s="1257"/>
      <c r="N195" s="90"/>
      <c r="O195" s="367"/>
      <c r="P195" s="444">
        <v>97</v>
      </c>
      <c r="Q195" s="501">
        <f>F31/(365*0.97)</f>
        <v>0</v>
      </c>
      <c r="R195" s="1341">
        <f>((O31+Q31)*1.06)/(2*365)</f>
        <v>0</v>
      </c>
      <c r="S195" s="1342"/>
      <c r="U195" s="152"/>
      <c r="V195" s="3"/>
      <c r="W195" s="6"/>
      <c r="X195" s="909">
        <f t="shared" si="62"/>
        <v>0</v>
      </c>
      <c r="Y195" s="917">
        <f t="shared" si="44"/>
        <v>0</v>
      </c>
      <c r="AA195" s="133"/>
      <c r="AB195" s="133"/>
      <c r="AY195" s="456"/>
      <c r="AZ195" s="456"/>
      <c r="BA195" s="456"/>
    </row>
    <row r="196" spans="1:53" ht="12.75">
      <c r="A196" s="36">
        <f t="shared" si="61"/>
        <v>908</v>
      </c>
      <c r="B196" s="37" t="s">
        <v>2166</v>
      </c>
      <c r="C196" s="37"/>
      <c r="D196" s="37"/>
      <c r="E196" s="757"/>
      <c r="F196" s="60"/>
      <c r="G196" s="1147">
        <f t="shared" si="59"/>
        <v>0</v>
      </c>
      <c r="H196" s="1234"/>
      <c r="I196" s="347" t="s">
        <v>1522</v>
      </c>
      <c r="J196" s="343"/>
      <c r="K196" s="304">
        <f>Uitvoerbestand!I161</f>
        <v>39362.939999999995</v>
      </c>
      <c r="L196" s="1235">
        <f t="shared" si="60"/>
        <v>0</v>
      </c>
      <c r="M196" s="1257"/>
      <c r="N196" s="90"/>
      <c r="O196" s="367"/>
      <c r="P196" s="1472">
        <v>100</v>
      </c>
      <c r="Q196" s="1401">
        <f>SUM(F41:F44)/365</f>
        <v>0</v>
      </c>
      <c r="R196" s="1228">
        <f>((SUM(O41:P44)+SUM(Q41:Q44))*1.06)/(2*365)</f>
        <v>0</v>
      </c>
      <c r="S196" s="1229"/>
      <c r="T196" s="1379" t="s">
        <v>216</v>
      </c>
      <c r="U196" s="152"/>
      <c r="V196" s="3"/>
      <c r="W196" s="133"/>
      <c r="X196" s="909">
        <f t="shared" si="62"/>
        <v>0</v>
      </c>
      <c r="Y196" s="917">
        <f t="shared" si="44"/>
        <v>0</v>
      </c>
      <c r="AA196" s="133"/>
      <c r="AB196" s="133"/>
      <c r="AY196" s="456"/>
      <c r="AZ196" s="456"/>
      <c r="BA196" s="456"/>
    </row>
    <row r="197" spans="1:53" ht="12.75">
      <c r="A197" s="36">
        <f t="shared" si="61"/>
        <v>909</v>
      </c>
      <c r="B197" s="37" t="s">
        <v>2167</v>
      </c>
      <c r="C197" s="37"/>
      <c r="D197" s="37"/>
      <c r="E197" s="757"/>
      <c r="F197" s="60"/>
      <c r="G197" s="1147">
        <f t="shared" si="59"/>
        <v>0</v>
      </c>
      <c r="H197" s="1234"/>
      <c r="I197" s="347" t="s">
        <v>1523</v>
      </c>
      <c r="J197" s="343"/>
      <c r="K197" s="304">
        <f>Uitvoerbestand!I162</f>
        <v>27625.989999999998</v>
      </c>
      <c r="L197" s="1235">
        <f t="shared" si="60"/>
        <v>0</v>
      </c>
      <c r="M197" s="1257"/>
      <c r="N197" s="90"/>
      <c r="O197" s="367"/>
      <c r="P197" s="1473"/>
      <c r="Q197" s="1516"/>
      <c r="R197" s="1517"/>
      <c r="S197" s="1518"/>
      <c r="T197" s="1379"/>
      <c r="U197" s="152"/>
      <c r="V197" s="3"/>
      <c r="W197" s="133"/>
      <c r="X197" s="909">
        <f t="shared" si="62"/>
        <v>0</v>
      </c>
      <c r="Y197" s="917">
        <f t="shared" si="44"/>
        <v>0</v>
      </c>
      <c r="AA197" s="133"/>
      <c r="AB197" s="133"/>
      <c r="AY197" s="456"/>
      <c r="AZ197" s="456"/>
      <c r="BA197" s="456"/>
    </row>
    <row r="198" spans="1:53" ht="12.75">
      <c r="A198" s="36">
        <f t="shared" si="61"/>
        <v>910</v>
      </c>
      <c r="B198" s="37" t="s">
        <v>1515</v>
      </c>
      <c r="C198" s="37"/>
      <c r="D198" s="37"/>
      <c r="E198" s="757"/>
      <c r="F198" s="60"/>
      <c r="G198" s="1147">
        <f>F198-E198</f>
        <v>0</v>
      </c>
      <c r="H198" s="1234"/>
      <c r="I198" s="347" t="s">
        <v>1521</v>
      </c>
      <c r="J198" s="343"/>
      <c r="K198" s="304">
        <f>Uitvoerbestand!I163</f>
        <v>23802.35</v>
      </c>
      <c r="L198" s="1235">
        <f>F198*K198</f>
        <v>0</v>
      </c>
      <c r="M198" s="1257"/>
      <c r="N198" s="90"/>
      <c r="O198" s="367"/>
      <c r="P198" s="702">
        <v>100</v>
      </c>
      <c r="Q198" s="501">
        <f>(F40+F39)/365</f>
        <v>0</v>
      </c>
      <c r="R198" s="1341">
        <f>((O40+O39+Q40+Q39)*1.06)/(2*365)</f>
        <v>0</v>
      </c>
      <c r="S198" s="1342"/>
      <c r="T198" s="381"/>
      <c r="U198" s="152"/>
      <c r="V198" s="3"/>
      <c r="W198" s="133"/>
      <c r="X198" s="909">
        <f t="shared" si="62"/>
        <v>0</v>
      </c>
      <c r="Y198" s="917">
        <f t="shared" si="44"/>
        <v>0</v>
      </c>
      <c r="AA198" s="133"/>
      <c r="AB198" s="133"/>
      <c r="AY198" s="456"/>
      <c r="AZ198" s="456"/>
      <c r="BA198" s="456"/>
    </row>
    <row r="199" spans="1:53" ht="12.75">
      <c r="A199" s="36">
        <f t="shared" si="61"/>
        <v>911</v>
      </c>
      <c r="B199" s="37" t="s">
        <v>1516</v>
      </c>
      <c r="C199" s="37"/>
      <c r="D199" s="37"/>
      <c r="E199" s="757"/>
      <c r="F199" s="60"/>
      <c r="G199" s="1147">
        <f>F199-E199</f>
        <v>0</v>
      </c>
      <c r="H199" s="1234"/>
      <c r="I199" s="347" t="s">
        <v>1520</v>
      </c>
      <c r="J199" s="343"/>
      <c r="K199" s="304">
        <f>Uitvoerbestand!I164</f>
        <v>52730.91</v>
      </c>
      <c r="L199" s="1235">
        <f>F199*K199</f>
        <v>0</v>
      </c>
      <c r="M199" s="1257"/>
      <c r="N199" s="90"/>
      <c r="O199" s="367"/>
      <c r="P199" s="702">
        <v>100</v>
      </c>
      <c r="Q199" s="501">
        <f>F51/365</f>
        <v>0</v>
      </c>
      <c r="R199" s="1341">
        <f>((O51+Q51)*1.06)/(2*365)</f>
        <v>0</v>
      </c>
      <c r="S199" s="1342"/>
      <c r="T199" s="381"/>
      <c r="U199" s="152"/>
      <c r="V199" s="3"/>
      <c r="W199" s="133"/>
      <c r="X199" s="909">
        <f t="shared" si="62"/>
        <v>0</v>
      </c>
      <c r="Y199" s="917">
        <f t="shared" si="44"/>
        <v>0</v>
      </c>
      <c r="AA199" s="133"/>
      <c r="AB199" s="133"/>
      <c r="AY199" s="456"/>
      <c r="AZ199" s="456"/>
      <c r="BA199" s="456"/>
    </row>
    <row r="200" spans="1:53" ht="12.75">
      <c r="A200" s="36">
        <f t="shared" si="61"/>
        <v>912</v>
      </c>
      <c r="B200" s="37" t="s">
        <v>1996</v>
      </c>
      <c r="C200" s="37"/>
      <c r="D200" s="47"/>
      <c r="E200" s="757"/>
      <c r="F200" s="60"/>
      <c r="G200" s="1147">
        <f t="shared" si="59"/>
        <v>0</v>
      </c>
      <c r="H200" s="1234"/>
      <c r="I200" s="347" t="s">
        <v>451</v>
      </c>
      <c r="J200" s="343"/>
      <c r="K200" s="405"/>
      <c r="L200" s="1433"/>
      <c r="M200" s="1434"/>
      <c r="N200" s="56"/>
      <c r="O200" s="367"/>
      <c r="P200" s="1073"/>
      <c r="Q200" s="532"/>
      <c r="R200" s="532"/>
      <c r="S200" s="1074"/>
      <c r="T200" s="381"/>
      <c r="U200" s="152"/>
      <c r="V200" s="3"/>
      <c r="W200" s="133"/>
      <c r="X200" s="909">
        <f>(E200+F200)*A200</f>
        <v>0</v>
      </c>
      <c r="AA200" s="133"/>
      <c r="AB200" s="133"/>
      <c r="AY200" s="456"/>
      <c r="AZ200" s="456"/>
      <c r="BA200" s="456"/>
    </row>
    <row r="201" spans="1:53" ht="12.75">
      <c r="A201" s="36">
        <f t="shared" si="61"/>
        <v>913</v>
      </c>
      <c r="B201" s="37" t="s">
        <v>1997</v>
      </c>
      <c r="C201" s="37"/>
      <c r="D201" s="47"/>
      <c r="E201" s="757"/>
      <c r="F201" s="60"/>
      <c r="G201" s="1147">
        <f t="shared" si="59"/>
        <v>0</v>
      </c>
      <c r="H201" s="1234"/>
      <c r="I201" s="347" t="s">
        <v>452</v>
      </c>
      <c r="J201" s="343"/>
      <c r="K201" s="406"/>
      <c r="L201" s="1431"/>
      <c r="M201" s="1432"/>
      <c r="N201" s="56"/>
      <c r="O201" s="367"/>
      <c r="P201" s="630"/>
      <c r="Q201" s="393"/>
      <c r="R201" s="393"/>
      <c r="S201" s="1075"/>
      <c r="U201" s="152"/>
      <c r="V201" s="3"/>
      <c r="W201" s="133"/>
      <c r="X201" s="909">
        <f>(E201+F201)*A201</f>
        <v>0</v>
      </c>
      <c r="AA201" s="133"/>
      <c r="AB201" s="133"/>
      <c r="AY201" s="456"/>
      <c r="AZ201" s="456"/>
      <c r="BA201" s="456"/>
    </row>
    <row r="202" spans="1:53" ht="12.75">
      <c r="A202" s="36">
        <f t="shared" si="61"/>
        <v>914</v>
      </c>
      <c r="B202" s="37" t="s">
        <v>1998</v>
      </c>
      <c r="C202" s="37"/>
      <c r="D202" s="47"/>
      <c r="E202" s="757"/>
      <c r="F202" s="60"/>
      <c r="G202" s="1147">
        <f t="shared" si="59"/>
        <v>0</v>
      </c>
      <c r="H202" s="1234"/>
      <c r="I202" s="347" t="s">
        <v>453</v>
      </c>
      <c r="J202" s="343"/>
      <c r="K202" s="406"/>
      <c r="L202" s="1431"/>
      <c r="M202" s="1432"/>
      <c r="N202" s="56"/>
      <c r="O202" s="367"/>
      <c r="P202" s="630"/>
      <c r="Q202" s="393"/>
      <c r="R202" s="6"/>
      <c r="S202" s="1075"/>
      <c r="U202" s="152"/>
      <c r="V202" s="3"/>
      <c r="W202" s="133"/>
      <c r="X202" s="909">
        <f>(E202+F202)*A202</f>
        <v>0</v>
      </c>
      <c r="AA202" s="133"/>
      <c r="AB202" s="133"/>
      <c r="AY202" s="456"/>
      <c r="AZ202" s="456"/>
      <c r="BA202" s="456"/>
    </row>
    <row r="203" spans="1:53" ht="12.75">
      <c r="A203" s="36">
        <f t="shared" si="61"/>
        <v>915</v>
      </c>
      <c r="B203" s="44" t="s">
        <v>1749</v>
      </c>
      <c r="C203" s="42"/>
      <c r="D203" s="42"/>
      <c r="E203" s="63">
        <f>SUM(E189:E202)</f>
        <v>0</v>
      </c>
      <c r="F203" s="63">
        <f>SUM(F189:F202)</f>
        <v>0</v>
      </c>
      <c r="G203" s="1149">
        <f>SUM(G189:H202)</f>
        <v>0</v>
      </c>
      <c r="H203" s="1246"/>
      <c r="I203" s="346"/>
      <c r="J203" s="343"/>
      <c r="K203" s="399"/>
      <c r="L203" s="1149">
        <f>SUM(L189:M202)</f>
        <v>0</v>
      </c>
      <c r="M203" s="1246"/>
      <c r="N203" s="54"/>
      <c r="O203" s="367"/>
      <c r="P203" s="630"/>
      <c r="Q203" s="393"/>
      <c r="R203" s="71"/>
      <c r="S203" s="1075"/>
      <c r="U203" s="152"/>
      <c r="V203" s="3"/>
      <c r="W203" s="133"/>
      <c r="X203" s="909"/>
      <c r="AA203" s="133"/>
      <c r="AB203" s="133"/>
      <c r="AY203" s="456"/>
      <c r="AZ203" s="456"/>
      <c r="BA203" s="456"/>
    </row>
    <row r="204" spans="1:53" ht="4.5" customHeight="1">
      <c r="A204" s="11"/>
      <c r="B204" s="24"/>
      <c r="C204" s="24"/>
      <c r="D204" s="24"/>
      <c r="E204" s="72"/>
      <c r="F204" s="72"/>
      <c r="G204" s="122"/>
      <c r="H204" s="1091"/>
      <c r="I204" s="346"/>
      <c r="J204" s="343"/>
      <c r="K204" s="307"/>
      <c r="L204" s="1091"/>
      <c r="M204" s="1091"/>
      <c r="N204" s="54"/>
      <c r="O204" s="71"/>
      <c r="P204" s="630"/>
      <c r="Q204" s="393"/>
      <c r="R204" s="71"/>
      <c r="S204" s="1075"/>
      <c r="U204" s="152"/>
      <c r="V204" s="3"/>
      <c r="W204" s="133"/>
      <c r="X204" s="909"/>
      <c r="AA204" s="133"/>
      <c r="AB204" s="133"/>
      <c r="AY204" s="456"/>
      <c r="AZ204" s="456"/>
      <c r="BA204" s="456"/>
    </row>
    <row r="205" spans="1:53" ht="12.75">
      <c r="A205" s="11"/>
      <c r="B205" s="23" t="s">
        <v>61</v>
      </c>
      <c r="C205" s="24"/>
      <c r="D205" s="24"/>
      <c r="E205" s="72"/>
      <c r="F205" s="72"/>
      <c r="G205" s="122"/>
      <c r="H205" s="1091"/>
      <c r="I205" s="346"/>
      <c r="J205" s="343"/>
      <c r="K205" s="1076" t="s">
        <v>638</v>
      </c>
      <c r="L205" s="1091"/>
      <c r="M205" s="1091"/>
      <c r="N205" s="54"/>
      <c r="O205" s="71"/>
      <c r="P205" s="986"/>
      <c r="Q205" s="1093"/>
      <c r="R205" s="403"/>
      <c r="S205" s="535"/>
      <c r="U205" s="152"/>
      <c r="V205" s="3"/>
      <c r="W205" s="133"/>
      <c r="X205" s="909"/>
      <c r="AA205" s="133"/>
      <c r="AB205" s="133"/>
      <c r="AY205" s="456"/>
      <c r="AZ205" s="456"/>
      <c r="BA205" s="456"/>
    </row>
    <row r="206" spans="1:53" ht="12.75">
      <c r="A206" s="36">
        <f>A203+1</f>
        <v>916</v>
      </c>
      <c r="B206" s="46" t="s">
        <v>56</v>
      </c>
      <c r="C206" s="52"/>
      <c r="D206" s="119"/>
      <c r="E206" s="757"/>
      <c r="F206" s="60"/>
      <c r="G206" s="1147">
        <f>F206-E206</f>
        <v>0</v>
      </c>
      <c r="H206" s="1234"/>
      <c r="I206" s="346" t="s">
        <v>66</v>
      </c>
      <c r="J206" s="343"/>
      <c r="K206" s="304">
        <f>Uitvoerbestand!I165</f>
        <v>9309.97</v>
      </c>
      <c r="L206" s="1235">
        <f>F206*K206</f>
        <v>0</v>
      </c>
      <c r="M206" s="1236"/>
      <c r="N206" s="54"/>
      <c r="O206" s="71"/>
      <c r="P206" s="1241">
        <v>100</v>
      </c>
      <c r="Q206" s="1238">
        <f>F58/365</f>
        <v>0</v>
      </c>
      <c r="R206" s="1228">
        <f>((O58+Q58)*1.02)/(2*365)</f>
        <v>0</v>
      </c>
      <c r="S206" s="1229"/>
      <c r="U206" s="152"/>
      <c r="V206" s="3"/>
      <c r="W206" s="133"/>
      <c r="X206" s="909"/>
      <c r="AA206" s="133"/>
      <c r="AB206" s="133"/>
      <c r="AY206" s="456"/>
      <c r="AZ206" s="456"/>
      <c r="BA206" s="456"/>
    </row>
    <row r="207" spans="1:53" ht="12.75">
      <c r="A207" s="36">
        <f>A206+1</f>
        <v>917</v>
      </c>
      <c r="B207" s="1092" t="s">
        <v>57</v>
      </c>
      <c r="C207" s="52"/>
      <c r="D207" s="119"/>
      <c r="E207" s="757"/>
      <c r="F207" s="60"/>
      <c r="G207" s="1147">
        <f>F207-E207</f>
        <v>0</v>
      </c>
      <c r="H207" s="1234"/>
      <c r="I207" s="346" t="s">
        <v>67</v>
      </c>
      <c r="J207" s="343"/>
      <c r="K207" s="304">
        <f>Uitvoerbestand!I166</f>
        <v>8701.95</v>
      </c>
      <c r="L207" s="1235">
        <f>F207*K207</f>
        <v>0</v>
      </c>
      <c r="M207" s="1236"/>
      <c r="N207" s="54"/>
      <c r="O207" s="71"/>
      <c r="P207" s="1242"/>
      <c r="Q207" s="1239"/>
      <c r="R207" s="1230"/>
      <c r="S207" s="1231"/>
      <c r="U207" s="152"/>
      <c r="V207" s="3"/>
      <c r="W207" s="133"/>
      <c r="X207" s="909"/>
      <c r="AA207" s="133"/>
      <c r="AB207" s="133"/>
      <c r="AY207" s="456"/>
      <c r="AZ207" s="456"/>
      <c r="BA207" s="456"/>
    </row>
    <row r="208" spans="1:53" ht="12.75">
      <c r="A208" s="36">
        <f>A207+1</f>
        <v>918</v>
      </c>
      <c r="B208" s="1092" t="s">
        <v>58</v>
      </c>
      <c r="C208" s="52"/>
      <c r="D208" s="119"/>
      <c r="E208" s="757"/>
      <c r="F208" s="60"/>
      <c r="G208" s="1147">
        <f>F208-E208</f>
        <v>0</v>
      </c>
      <c r="H208" s="1234"/>
      <c r="I208" s="346" t="s">
        <v>68</v>
      </c>
      <c r="J208" s="343"/>
      <c r="K208" s="304">
        <f>Uitvoerbestand!I167</f>
        <v>8939.3</v>
      </c>
      <c r="L208" s="1235">
        <f>F208*K208</f>
        <v>0</v>
      </c>
      <c r="M208" s="1236"/>
      <c r="N208" s="54"/>
      <c r="O208" s="71"/>
      <c r="P208" s="1243"/>
      <c r="Q208" s="1240"/>
      <c r="R208" s="1232"/>
      <c r="S208" s="1233"/>
      <c r="U208" s="152"/>
      <c r="V208" s="3"/>
      <c r="W208" s="133"/>
      <c r="X208" s="909"/>
      <c r="AA208" s="133"/>
      <c r="AB208" s="133"/>
      <c r="AY208" s="456"/>
      <c r="AZ208" s="456"/>
      <c r="BA208" s="456"/>
    </row>
    <row r="209" spans="1:53" ht="12.75">
      <c r="A209" s="36">
        <f>A208+1</f>
        <v>919</v>
      </c>
      <c r="B209" s="46" t="s">
        <v>59</v>
      </c>
      <c r="C209" s="52"/>
      <c r="D209" s="119"/>
      <c r="E209" s="757"/>
      <c r="F209" s="60"/>
      <c r="G209" s="1147">
        <f>F209-E209</f>
        <v>0</v>
      </c>
      <c r="H209" s="1234"/>
      <c r="I209" s="346" t="s">
        <v>72</v>
      </c>
      <c r="J209" s="343"/>
      <c r="K209" s="1106"/>
      <c r="L209" s="1237">
        <f>F209*K209</f>
        <v>0</v>
      </c>
      <c r="M209" s="1236"/>
      <c r="N209" s="54"/>
      <c r="O209" s="71"/>
      <c r="P209" s="468" t="s">
        <v>255</v>
      </c>
      <c r="Q209" s="99"/>
      <c r="R209" s="71"/>
      <c r="U209" s="152"/>
      <c r="V209" s="3"/>
      <c r="W209" s="133"/>
      <c r="X209" s="909"/>
      <c r="AA209" s="133"/>
      <c r="AB209" s="133"/>
      <c r="AY209" s="456"/>
      <c r="AZ209" s="456"/>
      <c r="BA209" s="456"/>
    </row>
    <row r="210" spans="1:53" ht="12.75">
      <c r="A210" s="36">
        <f>A209+1</f>
        <v>920</v>
      </c>
      <c r="B210" s="44" t="s">
        <v>1749</v>
      </c>
      <c r="C210" s="42"/>
      <c r="D210" s="45"/>
      <c r="E210" s="63">
        <f>SUM(E206:E209)</f>
        <v>0</v>
      </c>
      <c r="F210" s="63">
        <f>SUM(F206:F209)</f>
        <v>0</v>
      </c>
      <c r="G210" s="1149">
        <f>SUM(G206:H209)</f>
        <v>0</v>
      </c>
      <c r="H210" s="1246"/>
      <c r="I210" s="346"/>
      <c r="J210" s="343"/>
      <c r="K210" s="307"/>
      <c r="L210" s="1261">
        <f>SUM(L206:M209)</f>
        <v>0</v>
      </c>
      <c r="M210" s="1262"/>
      <c r="N210" s="54"/>
      <c r="O210" s="71"/>
      <c r="P210" s="468" t="s">
        <v>692</v>
      </c>
      <c r="Q210" s="99"/>
      <c r="R210" s="71"/>
      <c r="U210" s="152"/>
      <c r="V210" s="3"/>
      <c r="W210" s="133"/>
      <c r="X210" s="909"/>
      <c r="AA210" s="133"/>
      <c r="AB210" s="133"/>
      <c r="AY210" s="456"/>
      <c r="AZ210" s="456"/>
      <c r="BA210" s="456"/>
    </row>
    <row r="211" spans="2:53" ht="12.75">
      <c r="B211" s="23" t="s">
        <v>641</v>
      </c>
      <c r="C211" s="24"/>
      <c r="D211" s="24"/>
      <c r="E211" s="72"/>
      <c r="F211" s="72"/>
      <c r="G211" s="122"/>
      <c r="H211" s="1091"/>
      <c r="I211" s="346"/>
      <c r="J211" s="343"/>
      <c r="K211" s="307"/>
      <c r="L211" s="71"/>
      <c r="M211" s="1091"/>
      <c r="N211" s="54"/>
      <c r="O211" s="71"/>
      <c r="P211" s="468" t="s">
        <v>2310</v>
      </c>
      <c r="Q211" s="99"/>
      <c r="R211" s="71"/>
      <c r="U211" s="152"/>
      <c r="V211" s="3"/>
      <c r="W211" s="133"/>
      <c r="X211" s="909"/>
      <c r="AA211" s="133"/>
      <c r="AB211" s="133"/>
      <c r="AY211" s="456"/>
      <c r="AZ211" s="456"/>
      <c r="BA211" s="456"/>
    </row>
    <row r="212" spans="1:53" ht="12.75">
      <c r="A212" s="36">
        <f>A210+1</f>
        <v>921</v>
      </c>
      <c r="B212" s="1092" t="s">
        <v>62</v>
      </c>
      <c r="C212" s="52"/>
      <c r="D212" s="119"/>
      <c r="E212" s="757"/>
      <c r="F212" s="60"/>
      <c r="G212" s="1147">
        <f>F212-E212</f>
        <v>0</v>
      </c>
      <c r="H212" s="1234"/>
      <c r="I212" s="346" t="s">
        <v>69</v>
      </c>
      <c r="J212" s="343"/>
      <c r="K212" s="307"/>
      <c r="L212" s="71"/>
      <c r="M212" s="1091"/>
      <c r="N212" s="54"/>
      <c r="O212" s="71"/>
      <c r="P212" s="468" t="s">
        <v>2311</v>
      </c>
      <c r="U212" s="152"/>
      <c r="V212" s="3"/>
      <c r="W212" s="133"/>
      <c r="X212" s="909"/>
      <c r="AA212" s="133"/>
      <c r="AB212" s="133"/>
      <c r="AY212" s="456"/>
      <c r="AZ212" s="456"/>
      <c r="BA212" s="456"/>
    </row>
    <row r="213" spans="1:53" ht="12.75">
      <c r="A213" s="36">
        <f>A212+1</f>
        <v>922</v>
      </c>
      <c r="B213" s="1092" t="s">
        <v>63</v>
      </c>
      <c r="C213" s="52"/>
      <c r="D213" s="119"/>
      <c r="E213" s="757"/>
      <c r="F213" s="60"/>
      <c r="G213" s="1147">
        <f>F213-E213</f>
        <v>0</v>
      </c>
      <c r="H213" s="1234"/>
      <c r="I213" s="346" t="s">
        <v>70</v>
      </c>
      <c r="J213" s="343"/>
      <c r="K213" s="307"/>
      <c r="L213" s="71"/>
      <c r="M213" s="1091"/>
      <c r="N213" s="54"/>
      <c r="O213" s="71"/>
      <c r="P213" s="445" t="s">
        <v>65</v>
      </c>
      <c r="Q213" s="99"/>
      <c r="R213" s="71"/>
      <c r="U213" s="152"/>
      <c r="V213" s="3"/>
      <c r="W213" s="133"/>
      <c r="X213" s="909"/>
      <c r="AA213" s="133"/>
      <c r="AB213" s="133"/>
      <c r="AY213" s="456"/>
      <c r="AZ213" s="456"/>
      <c r="BA213" s="456"/>
    </row>
    <row r="214" spans="1:53" ht="12.75">
      <c r="A214" s="36">
        <f>A213+1</f>
        <v>923</v>
      </c>
      <c r="B214" s="1092" t="s">
        <v>64</v>
      </c>
      <c r="C214" s="52"/>
      <c r="D214" s="119"/>
      <c r="E214" s="757"/>
      <c r="F214" s="60"/>
      <c r="G214" s="1147">
        <f>F214-E214</f>
        <v>0</v>
      </c>
      <c r="H214" s="1234"/>
      <c r="I214" s="346" t="s">
        <v>71</v>
      </c>
      <c r="J214" s="343"/>
      <c r="K214" s="307"/>
      <c r="L214" s="71"/>
      <c r="M214" s="1091"/>
      <c r="N214" s="54"/>
      <c r="O214" s="71"/>
      <c r="P214" s="99" t="s">
        <v>212</v>
      </c>
      <c r="Q214" s="99"/>
      <c r="R214" s="71"/>
      <c r="U214" s="152"/>
      <c r="V214" s="3"/>
      <c r="W214" s="133"/>
      <c r="X214" s="909"/>
      <c r="AA214" s="133"/>
      <c r="AB214" s="133"/>
      <c r="AY214" s="456"/>
      <c r="AZ214" s="456"/>
      <c r="BA214" s="456"/>
    </row>
    <row r="215" spans="1:53" ht="12.75">
      <c r="A215" s="11"/>
      <c r="B215" s="24"/>
      <c r="C215" s="24"/>
      <c r="D215" s="24"/>
      <c r="E215" s="72"/>
      <c r="F215" s="72"/>
      <c r="G215" s="122"/>
      <c r="H215" s="1091"/>
      <c r="I215" s="346"/>
      <c r="J215" s="343"/>
      <c r="K215" s="307"/>
      <c r="L215" s="71"/>
      <c r="M215" s="1091"/>
      <c r="N215" s="54"/>
      <c r="O215" s="71"/>
      <c r="P215" s="5" t="s">
        <v>693</v>
      </c>
      <c r="Q215" s="99"/>
      <c r="R215" s="71"/>
      <c r="U215" s="152"/>
      <c r="V215" s="3"/>
      <c r="W215" s="133"/>
      <c r="X215" s="909"/>
      <c r="AA215" s="133"/>
      <c r="AB215" s="133"/>
      <c r="AY215" s="456"/>
      <c r="AZ215" s="456"/>
      <c r="BA215" s="456"/>
    </row>
    <row r="216" spans="1:53" ht="12.75">
      <c r="A216" s="22"/>
      <c r="B216" s="23" t="s">
        <v>1902</v>
      </c>
      <c r="C216" s="24"/>
      <c r="D216" s="23"/>
      <c r="E216" s="65"/>
      <c r="F216" s="58"/>
      <c r="G216" s="58"/>
      <c r="H216" s="58"/>
      <c r="I216" s="346"/>
      <c r="J216" s="343"/>
      <c r="K216" s="1076" t="str">
        <f>K10</f>
        <v>Incl. voorl. index 2006</v>
      </c>
      <c r="L216" s="68"/>
      <c r="M216" s="58"/>
      <c r="N216" s="54"/>
      <c r="O216" s="65"/>
      <c r="P216" s="5" t="s">
        <v>2312</v>
      </c>
      <c r="R216" s="71"/>
      <c r="S216" s="99"/>
      <c r="T216" s="99"/>
      <c r="U216" s="152"/>
      <c r="V216" s="3"/>
      <c r="W216" s="133"/>
      <c r="X216" s="909"/>
      <c r="AA216" s="133"/>
      <c r="AB216" s="133"/>
      <c r="AY216" s="456"/>
      <c r="AZ216" s="456"/>
      <c r="BA216" s="456"/>
    </row>
    <row r="217" spans="1:53" ht="12.75">
      <c r="A217" s="36">
        <f>A214+1</f>
        <v>924</v>
      </c>
      <c r="B217" s="37" t="s">
        <v>1527</v>
      </c>
      <c r="C217" s="37"/>
      <c r="D217" s="37"/>
      <c r="E217" s="757"/>
      <c r="F217" s="60"/>
      <c r="G217" s="1147">
        <f aca="true" t="shared" si="63" ref="G217:G224">F217-E217</f>
        <v>0</v>
      </c>
      <c r="H217" s="1246"/>
      <c r="I217" s="347" t="s">
        <v>1530</v>
      </c>
      <c r="J217" s="343"/>
      <c r="K217" s="304">
        <f>Uitvoerbestand!I171</f>
        <v>18961.9</v>
      </c>
      <c r="L217" s="1235">
        <f aca="true" t="shared" si="64" ref="L217:L224">F217*K217</f>
        <v>0</v>
      </c>
      <c r="M217" s="1236"/>
      <c r="N217" s="56"/>
      <c r="O217" s="5"/>
      <c r="P217" s="5" t="s">
        <v>694</v>
      </c>
      <c r="Q217" s="99"/>
      <c r="R217" s="5"/>
      <c r="S217" s="5"/>
      <c r="T217" s="5"/>
      <c r="U217" s="151"/>
      <c r="V217" s="3"/>
      <c r="W217" s="133"/>
      <c r="X217" s="908">
        <f>L217*A217</f>
        <v>0</v>
      </c>
      <c r="Y217" s="917">
        <f aca="true" t="shared" si="65" ref="Y217:Y228">E217*K217</f>
        <v>0</v>
      </c>
      <c r="AA217" s="133"/>
      <c r="AB217" s="133"/>
      <c r="AY217" s="456"/>
      <c r="AZ217" s="456"/>
      <c r="BA217" s="456"/>
    </row>
    <row r="218" spans="1:53" ht="12.75">
      <c r="A218" s="36">
        <f aca="true" t="shared" si="66" ref="A218:A224">A217+1</f>
        <v>925</v>
      </c>
      <c r="B218" s="37" t="s">
        <v>1528</v>
      </c>
      <c r="C218" s="37"/>
      <c r="D218" s="37"/>
      <c r="E218" s="757"/>
      <c r="F218" s="60"/>
      <c r="G218" s="1147">
        <f>F218-E218</f>
        <v>0</v>
      </c>
      <c r="H218" s="1246"/>
      <c r="I218" s="347" t="s">
        <v>1531</v>
      </c>
      <c r="J218" s="343"/>
      <c r="K218" s="304">
        <f>Uitvoerbestand!I172</f>
        <v>9480.95</v>
      </c>
      <c r="L218" s="1235">
        <f>F218*K218</f>
        <v>0</v>
      </c>
      <c r="M218" s="1263"/>
      <c r="N218" s="56"/>
      <c r="O218" s="5"/>
      <c r="P218" s="5" t="s">
        <v>2313</v>
      </c>
      <c r="Q218" s="99"/>
      <c r="R218" s="99"/>
      <c r="S218" s="5"/>
      <c r="T218" s="5"/>
      <c r="U218" s="151"/>
      <c r="V218" s="3"/>
      <c r="W218" s="133"/>
      <c r="X218" s="908">
        <f aca="true" t="shared" si="67" ref="X218:X224">L218*A218</f>
        <v>0</v>
      </c>
      <c r="Y218" s="917">
        <f t="shared" si="65"/>
        <v>0</v>
      </c>
      <c r="AA218" s="133"/>
      <c r="AB218" s="133"/>
      <c r="AY218" s="456"/>
      <c r="AZ218" s="456"/>
      <c r="BA218" s="456"/>
    </row>
    <row r="219" spans="1:53" ht="12.75">
      <c r="A219" s="36">
        <f t="shared" si="66"/>
        <v>926</v>
      </c>
      <c r="B219" s="37" t="s">
        <v>1529</v>
      </c>
      <c r="C219" s="37"/>
      <c r="D219" s="37"/>
      <c r="E219" s="757"/>
      <c r="F219" s="60"/>
      <c r="G219" s="1147">
        <f t="shared" si="63"/>
        <v>0</v>
      </c>
      <c r="H219" s="1246"/>
      <c r="I219" s="347" t="s">
        <v>1532</v>
      </c>
      <c r="J219" s="343"/>
      <c r="K219" s="304">
        <f>Uitvoerbestand!I173</f>
        <v>18961.9</v>
      </c>
      <c r="L219" s="1235">
        <f t="shared" si="64"/>
        <v>0</v>
      </c>
      <c r="M219" s="1263"/>
      <c r="N219" s="56"/>
      <c r="O219" s="5"/>
      <c r="Q219" s="99"/>
      <c r="S219" s="5"/>
      <c r="T219" s="5"/>
      <c r="U219" s="151"/>
      <c r="V219" s="3"/>
      <c r="X219" s="908">
        <f t="shared" si="67"/>
        <v>0</v>
      </c>
      <c r="Y219" s="917">
        <f t="shared" si="65"/>
        <v>0</v>
      </c>
      <c r="AY219" s="456"/>
      <c r="AZ219" s="456"/>
      <c r="BA219" s="456"/>
    </row>
    <row r="220" spans="1:53" ht="12.75">
      <c r="A220" s="36">
        <f t="shared" si="66"/>
        <v>927</v>
      </c>
      <c r="B220" s="37" t="s">
        <v>1737</v>
      </c>
      <c r="C220" s="37"/>
      <c r="D220" s="37"/>
      <c r="E220" s="757"/>
      <c r="F220" s="253">
        <f>E220</f>
        <v>0</v>
      </c>
      <c r="G220" s="1147">
        <f t="shared" si="63"/>
        <v>0</v>
      </c>
      <c r="H220" s="1246"/>
      <c r="I220" s="347" t="s">
        <v>1533</v>
      </c>
      <c r="J220" s="343"/>
      <c r="K220" s="304">
        <f>Uitvoerbestand!I174</f>
        <v>15446.52</v>
      </c>
      <c r="L220" s="1235">
        <f t="shared" si="64"/>
        <v>0</v>
      </c>
      <c r="M220" s="1263"/>
      <c r="N220" s="56"/>
      <c r="O220" s="5"/>
      <c r="Q220" s="99"/>
      <c r="R220" s="5"/>
      <c r="S220" s="5"/>
      <c r="T220" s="5"/>
      <c r="U220" s="151"/>
      <c r="V220" s="3"/>
      <c r="X220" s="908">
        <f t="shared" si="67"/>
        <v>0</v>
      </c>
      <c r="Y220" s="917">
        <f t="shared" si="65"/>
        <v>0</v>
      </c>
      <c r="AY220" s="456"/>
      <c r="AZ220" s="456"/>
      <c r="BA220" s="456"/>
    </row>
    <row r="221" spans="1:53" ht="12.75">
      <c r="A221" s="36">
        <f t="shared" si="66"/>
        <v>928</v>
      </c>
      <c r="B221" s="37" t="s">
        <v>1999</v>
      </c>
      <c r="C221" s="37"/>
      <c r="D221" s="37"/>
      <c r="E221" s="757"/>
      <c r="F221" s="253">
        <f>E221</f>
        <v>0</v>
      </c>
      <c r="G221" s="1147">
        <f>F221-E221</f>
        <v>0</v>
      </c>
      <c r="H221" s="1246"/>
      <c r="I221" s="347" t="s">
        <v>2000</v>
      </c>
      <c r="J221" s="343"/>
      <c r="K221" s="304">
        <f>Uitvoerbestand!I175</f>
        <v>10297.64</v>
      </c>
      <c r="L221" s="1235">
        <f>F221*K221</f>
        <v>0</v>
      </c>
      <c r="M221" s="1263"/>
      <c r="N221" s="56"/>
      <c r="O221" s="5"/>
      <c r="Q221" s="99"/>
      <c r="R221" s="5"/>
      <c r="S221" s="5"/>
      <c r="T221" s="5"/>
      <c r="U221" s="151"/>
      <c r="V221" s="3"/>
      <c r="X221" s="908">
        <f t="shared" si="67"/>
        <v>0</v>
      </c>
      <c r="Y221" s="917">
        <f t="shared" si="65"/>
        <v>0</v>
      </c>
      <c r="AY221" s="456"/>
      <c r="AZ221" s="456"/>
      <c r="BA221" s="456"/>
    </row>
    <row r="222" spans="1:53" ht="12.75">
      <c r="A222" s="36">
        <f t="shared" si="66"/>
        <v>929</v>
      </c>
      <c r="B222" s="37" t="s">
        <v>1724</v>
      </c>
      <c r="C222" s="37"/>
      <c r="D222" s="37"/>
      <c r="E222" s="757"/>
      <c r="F222" s="253">
        <f>E222</f>
        <v>0</v>
      </c>
      <c r="G222" s="1147">
        <f t="shared" si="63"/>
        <v>0</v>
      </c>
      <c r="H222" s="1246"/>
      <c r="I222" s="347" t="s">
        <v>1534</v>
      </c>
      <c r="J222" s="343"/>
      <c r="K222" s="304">
        <f>Uitvoerbestand!I176</f>
        <v>7723.26</v>
      </c>
      <c r="L222" s="1235">
        <f t="shared" si="64"/>
        <v>0</v>
      </c>
      <c r="M222" s="1263"/>
      <c r="N222" s="56"/>
      <c r="O222" s="338"/>
      <c r="Q222" s="5"/>
      <c r="R222" s="5"/>
      <c r="S222" s="5"/>
      <c r="T222" s="5"/>
      <c r="U222" s="151"/>
      <c r="V222" s="3"/>
      <c r="X222" s="908">
        <f t="shared" si="67"/>
        <v>0</v>
      </c>
      <c r="Y222" s="917">
        <f t="shared" si="65"/>
        <v>0</v>
      </c>
      <c r="AY222" s="456"/>
      <c r="AZ222" s="456"/>
      <c r="BA222" s="456"/>
    </row>
    <row r="223" spans="1:53" ht="12.75">
      <c r="A223" s="36">
        <f t="shared" si="66"/>
        <v>930</v>
      </c>
      <c r="B223" s="37" t="s">
        <v>1738</v>
      </c>
      <c r="C223" s="37"/>
      <c r="D223" s="37"/>
      <c r="E223" s="757"/>
      <c r="F223" s="253">
        <f>E223</f>
        <v>0</v>
      </c>
      <c r="G223" s="1147">
        <f t="shared" si="63"/>
        <v>0</v>
      </c>
      <c r="H223" s="1246"/>
      <c r="I223" s="347" t="s">
        <v>1535</v>
      </c>
      <c r="J223" s="343"/>
      <c r="K223" s="304">
        <f>Uitvoerbestand!I177</f>
        <v>7723.26</v>
      </c>
      <c r="L223" s="1235">
        <f t="shared" si="64"/>
        <v>0</v>
      </c>
      <c r="M223" s="1263"/>
      <c r="N223" s="56"/>
      <c r="O223" s="338"/>
      <c r="Q223" s="5"/>
      <c r="R223" s="5"/>
      <c r="S223" s="5"/>
      <c r="T223" s="5"/>
      <c r="U223" s="151"/>
      <c r="V223" s="3"/>
      <c r="X223" s="908">
        <f t="shared" si="67"/>
        <v>0</v>
      </c>
      <c r="Y223" s="917">
        <f t="shared" si="65"/>
        <v>0</v>
      </c>
      <c r="AY223" s="456"/>
      <c r="AZ223" s="456"/>
      <c r="BA223" s="456"/>
    </row>
    <row r="224" spans="1:53" ht="12.75">
      <c r="A224" s="36">
        <f t="shared" si="66"/>
        <v>931</v>
      </c>
      <c r="B224" s="37" t="s">
        <v>1739</v>
      </c>
      <c r="C224" s="37"/>
      <c r="D224" s="37"/>
      <c r="E224" s="757"/>
      <c r="F224" s="60"/>
      <c r="G224" s="1147">
        <f t="shared" si="63"/>
        <v>0</v>
      </c>
      <c r="H224" s="1246"/>
      <c r="I224" s="347" t="s">
        <v>1536</v>
      </c>
      <c r="J224" s="343"/>
      <c r="K224" s="304">
        <f>Uitvoerbestand!I178</f>
        <v>2373.84</v>
      </c>
      <c r="L224" s="1235">
        <f t="shared" si="64"/>
        <v>0</v>
      </c>
      <c r="M224" s="1263"/>
      <c r="N224" s="56"/>
      <c r="O224" s="5"/>
      <c r="Q224" s="5"/>
      <c r="R224" s="5"/>
      <c r="S224" s="5"/>
      <c r="T224" s="5"/>
      <c r="U224" s="151"/>
      <c r="V224" s="3"/>
      <c r="X224" s="908">
        <f t="shared" si="67"/>
        <v>0</v>
      </c>
      <c r="Y224" s="917">
        <f t="shared" si="65"/>
        <v>0</v>
      </c>
      <c r="AY224" s="456"/>
      <c r="AZ224" s="456"/>
      <c r="BA224" s="456"/>
    </row>
    <row r="225" spans="1:53" ht="12.75">
      <c r="A225" s="22"/>
      <c r="B225" s="23" t="s">
        <v>210</v>
      </c>
      <c r="C225" s="24"/>
      <c r="D225" s="23"/>
      <c r="E225" s="65"/>
      <c r="F225" s="58"/>
      <c r="G225" s="58"/>
      <c r="H225" s="58"/>
      <c r="I225" s="346"/>
      <c r="J225" s="343"/>
      <c r="K225" s="309"/>
      <c r="L225" s="68"/>
      <c r="M225" s="58"/>
      <c r="N225" s="56"/>
      <c r="O225" s="5"/>
      <c r="P225" s="5"/>
      <c r="Q225" s="5"/>
      <c r="R225" s="5"/>
      <c r="S225" s="5"/>
      <c r="T225" s="5"/>
      <c r="U225" s="151"/>
      <c r="V225" s="3"/>
      <c r="AY225" s="456"/>
      <c r="AZ225" s="456"/>
      <c r="BA225" s="456"/>
    </row>
    <row r="226" spans="1:53" ht="12.75">
      <c r="A226" s="36">
        <f>A224+1</f>
        <v>932</v>
      </c>
      <c r="B226" s="259" t="s">
        <v>848</v>
      </c>
      <c r="C226" s="37"/>
      <c r="D226" s="37"/>
      <c r="E226" s="757"/>
      <c r="F226" s="253">
        <f>E226+T433</f>
        <v>0</v>
      </c>
      <c r="G226" s="1147">
        <f>F226-E226</f>
        <v>0</v>
      </c>
      <c r="H226" s="1246"/>
      <c r="I226" s="347" t="s">
        <v>2001</v>
      </c>
      <c r="J226" s="343"/>
      <c r="K226" s="304">
        <f>Uitvoerbestand!I181</f>
        <v>19.85</v>
      </c>
      <c r="L226" s="1235">
        <f>F226*K226</f>
        <v>0</v>
      </c>
      <c r="M226" s="1263"/>
      <c r="N226" s="56"/>
      <c r="O226" s="5"/>
      <c r="P226" s="5"/>
      <c r="Q226" s="5"/>
      <c r="R226" s="5"/>
      <c r="S226" s="5"/>
      <c r="T226" s="5"/>
      <c r="U226" s="151"/>
      <c r="V226" s="3"/>
      <c r="X226" s="908">
        <f>L226*A226</f>
        <v>0</v>
      </c>
      <c r="Y226" s="917">
        <f t="shared" si="65"/>
        <v>0</v>
      </c>
      <c r="AY226" s="456"/>
      <c r="AZ226" s="456"/>
      <c r="BA226" s="456"/>
    </row>
    <row r="227" spans="1:53" ht="12.75">
      <c r="A227" s="36">
        <f>A226+1</f>
        <v>933</v>
      </c>
      <c r="B227" s="259" t="s">
        <v>1425</v>
      </c>
      <c r="C227" s="37"/>
      <c r="D227" s="37"/>
      <c r="E227" s="757"/>
      <c r="F227" s="253">
        <f>E227</f>
        <v>0</v>
      </c>
      <c r="G227" s="1147">
        <f>F227-E227</f>
        <v>0</v>
      </c>
      <c r="H227" s="1246"/>
      <c r="I227" s="347" t="s">
        <v>1526</v>
      </c>
      <c r="J227" s="343"/>
      <c r="K227" s="304">
        <f>Uitvoerbestand!I182</f>
        <v>14.15</v>
      </c>
      <c r="L227" s="1235">
        <f>F227*K227</f>
        <v>0</v>
      </c>
      <c r="M227" s="1263"/>
      <c r="N227" s="56"/>
      <c r="O227" s="5"/>
      <c r="P227" s="5"/>
      <c r="Q227" s="5"/>
      <c r="R227" s="5"/>
      <c r="S227" s="5"/>
      <c r="T227" s="5"/>
      <c r="U227" s="151"/>
      <c r="V227" s="3"/>
      <c r="X227" s="908">
        <f>L227*A227</f>
        <v>0</v>
      </c>
      <c r="Y227" s="917">
        <f t="shared" si="65"/>
        <v>0</v>
      </c>
      <c r="AY227" s="456"/>
      <c r="AZ227" s="456"/>
      <c r="BA227" s="456"/>
    </row>
    <row r="228" spans="1:53" ht="12.75">
      <c r="A228" s="36">
        <f>A227+1</f>
        <v>934</v>
      </c>
      <c r="B228" s="46" t="s">
        <v>56</v>
      </c>
      <c r="C228" s="37"/>
      <c r="D228" s="37"/>
      <c r="E228" s="253">
        <f aca="true" t="shared" si="68" ref="E228:F230">E206</f>
        <v>0</v>
      </c>
      <c r="F228" s="253">
        <f t="shared" si="68"/>
        <v>0</v>
      </c>
      <c r="G228" s="1147">
        <f>F228-E228</f>
        <v>0</v>
      </c>
      <c r="H228" s="1246"/>
      <c r="I228" s="347"/>
      <c r="J228" s="343"/>
      <c r="K228" s="304">
        <f>Uitvoerbestand!I183</f>
        <v>1319.06</v>
      </c>
      <c r="L228" s="1235">
        <f>F228*K228</f>
        <v>0</v>
      </c>
      <c r="M228" s="1263"/>
      <c r="N228" s="56"/>
      <c r="O228" s="5"/>
      <c r="P228" s="5"/>
      <c r="Q228" s="5"/>
      <c r="R228" s="5"/>
      <c r="S228" s="5"/>
      <c r="T228" s="5"/>
      <c r="U228" s="151"/>
      <c r="V228" s="3"/>
      <c r="X228" s="908">
        <f>L228*A228</f>
        <v>0</v>
      </c>
      <c r="Y228" s="917">
        <f t="shared" si="65"/>
        <v>0</v>
      </c>
      <c r="AY228" s="456"/>
      <c r="AZ228" s="456"/>
      <c r="BA228" s="456"/>
    </row>
    <row r="229" spans="1:53" ht="12.75">
      <c r="A229" s="36">
        <f>A228+1</f>
        <v>935</v>
      </c>
      <c r="B229" s="1092" t="s">
        <v>57</v>
      </c>
      <c r="C229" s="37"/>
      <c r="D229" s="37"/>
      <c r="E229" s="253">
        <f t="shared" si="68"/>
        <v>0</v>
      </c>
      <c r="F229" s="253">
        <f t="shared" si="68"/>
        <v>0</v>
      </c>
      <c r="G229" s="1147">
        <f>F229-E229</f>
        <v>0</v>
      </c>
      <c r="H229" s="1246"/>
      <c r="I229" s="347"/>
      <c r="J229" s="343"/>
      <c r="K229" s="304">
        <f>Uitvoerbestand!I184</f>
        <v>909</v>
      </c>
      <c r="L229" s="1235">
        <f>F229*K229</f>
        <v>0</v>
      </c>
      <c r="M229" s="1263"/>
      <c r="N229" s="56"/>
      <c r="O229" s="5"/>
      <c r="P229" s="5"/>
      <c r="Q229" s="5"/>
      <c r="R229" s="5"/>
      <c r="S229" s="5"/>
      <c r="T229" s="5"/>
      <c r="U229" s="151"/>
      <c r="V229" s="3"/>
      <c r="AY229" s="456"/>
      <c r="AZ229" s="456"/>
      <c r="BA229" s="456"/>
    </row>
    <row r="230" spans="1:53" ht="12.75">
      <c r="A230" s="36">
        <f>A229+1</f>
        <v>936</v>
      </c>
      <c r="B230" s="1092" t="s">
        <v>58</v>
      </c>
      <c r="C230" s="37"/>
      <c r="D230" s="37"/>
      <c r="E230" s="253">
        <f t="shared" si="68"/>
        <v>0</v>
      </c>
      <c r="F230" s="253">
        <f t="shared" si="68"/>
        <v>0</v>
      </c>
      <c r="G230" s="1147">
        <f>F230-E230</f>
        <v>0</v>
      </c>
      <c r="H230" s="1246"/>
      <c r="I230" s="347"/>
      <c r="J230" s="343"/>
      <c r="K230" s="304">
        <f>Uitvoerbestand!I185</f>
        <v>1068.58</v>
      </c>
      <c r="L230" s="1235">
        <f>F230*K230</f>
        <v>0</v>
      </c>
      <c r="M230" s="1263"/>
      <c r="N230" s="56"/>
      <c r="O230" s="5"/>
      <c r="P230" s="5"/>
      <c r="Q230" s="5"/>
      <c r="R230" s="5"/>
      <c r="S230" s="5"/>
      <c r="T230" s="5"/>
      <c r="U230" s="151"/>
      <c r="V230" s="3"/>
      <c r="AY230" s="456"/>
      <c r="AZ230" s="456"/>
      <c r="BA230" s="456"/>
    </row>
    <row r="231" spans="1:53" ht="12.75">
      <c r="A231" s="36">
        <f>A230+1</f>
        <v>937</v>
      </c>
      <c r="B231" s="44" t="s">
        <v>114</v>
      </c>
      <c r="C231" s="42"/>
      <c r="D231" s="42"/>
      <c r="E231" s="881"/>
      <c r="F231" s="42"/>
      <c r="G231" s="1268"/>
      <c r="H231" s="1268"/>
      <c r="I231" s="346"/>
      <c r="J231" s="343"/>
      <c r="K231" s="402"/>
      <c r="L231" s="1269">
        <f>SUM(L217:M230)</f>
        <v>0</v>
      </c>
      <c r="M231" s="1270"/>
      <c r="N231" s="56"/>
      <c r="O231" s="5"/>
      <c r="P231" s="5"/>
      <c r="Q231" s="5"/>
      <c r="R231" s="5"/>
      <c r="S231" s="5"/>
      <c r="T231" s="5"/>
      <c r="U231" s="151"/>
      <c r="V231" s="3"/>
      <c r="AY231" s="456"/>
      <c r="AZ231" s="456"/>
      <c r="BA231" s="456"/>
    </row>
    <row r="232" spans="1:53" s="125" customFormat="1" ht="13.5" customHeight="1">
      <c r="A232" s="11"/>
      <c r="B232" s="24"/>
      <c r="C232" s="24"/>
      <c r="D232" s="24"/>
      <c r="E232" s="122"/>
      <c r="F232" s="86"/>
      <c r="G232" s="122"/>
      <c r="H232" s="86"/>
      <c r="I232" s="346"/>
      <c r="J232" s="343"/>
      <c r="K232" s="307"/>
      <c r="L232" s="122"/>
      <c r="M232" s="385"/>
      <c r="N232" s="56"/>
      <c r="O232" s="5"/>
      <c r="P232" s="5"/>
      <c r="Q232" s="5"/>
      <c r="R232" s="5"/>
      <c r="S232" s="5"/>
      <c r="T232" s="5"/>
      <c r="U232" s="151"/>
      <c r="V232" s="3"/>
      <c r="X232" s="910"/>
      <c r="Y232" s="917"/>
      <c r="AY232" s="457"/>
      <c r="AZ232" s="457"/>
      <c r="BA232" s="457"/>
    </row>
    <row r="233" spans="1:53" ht="12.75">
      <c r="A233" s="22" t="s">
        <v>852</v>
      </c>
      <c r="B233" s="23" t="str">
        <f>CONCATENATE("OVERIGE KOSTEN ",$E$8)</f>
        <v>OVERIGE KOSTEN 2006</v>
      </c>
      <c r="C233" s="29"/>
      <c r="D233" s="29"/>
      <c r="E233" s="26" t="s">
        <v>224</v>
      </c>
      <c r="F233" s="26" t="s">
        <v>2304</v>
      </c>
      <c r="I233" s="350"/>
      <c r="J233" s="343"/>
      <c r="K233"/>
      <c r="L233" s="6"/>
      <c r="M233" s="24"/>
      <c r="N233" s="6"/>
      <c r="O233" s="6"/>
      <c r="P233" s="29"/>
      <c r="Q233" s="29"/>
      <c r="R233" s="29"/>
      <c r="S233" s="29"/>
      <c r="T233" s="29"/>
      <c r="U233" s="775"/>
      <c r="V233" s="29"/>
      <c r="AY233" s="456"/>
      <c r="AZ233" s="456"/>
      <c r="BA233" s="456"/>
    </row>
    <row r="234" spans="1:53" ht="12.75">
      <c r="A234" s="29"/>
      <c r="B234" s="29"/>
      <c r="C234" s="29"/>
      <c r="D234" s="29"/>
      <c r="E234" s="31">
        <f>$E$8</f>
        <v>2006</v>
      </c>
      <c r="F234" s="31">
        <f>$E$8</f>
        <v>2006</v>
      </c>
      <c r="I234" s="350"/>
      <c r="J234" s="343"/>
      <c r="K234"/>
      <c r="L234" s="6"/>
      <c r="M234" s="6"/>
      <c r="N234" s="6"/>
      <c r="O234" s="6"/>
      <c r="P234" s="6"/>
      <c r="Q234" s="6"/>
      <c r="R234" s="6"/>
      <c r="S234" s="29"/>
      <c r="T234" s="29"/>
      <c r="U234" s="775"/>
      <c r="V234" s="29"/>
      <c r="AY234" s="456"/>
      <c r="AZ234" s="456"/>
      <c r="BA234" s="456"/>
    </row>
    <row r="235" spans="1:53" ht="12.75">
      <c r="A235" s="23"/>
      <c r="B235" s="23"/>
      <c r="E235" s="27" t="s">
        <v>910</v>
      </c>
      <c r="F235" s="27" t="s">
        <v>911</v>
      </c>
      <c r="I235" s="346"/>
      <c r="J235" s="343"/>
      <c r="K235"/>
      <c r="L235" s="22" t="s">
        <v>1243</v>
      </c>
      <c r="M235" s="23" t="str">
        <f>CONCATENATE("Zorgvernieuwingsprojecten ",$E$8," (",K10,")")</f>
        <v>Zorgvernieuwingsprojecten 2006 (Incl. voorl. index 2006)</v>
      </c>
      <c r="N235" s="6"/>
      <c r="O235" s="6"/>
      <c r="P235" s="6"/>
      <c r="Q235" s="6"/>
      <c r="R235" s="6"/>
      <c r="S235" s="99"/>
      <c r="T235" s="99"/>
      <c r="U235" s="164"/>
      <c r="V235" s="5"/>
      <c r="AY235" s="456"/>
      <c r="AZ235" s="456"/>
      <c r="BA235" s="456"/>
    </row>
    <row r="236" spans="1:53" ht="12.75">
      <c r="A236" s="22"/>
      <c r="B236" s="23" t="s">
        <v>919</v>
      </c>
      <c r="C236" s="6"/>
      <c r="D236" s="5"/>
      <c r="E236" s="7"/>
      <c r="F236" s="5"/>
      <c r="I236" s="351"/>
      <c r="J236" s="343"/>
      <c r="K236"/>
      <c r="L236" s="36">
        <f>A266+1</f>
        <v>1013</v>
      </c>
      <c r="M236" s="171"/>
      <c r="N236" s="171"/>
      <c r="O236" s="171"/>
      <c r="P236" s="171"/>
      <c r="Q236" s="171"/>
      <c r="R236" s="171"/>
      <c r="S236" s="1145"/>
      <c r="T236" s="1146"/>
      <c r="U236" s="151"/>
      <c r="V236" s="320"/>
      <c r="AY236" s="456"/>
      <c r="AZ236" s="456"/>
      <c r="BA236" s="456"/>
    </row>
    <row r="237" spans="1:53" ht="12.75">
      <c r="A237" s="36">
        <v>1001</v>
      </c>
      <c r="B237" s="46" t="s">
        <v>1537</v>
      </c>
      <c r="C237" s="37"/>
      <c r="D237" s="37"/>
      <c r="E237" s="757"/>
      <c r="F237" s="168">
        <f>E237</f>
        <v>0</v>
      </c>
      <c r="I237" s="352" t="s">
        <v>1007</v>
      </c>
      <c r="J237" s="343"/>
      <c r="K237"/>
      <c r="L237" s="36">
        <f aca="true" t="shared" si="69" ref="L237:L252">L236+1</f>
        <v>1014</v>
      </c>
      <c r="M237" s="171"/>
      <c r="N237" s="171"/>
      <c r="O237" s="171"/>
      <c r="P237" s="171"/>
      <c r="Q237" s="171"/>
      <c r="R237" s="171"/>
      <c r="S237" s="1145"/>
      <c r="T237" s="1146"/>
      <c r="U237" s="151"/>
      <c r="V237" s="774"/>
      <c r="X237" s="908">
        <f>E237*A237</f>
        <v>0</v>
      </c>
      <c r="Y237" s="917">
        <f>E237</f>
        <v>0</v>
      </c>
      <c r="AY237" s="456"/>
      <c r="AZ237" s="456"/>
      <c r="BA237" s="456"/>
    </row>
    <row r="238" spans="1:53" ht="12.75">
      <c r="A238" s="36">
        <f>A237+1</f>
        <v>1002</v>
      </c>
      <c r="B238" s="40" t="s">
        <v>218</v>
      </c>
      <c r="C238" s="37"/>
      <c r="D238" s="37"/>
      <c r="E238" s="757"/>
      <c r="F238" s="168">
        <f>E238</f>
        <v>0</v>
      </c>
      <c r="I238" s="347" t="s">
        <v>1744</v>
      </c>
      <c r="J238" s="343"/>
      <c r="K238"/>
      <c r="L238" s="36">
        <f t="shared" si="69"/>
        <v>1015</v>
      </c>
      <c r="M238" s="171"/>
      <c r="N238" s="171"/>
      <c r="O238" s="171"/>
      <c r="P238" s="171"/>
      <c r="Q238" s="171"/>
      <c r="R238" s="171"/>
      <c r="S238" s="1145"/>
      <c r="T238" s="1146"/>
      <c r="U238" s="151"/>
      <c r="V238" s="774"/>
      <c r="X238" s="908">
        <f>E238*A238</f>
        <v>0</v>
      </c>
      <c r="Y238" s="917">
        <f>E238</f>
        <v>0</v>
      </c>
      <c r="AY238" s="456"/>
      <c r="AZ238" s="456"/>
      <c r="BA238" s="456"/>
    </row>
    <row r="239" spans="1:53" ht="12.75">
      <c r="A239" s="36">
        <f>A238+1</f>
        <v>1003</v>
      </c>
      <c r="B239" s="40" t="s">
        <v>219</v>
      </c>
      <c r="C239" s="37"/>
      <c r="D239" s="37"/>
      <c r="E239" s="757"/>
      <c r="F239" s="168">
        <f>E239</f>
        <v>0</v>
      </c>
      <c r="I239" s="347" t="s">
        <v>1745</v>
      </c>
      <c r="J239" s="343"/>
      <c r="K239"/>
      <c r="L239" s="36">
        <f t="shared" si="69"/>
        <v>1016</v>
      </c>
      <c r="M239" s="171"/>
      <c r="N239" s="171"/>
      <c r="O239" s="171"/>
      <c r="P239" s="171"/>
      <c r="Q239" s="171"/>
      <c r="R239" s="171"/>
      <c r="S239" s="1145"/>
      <c r="T239" s="1146"/>
      <c r="U239" s="147"/>
      <c r="V239" s="3"/>
      <c r="X239" s="908">
        <f>E239*A239</f>
        <v>0</v>
      </c>
      <c r="Y239" s="917">
        <f>E239</f>
        <v>0</v>
      </c>
      <c r="AY239" s="456"/>
      <c r="AZ239" s="456"/>
      <c r="BA239" s="456"/>
    </row>
    <row r="240" spans="1:53" ht="12.75">
      <c r="A240" s="36">
        <f>A239+1</f>
        <v>1004</v>
      </c>
      <c r="B240" s="44" t="s">
        <v>1725</v>
      </c>
      <c r="C240" s="50"/>
      <c r="D240" s="50"/>
      <c r="E240" s="123">
        <f>SUM(E237:E239)</f>
        <v>0</v>
      </c>
      <c r="F240" s="441">
        <f>SUM(F237:F239)</f>
        <v>0</v>
      </c>
      <c r="I240" s="354"/>
      <c r="J240" s="343"/>
      <c r="K240"/>
      <c r="L240" s="36">
        <f t="shared" si="69"/>
        <v>1017</v>
      </c>
      <c r="M240" s="171"/>
      <c r="N240" s="171"/>
      <c r="O240" s="171"/>
      <c r="P240" s="171"/>
      <c r="Q240" s="171"/>
      <c r="R240" s="171"/>
      <c r="S240" s="1145"/>
      <c r="T240" s="1146"/>
      <c r="U240" s="152"/>
      <c r="AY240" s="456"/>
      <c r="AZ240" s="456"/>
      <c r="BA240" s="456"/>
    </row>
    <row r="241" spans="9:53" ht="12.75">
      <c r="I241" s="351"/>
      <c r="J241" s="343"/>
      <c r="K241" s="299"/>
      <c r="L241" s="36">
        <f t="shared" si="69"/>
        <v>1018</v>
      </c>
      <c r="M241" s="171"/>
      <c r="N241" s="171"/>
      <c r="O241" s="171"/>
      <c r="P241" s="171"/>
      <c r="Q241" s="171"/>
      <c r="R241" s="171"/>
      <c r="S241" s="1145"/>
      <c r="T241" s="1146"/>
      <c r="U241" s="152"/>
      <c r="AY241" s="456"/>
      <c r="AZ241" s="456"/>
      <c r="BA241" s="456"/>
    </row>
    <row r="242" spans="9:53" ht="12.75">
      <c r="I242" s="351"/>
      <c r="J242" s="343"/>
      <c r="K242" s="310"/>
      <c r="L242" s="36">
        <f t="shared" si="69"/>
        <v>1019</v>
      </c>
      <c r="M242" s="171"/>
      <c r="N242" s="171"/>
      <c r="O242" s="171"/>
      <c r="P242" s="171"/>
      <c r="Q242" s="171"/>
      <c r="R242" s="171"/>
      <c r="S242" s="1145"/>
      <c r="T242" s="1146"/>
      <c r="U242" s="147"/>
      <c r="AY242" s="456"/>
      <c r="AZ242" s="456"/>
      <c r="BA242" s="456"/>
    </row>
    <row r="243" spans="1:53" ht="12.75">
      <c r="A243" s="22" t="s">
        <v>1995</v>
      </c>
      <c r="B243" s="23" t="str">
        <f>CONCATENATE("BESLAG OP CONTRACTEERRUIMTE ",$E$8)</f>
        <v>BESLAG OP CONTRACTEERRUIMTE 2006</v>
      </c>
      <c r="C243" s="6"/>
      <c r="D243" s="5"/>
      <c r="E243" s="7"/>
      <c r="F243" s="5"/>
      <c r="G243" s="5"/>
      <c r="H243" s="5"/>
      <c r="I243" s="351"/>
      <c r="J243" s="343"/>
      <c r="K243" s="310"/>
      <c r="L243" s="36">
        <f t="shared" si="69"/>
        <v>1020</v>
      </c>
      <c r="M243" s="171"/>
      <c r="N243" s="171"/>
      <c r="O243" s="171"/>
      <c r="P243" s="171"/>
      <c r="Q243" s="171"/>
      <c r="R243" s="171"/>
      <c r="S243" s="1145"/>
      <c r="T243" s="1146"/>
      <c r="U243" s="147"/>
      <c r="AY243" s="456"/>
      <c r="AZ243" s="456"/>
      <c r="BA243" s="456"/>
    </row>
    <row r="244" spans="3:53" ht="12.75">
      <c r="C244" s="6"/>
      <c r="D244" s="5"/>
      <c r="E244" s="7"/>
      <c r="F244" s="5"/>
      <c r="G244" s="5"/>
      <c r="H244" s="5"/>
      <c r="I244" s="351"/>
      <c r="J244" s="343"/>
      <c r="K244" s="310"/>
      <c r="L244" s="36">
        <f t="shared" si="69"/>
        <v>1021</v>
      </c>
      <c r="M244" s="171"/>
      <c r="N244" s="171"/>
      <c r="O244" s="171"/>
      <c r="P244" s="171"/>
      <c r="Q244" s="171"/>
      <c r="R244" s="171"/>
      <c r="S244" s="1145"/>
      <c r="T244" s="1146"/>
      <c r="U244" s="147"/>
      <c r="AY244" s="456"/>
      <c r="AZ244" s="456"/>
      <c r="BA244" s="456"/>
    </row>
    <row r="245" spans="1:53" ht="12.75">
      <c r="A245" s="36">
        <f>A240+1</f>
        <v>1005</v>
      </c>
      <c r="B245" s="992" t="str">
        <f>IF($P$3=1,"A Afspraak t.l.v. de contracteerruimte exclusief geoormerkte ",IF($P$3=2,"A Afspraak t.l.v. de contracteerruimte exclusief geoormerkte ","A Mutatie afspraaak t.l.v. de contracteerruimte exclusief "))</f>
        <v>A Afspraak t.l.v. de contracteerruimte exclusief geoormerkte </v>
      </c>
      <c r="C245" s="833"/>
      <c r="D245" s="833"/>
      <c r="E245" s="833"/>
      <c r="F245" s="993"/>
      <c r="G245" s="1237">
        <f>S315</f>
        <v>0</v>
      </c>
      <c r="H245" s="1144"/>
      <c r="I245" s="355"/>
      <c r="J245" s="343"/>
      <c r="K245" s="310"/>
      <c r="L245" s="36">
        <f t="shared" si="69"/>
        <v>1022</v>
      </c>
      <c r="M245" s="171"/>
      <c r="N245" s="171"/>
      <c r="O245" s="171"/>
      <c r="P245" s="171"/>
      <c r="Q245" s="171"/>
      <c r="R245" s="171"/>
      <c r="S245" s="1145"/>
      <c r="T245" s="1146"/>
      <c r="U245" s="147"/>
      <c r="AY245" s="456"/>
      <c r="AZ245" s="456"/>
      <c r="BA245" s="456"/>
    </row>
    <row r="246" spans="1:53" ht="12.75">
      <c r="A246" s="24"/>
      <c r="B246" s="994" t="str">
        <f>IF($P$3=1,"   gelden (regel 1166)",IF($P$3=2,"   gelden (regel 1166)","   geoormerkte gelden (regel 1166)"))</f>
        <v>   gelden (regel 1166)</v>
      </c>
      <c r="C246" s="995"/>
      <c r="D246" s="995"/>
      <c r="E246" s="995"/>
      <c r="F246" s="996"/>
      <c r="G246" s="6"/>
      <c r="I246" s="351"/>
      <c r="J246" s="343"/>
      <c r="K246" s="310"/>
      <c r="L246" s="36">
        <f t="shared" si="69"/>
        <v>1023</v>
      </c>
      <c r="M246" s="171"/>
      <c r="N246" s="171"/>
      <c r="O246" s="171"/>
      <c r="P246" s="171"/>
      <c r="Q246" s="171"/>
      <c r="R246" s="171"/>
      <c r="S246" s="1145"/>
      <c r="T246" s="1146"/>
      <c r="U246" s="152"/>
      <c r="V246" s="3"/>
      <c r="AY246" s="456"/>
      <c r="AZ246" s="456"/>
      <c r="BA246" s="456"/>
    </row>
    <row r="247" spans="9:53" ht="12.75">
      <c r="I247" s="341"/>
      <c r="J247" s="343"/>
      <c r="K247" s="310"/>
      <c r="L247" s="36">
        <f t="shared" si="69"/>
        <v>1024</v>
      </c>
      <c r="M247" s="171"/>
      <c r="N247" s="171"/>
      <c r="O247" s="171"/>
      <c r="P247" s="171"/>
      <c r="Q247" s="171"/>
      <c r="R247" s="171"/>
      <c r="S247" s="1145"/>
      <c r="T247" s="1146"/>
      <c r="U247" s="151"/>
      <c r="V247" s="3"/>
      <c r="AY247" s="456"/>
      <c r="AZ247" s="456"/>
      <c r="BA247" s="456"/>
    </row>
    <row r="248" spans="1:53" ht="12.75">
      <c r="A248" s="36">
        <f>A245+1</f>
        <v>1006</v>
      </c>
      <c r="B248" s="44" t="s">
        <v>726</v>
      </c>
      <c r="C248" s="1135"/>
      <c r="D248" s="1135"/>
      <c r="E248" s="1135"/>
      <c r="F248" s="821"/>
      <c r="G248" s="1419" t="s">
        <v>688</v>
      </c>
      <c r="H248" s="1420"/>
      <c r="I248" s="355"/>
      <c r="J248" s="343"/>
      <c r="K248" s="310"/>
      <c r="L248" s="36">
        <f t="shared" si="69"/>
        <v>1025</v>
      </c>
      <c r="M248" s="171"/>
      <c r="N248" s="171"/>
      <c r="O248" s="171"/>
      <c r="P248" s="171"/>
      <c r="Q248" s="171"/>
      <c r="R248" s="171"/>
      <c r="S248" s="1145"/>
      <c r="T248" s="1146"/>
      <c r="U248" s="153"/>
      <c r="V248" s="3"/>
      <c r="AY248" s="456"/>
      <c r="AZ248" s="456"/>
      <c r="BA248" s="456"/>
    </row>
    <row r="249" spans="9:53" ht="12.75">
      <c r="I249" s="355"/>
      <c r="J249" s="343"/>
      <c r="K249" s="310"/>
      <c r="L249" s="36">
        <f t="shared" si="69"/>
        <v>1026</v>
      </c>
      <c r="M249" s="171"/>
      <c r="N249" s="171"/>
      <c r="O249" s="171"/>
      <c r="P249" s="171"/>
      <c r="Q249" s="171"/>
      <c r="R249" s="171"/>
      <c r="S249" s="1145"/>
      <c r="T249" s="1146"/>
      <c r="U249" s="151"/>
      <c r="AY249" s="456"/>
      <c r="AZ249" s="456"/>
      <c r="BA249" s="456"/>
    </row>
    <row r="250" spans="1:53" ht="12.75">
      <c r="A250" s="990">
        <f>A248+1</f>
        <v>1007</v>
      </c>
      <c r="B250" s="1136" t="s">
        <v>725</v>
      </c>
      <c r="C250" s="1137"/>
      <c r="D250" s="1137"/>
      <c r="E250" s="1137"/>
      <c r="F250" s="1134"/>
      <c r="G250" s="1267" t="s">
        <v>688</v>
      </c>
      <c r="H250" s="1255"/>
      <c r="I250" s="355"/>
      <c r="J250" s="343"/>
      <c r="K250" s="310"/>
      <c r="L250" s="36">
        <f t="shared" si="69"/>
        <v>1027</v>
      </c>
      <c r="M250" s="171"/>
      <c r="N250" s="171"/>
      <c r="O250" s="171"/>
      <c r="P250" s="171"/>
      <c r="Q250" s="171"/>
      <c r="R250" s="171"/>
      <c r="S250" s="1145"/>
      <c r="T250" s="1146"/>
      <c r="U250" s="151"/>
      <c r="AY250" s="456"/>
      <c r="AZ250" s="456"/>
      <c r="BA250" s="456"/>
    </row>
    <row r="251" spans="9:53" ht="12.75">
      <c r="I251" s="355"/>
      <c r="J251" s="343"/>
      <c r="K251" s="310"/>
      <c r="L251" s="36">
        <f t="shared" si="69"/>
        <v>1028</v>
      </c>
      <c r="M251" s="171"/>
      <c r="N251" s="171"/>
      <c r="O251" s="171"/>
      <c r="P251" s="171"/>
      <c r="Q251" s="171"/>
      <c r="R251" s="171"/>
      <c r="S251" s="1145"/>
      <c r="T251" s="1146"/>
      <c r="U251" s="147"/>
      <c r="AY251" s="456"/>
      <c r="AZ251" s="456"/>
      <c r="BA251" s="456"/>
    </row>
    <row r="252" spans="1:53" ht="12.75">
      <c r="A252" s="990">
        <f>A250+1</f>
        <v>1008</v>
      </c>
      <c r="B252" s="988" t="str">
        <f>IF($P$3=1,"D Afspraak t.l.v. de contracteerruimte AIV-preventie en ",IF($P$3=2,"D Afspraak t.l.v. de contracteerruimte AIV-preventie en ","D Mutatie afspraak t.l.v. de contracteerruimte AIV-preventie en "))</f>
        <v>D Afspraak t.l.v. de contracteerruimte AIV-preventie en </v>
      </c>
      <c r="C252" s="987"/>
      <c r="D252" s="987"/>
      <c r="E252" s="987"/>
      <c r="F252" s="989"/>
      <c r="G252" s="1235">
        <f>Extramuraal!K103+Extramuraal!K104</f>
        <v>0</v>
      </c>
      <c r="H252" s="1144"/>
      <c r="I252" s="355"/>
      <c r="J252" s="343"/>
      <c r="K252" s="310"/>
      <c r="L252" s="36">
        <f t="shared" si="69"/>
        <v>1029</v>
      </c>
      <c r="M252" s="169" t="s">
        <v>223</v>
      </c>
      <c r="N252" s="493"/>
      <c r="O252" s="493"/>
      <c r="P252" s="493"/>
      <c r="Q252" s="493"/>
      <c r="R252" s="799"/>
      <c r="S252" s="1149">
        <f>SUM(S236:S251)</f>
        <v>0</v>
      </c>
      <c r="T252" s="1144"/>
      <c r="U252" s="147"/>
      <c r="X252" s="908">
        <f>S252*L252</f>
        <v>0</v>
      </c>
      <c r="AY252" s="456"/>
      <c r="AZ252" s="456"/>
      <c r="BA252" s="456"/>
    </row>
    <row r="253" spans="1:53" ht="12.75">
      <c r="A253" s="991"/>
      <c r="B253" s="857" t="str">
        <f>IF($P$3=1,"   voedingsvoorlichting",IF($P$3=2,"   voedingsvoorlichting","   voedingsvoorlichting"))</f>
        <v>   voedingsvoorlichting</v>
      </c>
      <c r="C253" s="836"/>
      <c r="D253" s="836"/>
      <c r="E253" s="836"/>
      <c r="F253" s="999" t="s">
        <v>1244</v>
      </c>
      <c r="I253" s="355"/>
      <c r="J253" s="343"/>
      <c r="K253" s="310"/>
      <c r="L253" s="11"/>
      <c r="M253" s="11"/>
      <c r="N253" s="86"/>
      <c r="O253" s="86"/>
      <c r="P253" s="86"/>
      <c r="Q253" s="86"/>
      <c r="R253" s="86"/>
      <c r="S253" s="122"/>
      <c r="T253" s="135"/>
      <c r="U253" s="152"/>
      <c r="V253" s="3"/>
      <c r="AY253" s="456"/>
      <c r="AZ253" s="456"/>
      <c r="BA253" s="456"/>
    </row>
    <row r="254" spans="9:53" ht="12.75">
      <c r="I254" s="355"/>
      <c r="J254" s="343"/>
      <c r="K254" s="310"/>
      <c r="L254" s="22" t="s">
        <v>1750</v>
      </c>
      <c r="M254" s="491" t="s">
        <v>309</v>
      </c>
      <c r="N254" s="86"/>
      <c r="O254" s="86"/>
      <c r="P254" s="86"/>
      <c r="Q254" s="86"/>
      <c r="R254" s="86"/>
      <c r="S254" s="122"/>
      <c r="T254" s="135"/>
      <c r="U254" s="152"/>
      <c r="V254" s="3"/>
      <c r="AY254" s="456"/>
      <c r="AZ254" s="456"/>
      <c r="BA254" s="456"/>
    </row>
    <row r="255" spans="1:53" ht="12.75">
      <c r="A255" s="36">
        <f>A252+1</f>
        <v>1009</v>
      </c>
      <c r="B255" s="129" t="str">
        <f>IF($P$3=1,"E Afspraak t.l.v. 1e tranche plan van aanpak MO-gelden G4 *) ",IF($P$3=2,"E Afspraak t.l.v. 1e tranche plan van aanpak MO-gelden G4 *) ","E Mutatie afspraak t.l.v. 1e tranche plan van aanpak MO-gelden G4 *) "))</f>
        <v>E Afspraak t.l.v. 1e tranche plan van aanpak MO-gelden G4 *) </v>
      </c>
      <c r="C255" s="170"/>
      <c r="D255" s="170"/>
      <c r="E255" s="170"/>
      <c r="F255" s="1117"/>
      <c r="G255" s="1235">
        <f>F271</f>
        <v>0</v>
      </c>
      <c r="H255" s="1144"/>
      <c r="I255" s="347" t="s">
        <v>418</v>
      </c>
      <c r="J255" s="343"/>
      <c r="K255" s="310"/>
      <c r="M255" s="44" t="s">
        <v>1907</v>
      </c>
      <c r="N255" s="877"/>
      <c r="O255" s="877"/>
      <c r="P255" s="878"/>
      <c r="Q255" s="33">
        <f>$E$8-1</f>
        <v>2005</v>
      </c>
      <c r="R255" s="875" t="s">
        <v>1911</v>
      </c>
      <c r="S255" s="1380" t="s">
        <v>234</v>
      </c>
      <c r="T255" s="1381"/>
      <c r="U255" s="152"/>
      <c r="V255" s="3"/>
      <c r="AY255" s="456"/>
      <c r="AZ255" s="456"/>
      <c r="BA255" s="456"/>
    </row>
    <row r="256" spans="1:53" ht="12.75">
      <c r="A256" s="36">
        <f>A255+1</f>
        <v>1010</v>
      </c>
      <c r="B256" s="129" t="str">
        <f>IF($P$3=1,"F Afspraak t.l.v. 2e tranche plan van aanpak MO-gelden G4 *) ",IF($P$3=2,"F Afspraak t.l.v. 2e tranche plan van aanpak MO-gelden G4 *) ","F Mutatie afspraak t.l.v. 2e tranche plan van aanpak MO-gelden G4 *) "))</f>
        <v>F Afspraak t.l.v. 2e tranche plan van aanpak MO-gelden G4 *) </v>
      </c>
      <c r="C256" s="170"/>
      <c r="D256" s="170"/>
      <c r="E256" s="170"/>
      <c r="F256" s="1117"/>
      <c r="G256" s="1235">
        <f>G271</f>
        <v>0</v>
      </c>
      <c r="H256" s="1144"/>
      <c r="I256" s="347" t="s">
        <v>419</v>
      </c>
      <c r="J256" s="343"/>
      <c r="K256" s="310"/>
      <c r="L256" s="36">
        <f>L252+1</f>
        <v>1030</v>
      </c>
      <c r="M256" s="46" t="s">
        <v>842</v>
      </c>
      <c r="N256" s="37"/>
      <c r="O256" s="37"/>
      <c r="P256" s="47" t="s">
        <v>706</v>
      </c>
      <c r="Q256" s="757"/>
      <c r="R256" s="966"/>
      <c r="S256" s="1227">
        <f aca="true" t="shared" si="70" ref="S256:S269">Q256*R256</f>
        <v>0</v>
      </c>
      <c r="T256" s="1144"/>
      <c r="U256" s="147"/>
      <c r="V256" s="3" t="s">
        <v>1393</v>
      </c>
      <c r="X256" s="908">
        <f>S256*L256</f>
        <v>0</v>
      </c>
      <c r="AY256" s="456"/>
      <c r="AZ256" s="456"/>
      <c r="BA256" s="456"/>
    </row>
    <row r="257" spans="1:53" ht="12.75">
      <c r="A257" s="22"/>
      <c r="B257" s="616" t="s">
        <v>109</v>
      </c>
      <c r="C257" s="379"/>
      <c r="D257" s="379"/>
      <c r="E257" s="379"/>
      <c r="F257" s="22"/>
      <c r="G257" s="22"/>
      <c r="H257" s="22"/>
      <c r="I257" s="347"/>
      <c r="J257" s="343"/>
      <c r="K257" s="310"/>
      <c r="L257" s="36">
        <f>L256+1</f>
        <v>1031</v>
      </c>
      <c r="M257" s="46" t="s">
        <v>1910</v>
      </c>
      <c r="N257" s="37"/>
      <c r="O257" s="37"/>
      <c r="P257" s="47" t="s">
        <v>290</v>
      </c>
      <c r="Q257" s="757"/>
      <c r="R257" s="966"/>
      <c r="S257" s="1227">
        <f t="shared" si="70"/>
        <v>0</v>
      </c>
      <c r="T257" s="1144"/>
      <c r="U257" s="776"/>
      <c r="V257" s="3" t="s">
        <v>1000</v>
      </c>
      <c r="W257" s="3"/>
      <c r="X257" s="908">
        <f aca="true" t="shared" si="71" ref="X257:X269">S257*L257</f>
        <v>0</v>
      </c>
      <c r="AY257" s="456"/>
      <c r="AZ257" s="456"/>
      <c r="BA257" s="456"/>
    </row>
    <row r="258" spans="2:53" ht="12.75">
      <c r="B258" s="99" t="s">
        <v>643</v>
      </c>
      <c r="C258" s="133"/>
      <c r="D258" s="133"/>
      <c r="E258" s="133"/>
      <c r="I258" s="355"/>
      <c r="J258" s="343"/>
      <c r="K258" s="310"/>
      <c r="L258" s="36">
        <f aca="true" t="shared" si="72" ref="L258:L270">L257+1</f>
        <v>1032</v>
      </c>
      <c r="M258" s="46" t="s">
        <v>1908</v>
      </c>
      <c r="N258" s="37"/>
      <c r="O258" s="37"/>
      <c r="P258" s="47" t="s">
        <v>960</v>
      </c>
      <c r="Q258" s="757"/>
      <c r="R258" s="966"/>
      <c r="S258" s="1227">
        <f t="shared" si="70"/>
        <v>0</v>
      </c>
      <c r="T258" s="1144"/>
      <c r="U258" s="776"/>
      <c r="V258" s="3" t="s">
        <v>1001</v>
      </c>
      <c r="W258" s="23"/>
      <c r="X258" s="908">
        <f t="shared" si="71"/>
        <v>0</v>
      </c>
      <c r="AY258" s="456"/>
      <c r="AZ258" s="456"/>
      <c r="BA258" s="456"/>
    </row>
    <row r="259" spans="2:53" ht="12.75">
      <c r="B259" s="565" t="s">
        <v>729</v>
      </c>
      <c r="C259" s="11"/>
      <c r="D259" s="11"/>
      <c r="E259" s="11"/>
      <c r="F259" s="22"/>
      <c r="G259" s="22"/>
      <c r="H259" s="22"/>
      <c r="I259" s="355"/>
      <c r="J259" s="343"/>
      <c r="K259" s="310"/>
      <c r="L259" s="36">
        <f t="shared" si="72"/>
        <v>1033</v>
      </c>
      <c r="M259" s="46" t="s">
        <v>1412</v>
      </c>
      <c r="N259" s="37"/>
      <c r="O259" s="37"/>
      <c r="P259" s="47" t="s">
        <v>291</v>
      </c>
      <c r="Q259" s="757"/>
      <c r="R259" s="966"/>
      <c r="S259" s="1227">
        <f t="shared" si="70"/>
        <v>0</v>
      </c>
      <c r="T259" s="1144"/>
      <c r="U259" s="157"/>
      <c r="V259" s="3" t="s">
        <v>1002</v>
      </c>
      <c r="W259" s="5"/>
      <c r="X259" s="908">
        <f t="shared" si="71"/>
        <v>0</v>
      </c>
      <c r="AY259" s="456"/>
      <c r="AZ259" s="456"/>
      <c r="BA259" s="456"/>
    </row>
    <row r="260" spans="9:53" ht="12.75" customHeight="1">
      <c r="I260" s="355"/>
      <c r="J260" s="343"/>
      <c r="K260" s="310"/>
      <c r="L260" s="36">
        <f t="shared" si="72"/>
        <v>1034</v>
      </c>
      <c r="M260" s="46" t="s">
        <v>965</v>
      </c>
      <c r="N260" s="37"/>
      <c r="O260" s="37"/>
      <c r="P260" s="47" t="s">
        <v>292</v>
      </c>
      <c r="Q260" s="757"/>
      <c r="R260" s="966"/>
      <c r="S260" s="1227">
        <f t="shared" si="70"/>
        <v>0</v>
      </c>
      <c r="T260" s="1144"/>
      <c r="U260" s="158"/>
      <c r="V260" s="3" t="s">
        <v>1003</v>
      </c>
      <c r="X260" s="908">
        <f t="shared" si="71"/>
        <v>0</v>
      </c>
      <c r="AY260" s="456"/>
      <c r="AZ260" s="456"/>
      <c r="BA260" s="456"/>
    </row>
    <row r="261" spans="1:53" ht="12.75">
      <c r="A261" s="36">
        <f>A256+1</f>
        <v>1011</v>
      </c>
      <c r="B261" s="129" t="str">
        <f>IF($P$3=1,"G Afspraak t.l.v. de contracteerruimte jeugd-GGZ **) ",IF($P$3=2,"G Afspraak t.l.v. de contracteerruimte jeugd-GGZ **) ","G Mutatie afspraak t.l.v. de contracteerruimte jeugd-GGZ **) "))</f>
        <v>G Afspraak t.l.v. de contracteerruimte jeugd-GGZ **) </v>
      </c>
      <c r="C261" s="170"/>
      <c r="D261" s="170"/>
      <c r="E261" s="170"/>
      <c r="F261" s="1117"/>
      <c r="G261" s="1191"/>
      <c r="H261" s="1146"/>
      <c r="I261" s="347" t="s">
        <v>733</v>
      </c>
      <c r="J261" s="343"/>
      <c r="K261" s="310"/>
      <c r="L261" s="36">
        <f t="shared" si="72"/>
        <v>1035</v>
      </c>
      <c r="M261" s="46" t="s">
        <v>973</v>
      </c>
      <c r="N261" s="37"/>
      <c r="O261" s="37"/>
      <c r="P261" s="47" t="s">
        <v>974</v>
      </c>
      <c r="Q261" s="757"/>
      <c r="R261" s="966"/>
      <c r="S261" s="1227">
        <f t="shared" si="70"/>
        <v>0</v>
      </c>
      <c r="T261" s="1144"/>
      <c r="U261" s="151"/>
      <c r="V261" s="3" t="s">
        <v>1903</v>
      </c>
      <c r="X261" s="908">
        <f t="shared" si="71"/>
        <v>0</v>
      </c>
      <c r="AY261" s="456"/>
      <c r="AZ261" s="456"/>
      <c r="BA261" s="456"/>
    </row>
    <row r="262" spans="2:53" ht="12.75">
      <c r="B262" s="616" t="s">
        <v>732</v>
      </c>
      <c r="I262" s="355"/>
      <c r="J262" s="343"/>
      <c r="K262" s="310"/>
      <c r="L262" s="36">
        <f t="shared" si="72"/>
        <v>1036</v>
      </c>
      <c r="M262" s="46" t="s">
        <v>1456</v>
      </c>
      <c r="N262" s="37"/>
      <c r="O262" s="37"/>
      <c r="P262" s="47" t="s">
        <v>1457</v>
      </c>
      <c r="Q262" s="757"/>
      <c r="R262" s="966"/>
      <c r="S262" s="1227">
        <f t="shared" si="70"/>
        <v>0</v>
      </c>
      <c r="T262" s="1144"/>
      <c r="U262" s="151"/>
      <c r="V262" s="3" t="s">
        <v>1394</v>
      </c>
      <c r="X262" s="908">
        <f t="shared" si="71"/>
        <v>0</v>
      </c>
      <c r="AY262" s="456"/>
      <c r="AZ262" s="456"/>
      <c r="BA262" s="456"/>
    </row>
    <row r="263" spans="2:53" ht="12.75">
      <c r="B263" s="99" t="s">
        <v>727</v>
      </c>
      <c r="I263" s="355"/>
      <c r="J263" s="343"/>
      <c r="K263" s="310"/>
      <c r="L263" s="36">
        <f t="shared" si="72"/>
        <v>1037</v>
      </c>
      <c r="M263" s="46" t="s">
        <v>1905</v>
      </c>
      <c r="N263" s="37"/>
      <c r="O263" s="37"/>
      <c r="P263" s="47" t="s">
        <v>817</v>
      </c>
      <c r="Q263" s="757"/>
      <c r="R263" s="966"/>
      <c r="S263" s="1227">
        <f t="shared" si="70"/>
        <v>0</v>
      </c>
      <c r="T263" s="1144"/>
      <c r="U263" s="151"/>
      <c r="V263" s="3" t="s">
        <v>1906</v>
      </c>
      <c r="X263" s="908">
        <f t="shared" si="71"/>
        <v>0</v>
      </c>
      <c r="AY263" s="456"/>
      <c r="AZ263" s="456"/>
      <c r="BA263" s="456"/>
    </row>
    <row r="264" spans="2:53" ht="12.75">
      <c r="B264" s="565" t="s">
        <v>728</v>
      </c>
      <c r="I264" s="347"/>
      <c r="J264" s="343"/>
      <c r="K264" s="310"/>
      <c r="L264" s="36">
        <f t="shared" si="72"/>
        <v>1038</v>
      </c>
      <c r="M264" s="46" t="s">
        <v>1909</v>
      </c>
      <c r="N264" s="37"/>
      <c r="O264" s="37"/>
      <c r="P264" s="47" t="s">
        <v>293</v>
      </c>
      <c r="Q264" s="757"/>
      <c r="R264" s="966"/>
      <c r="S264" s="1227">
        <f t="shared" si="70"/>
        <v>0</v>
      </c>
      <c r="T264" s="1144"/>
      <c r="U264" s="151"/>
      <c r="V264" s="3" t="s">
        <v>1904</v>
      </c>
      <c r="X264" s="908">
        <f t="shared" si="71"/>
        <v>0</v>
      </c>
      <c r="AY264" s="456"/>
      <c r="AZ264" s="456"/>
      <c r="BA264" s="456"/>
    </row>
    <row r="265" spans="2:53" ht="12.75">
      <c r="B265" s="99"/>
      <c r="I265" s="355"/>
      <c r="J265" s="343"/>
      <c r="K265" s="310"/>
      <c r="L265" s="36">
        <f t="shared" si="72"/>
        <v>1039</v>
      </c>
      <c r="M265" s="46" t="s">
        <v>843</v>
      </c>
      <c r="N265" s="37"/>
      <c r="O265" s="37"/>
      <c r="P265" s="47" t="s">
        <v>294</v>
      </c>
      <c r="Q265" s="757"/>
      <c r="R265" s="966"/>
      <c r="S265" s="1227">
        <f t="shared" si="70"/>
        <v>0</v>
      </c>
      <c r="T265" s="1144"/>
      <c r="U265" s="151"/>
      <c r="V265" s="3" t="s">
        <v>1395</v>
      </c>
      <c r="X265" s="908">
        <f t="shared" si="71"/>
        <v>0</v>
      </c>
      <c r="AY265" s="456"/>
      <c r="AZ265" s="456"/>
      <c r="BA265" s="456"/>
    </row>
    <row r="266" spans="1:53" ht="12.75">
      <c r="A266" s="36">
        <f>A261+1</f>
        <v>1012</v>
      </c>
      <c r="B266" s="44" t="str">
        <f>IF($P$3=1,"H Totaal afspraken t.l.v. de contracteerruimte 2006 (A t/m G)",IF($P$3=2,"H Totaal afspraken t.l.v. de contracteerruimte 2006 (A t/m G)","H Mutatie afspraken t.l.v. de contracteerruimte 2006 (A t/m G)"))</f>
        <v>H Totaal afspraken t.l.v. de contracteerruimte 2006 (A t/m G)</v>
      </c>
      <c r="C266" s="536"/>
      <c r="D266" s="536"/>
      <c r="E266" s="536"/>
      <c r="F266" s="821"/>
      <c r="G266" s="1235">
        <f>G245+G252+G255+G256+G261</f>
        <v>0</v>
      </c>
      <c r="H266" s="1144"/>
      <c r="I266" s="355"/>
      <c r="J266" s="343"/>
      <c r="K266" s="310"/>
      <c r="L266" s="36">
        <f t="shared" si="72"/>
        <v>1040</v>
      </c>
      <c r="M266" s="46" t="s">
        <v>1465</v>
      </c>
      <c r="N266" s="37"/>
      <c r="O266" s="37"/>
      <c r="P266" s="47" t="s">
        <v>295</v>
      </c>
      <c r="Q266" s="757"/>
      <c r="R266" s="966"/>
      <c r="S266" s="1227">
        <f t="shared" si="70"/>
        <v>0</v>
      </c>
      <c r="T266" s="1144"/>
      <c r="U266" s="151"/>
      <c r="V266" s="3" t="s">
        <v>1396</v>
      </c>
      <c r="X266" s="908">
        <f t="shared" si="71"/>
        <v>0</v>
      </c>
      <c r="AY266" s="456"/>
      <c r="AZ266" s="456"/>
      <c r="BA266" s="456"/>
    </row>
    <row r="267" spans="9:53" ht="12.75">
      <c r="I267" s="355"/>
      <c r="J267" s="343"/>
      <c r="K267" s="310"/>
      <c r="L267" s="36">
        <f t="shared" si="72"/>
        <v>1041</v>
      </c>
      <c r="M267" s="46" t="s">
        <v>846</v>
      </c>
      <c r="N267" s="37"/>
      <c r="O267" s="37"/>
      <c r="P267" s="47" t="s">
        <v>296</v>
      </c>
      <c r="Q267" s="757"/>
      <c r="R267" s="966"/>
      <c r="S267" s="1227">
        <f t="shared" si="70"/>
        <v>0</v>
      </c>
      <c r="T267" s="1144"/>
      <c r="U267" s="154"/>
      <c r="V267" s="3" t="s">
        <v>1397</v>
      </c>
      <c r="X267" s="908">
        <f t="shared" si="71"/>
        <v>0</v>
      </c>
      <c r="AY267" s="456"/>
      <c r="AZ267" s="456"/>
      <c r="BA267" s="456"/>
    </row>
    <row r="268" spans="2:53" ht="12.75">
      <c r="B268" s="1126" t="s">
        <v>730</v>
      </c>
      <c r="C268" s="397"/>
      <c r="D268" s="397"/>
      <c r="E268" s="397"/>
      <c r="F268" s="397"/>
      <c r="G268" s="397"/>
      <c r="H268" s="397"/>
      <c r="I268" s="347"/>
      <c r="J268" s="343"/>
      <c r="K268" s="310"/>
      <c r="L268" s="36">
        <f t="shared" si="72"/>
        <v>1042</v>
      </c>
      <c r="M268" s="46" t="s">
        <v>844</v>
      </c>
      <c r="N268" s="37"/>
      <c r="O268" s="37"/>
      <c r="P268" s="47" t="s">
        <v>818</v>
      </c>
      <c r="Q268" s="757"/>
      <c r="R268" s="966"/>
      <c r="S268" s="1227">
        <f t="shared" si="70"/>
        <v>0</v>
      </c>
      <c r="T268" s="1144"/>
      <c r="U268" s="154"/>
      <c r="V268" s="3" t="s">
        <v>1398</v>
      </c>
      <c r="X268" s="908">
        <f t="shared" si="71"/>
        <v>0</v>
      </c>
      <c r="AY268" s="456"/>
      <c r="AZ268" s="456"/>
      <c r="BA268" s="456"/>
    </row>
    <row r="269" spans="1:52" s="125" customFormat="1" ht="12.75">
      <c r="A269" s="1121"/>
      <c r="B269" s="785"/>
      <c r="C269" s="785"/>
      <c r="D269" s="785"/>
      <c r="E269" s="785"/>
      <c r="F269" s="1118" t="str">
        <f>IF($P$3=1,"Beslag MO-gelden ",IF($P$3=2,"Beslag MO-gelden ","Mutatie beslag MO-gelden "))</f>
        <v>Beslag MO-gelden </v>
      </c>
      <c r="G269" s="1118"/>
      <c r="H269" s="1119"/>
      <c r="I269" s="347"/>
      <c r="J269" s="343"/>
      <c r="K269" s="310"/>
      <c r="L269" s="36">
        <f t="shared" si="72"/>
        <v>1043</v>
      </c>
      <c r="M269" s="46" t="s">
        <v>845</v>
      </c>
      <c r="N269" s="37"/>
      <c r="O269" s="37"/>
      <c r="P269" s="47" t="s">
        <v>297</v>
      </c>
      <c r="Q269" s="757"/>
      <c r="R269" s="966"/>
      <c r="S269" s="1227">
        <f t="shared" si="70"/>
        <v>0</v>
      </c>
      <c r="T269" s="1144"/>
      <c r="U269" s="154"/>
      <c r="V269" s="3" t="s">
        <v>1399</v>
      </c>
      <c r="X269" s="908">
        <f t="shared" si="71"/>
        <v>0</v>
      </c>
      <c r="Y269" s="917"/>
      <c r="AY269" s="455"/>
      <c r="AZ269" s="455"/>
    </row>
    <row r="270" spans="1:52" s="125" customFormat="1" ht="12.75">
      <c r="A270" s="1122"/>
      <c r="B270" s="1127" t="s">
        <v>714</v>
      </c>
      <c r="C270" s="11"/>
      <c r="D270" s="11" t="s">
        <v>132</v>
      </c>
      <c r="E270" s="11"/>
      <c r="F270" s="11" t="s">
        <v>1895</v>
      </c>
      <c r="G270" s="11" t="s">
        <v>713</v>
      </c>
      <c r="H270" s="1120"/>
      <c r="I270" s="355"/>
      <c r="J270" s="343"/>
      <c r="K270" s="310"/>
      <c r="L270" s="36">
        <f t="shared" si="72"/>
        <v>1044</v>
      </c>
      <c r="M270" s="169" t="s">
        <v>223</v>
      </c>
      <c r="N270" s="493"/>
      <c r="O270" s="493"/>
      <c r="P270" s="493"/>
      <c r="Q270" s="493"/>
      <c r="R270" s="799"/>
      <c r="S270" s="1149">
        <f>SUM(S256:T269)</f>
        <v>0</v>
      </c>
      <c r="T270" s="1144"/>
      <c r="U270" s="154"/>
      <c r="V270" s="23"/>
      <c r="X270" s="910"/>
      <c r="Y270" s="917"/>
      <c r="AY270" s="455"/>
      <c r="AZ270" s="455"/>
    </row>
    <row r="271" spans="1:52" s="125" customFormat="1" ht="12.75">
      <c r="A271" s="1128">
        <f>A266+1</f>
        <v>1013</v>
      </c>
      <c r="B271" s="1125" t="str">
        <f>IF(NAW!AH240=1,CONCATENATE("120.",voorblad!F32," ",voorblad!D34)," ")</f>
        <v> </v>
      </c>
      <c r="C271" s="170"/>
      <c r="D271" s="1133">
        <f>voorblad!D35</f>
        <v>0</v>
      </c>
      <c r="E271" s="1117"/>
      <c r="F271" s="60"/>
      <c r="G271" s="1191"/>
      <c r="H271" s="1260"/>
      <c r="I271" s="355"/>
      <c r="J271" s="343"/>
      <c r="K271" s="310"/>
      <c r="L271" s="202" t="s">
        <v>724</v>
      </c>
      <c r="U271" s="154"/>
      <c r="V271" s="23"/>
      <c r="X271" s="910"/>
      <c r="Y271" s="917"/>
      <c r="AY271" s="455"/>
      <c r="AZ271" s="455"/>
    </row>
    <row r="272" spans="1:52" s="125" customFormat="1" ht="12.75">
      <c r="A272" s="1122" t="s">
        <v>731</v>
      </c>
      <c r="B272" s="1123"/>
      <c r="C272" s="565"/>
      <c r="D272" s="565"/>
      <c r="E272" s="565"/>
      <c r="F272" s="565"/>
      <c r="G272" s="565"/>
      <c r="H272" s="1124"/>
      <c r="I272" s="355"/>
      <c r="J272" s="343"/>
      <c r="K272" s="310"/>
      <c r="L272" s="202" t="s">
        <v>1993</v>
      </c>
      <c r="M272" s="99"/>
      <c r="N272" s="99"/>
      <c r="O272" s="99"/>
      <c r="P272" s="99"/>
      <c r="Q272" s="99"/>
      <c r="R272" s="99"/>
      <c r="S272" s="99"/>
      <c r="T272" s="99"/>
      <c r="U272" s="154"/>
      <c r="V272" s="23"/>
      <c r="X272" s="910"/>
      <c r="Y272" s="917"/>
      <c r="AY272" s="455"/>
      <c r="AZ272" s="455"/>
    </row>
    <row r="273" spans="1:52" s="125" customFormat="1" ht="12.75">
      <c r="A273" s="1129" t="s">
        <v>417</v>
      </c>
      <c r="B273" s="1130"/>
      <c r="C273" s="1131"/>
      <c r="D273" s="1131"/>
      <c r="E273" s="1131"/>
      <c r="F273" s="1131"/>
      <c r="G273" s="1131"/>
      <c r="H273" s="1132"/>
      <c r="I273" s="355"/>
      <c r="J273" s="343"/>
      <c r="K273" s="310"/>
      <c r="L273" s="202" t="s">
        <v>957</v>
      </c>
      <c r="M273" s="99"/>
      <c r="N273" s="99"/>
      <c r="O273" s="99"/>
      <c r="P273" s="99"/>
      <c r="Q273" s="99"/>
      <c r="R273" s="99"/>
      <c r="S273" s="99"/>
      <c r="T273" s="99"/>
      <c r="U273" s="154"/>
      <c r="V273" s="23"/>
      <c r="X273" s="910"/>
      <c r="Y273" s="917"/>
      <c r="AY273" s="455"/>
      <c r="AZ273" s="455"/>
    </row>
    <row r="274" spans="1:52" ht="12.75">
      <c r="A274" s="22"/>
      <c r="B274" s="5"/>
      <c r="C274" s="6"/>
      <c r="D274" s="5"/>
      <c r="E274" s="7"/>
      <c r="F274" s="5"/>
      <c r="G274" s="5"/>
      <c r="H274" s="5"/>
      <c r="I274" s="354"/>
      <c r="J274" s="344"/>
      <c r="K274" s="299"/>
      <c r="L274" s="5"/>
      <c r="M274" s="876"/>
      <c r="N274" s="6"/>
      <c r="O274" s="5"/>
      <c r="P274" s="5"/>
      <c r="Q274" s="5"/>
      <c r="R274" s="5"/>
      <c r="S274" s="5"/>
      <c r="T274" s="5"/>
      <c r="U274" s="151"/>
      <c r="V274" s="3"/>
      <c r="AY274" s="10"/>
      <c r="AZ274" s="10"/>
    </row>
    <row r="275" spans="1:52" ht="8.25" customHeight="1">
      <c r="A275" s="22"/>
      <c r="B275" s="5"/>
      <c r="C275" s="6"/>
      <c r="D275" s="5"/>
      <c r="E275" s="7"/>
      <c r="F275" s="5"/>
      <c r="G275" s="5"/>
      <c r="H275" s="5"/>
      <c r="I275" s="354"/>
      <c r="J275" s="344"/>
      <c r="K275" s="299"/>
      <c r="L275" s="5"/>
      <c r="M275" s="876"/>
      <c r="N275" s="6"/>
      <c r="O275" s="5"/>
      <c r="P275" s="5"/>
      <c r="Q275" s="5"/>
      <c r="R275" s="5"/>
      <c r="S275" s="5"/>
      <c r="T275" s="5"/>
      <c r="U275" s="151"/>
      <c r="V275" s="3"/>
      <c r="AY275" s="10"/>
      <c r="AZ275" s="10"/>
    </row>
    <row r="276" spans="1:52" ht="12.75">
      <c r="A276" s="22" t="s">
        <v>933</v>
      </c>
      <c r="B276" s="23" t="str">
        <f>CONCATENATE("BUDGETBEREKENING ",$E$8)</f>
        <v>BUDGETBEREKENING 2006</v>
      </c>
      <c r="C276" s="24"/>
      <c r="D276" s="24"/>
      <c r="F276" s="1264" t="str">
        <f>CONCATENATE("Rekenstaat ",$E$8)</f>
        <v>Rekenstaat 2006</v>
      </c>
      <c r="G276" s="1271"/>
      <c r="H276" s="1272"/>
      <c r="I276" s="356"/>
      <c r="J276" s="344"/>
      <c r="K276" s="311"/>
      <c r="L276" s="22" t="s">
        <v>931</v>
      </c>
      <c r="M276" s="23" t="str">
        <f>CONCATENATE("VOORLOPIGE NACALCULATIE PRODUCTIE ",$E$8-1)</f>
        <v>VOORLOPIGE NACALCULATIE PRODUCTIE 2005</v>
      </c>
      <c r="N276" s="24"/>
      <c r="O276" s="24"/>
      <c r="P276" s="24"/>
      <c r="Q276" s="29"/>
      <c r="U276" s="152"/>
      <c r="V276" s="29"/>
      <c r="Y276" s="918"/>
      <c r="AY276" s="10"/>
      <c r="AZ276" s="10"/>
    </row>
    <row r="277" spans="6:52" ht="12.75">
      <c r="F277" s="532"/>
      <c r="G277" s="339"/>
      <c r="I277" s="356"/>
      <c r="J277" s="344"/>
      <c r="K277" s="311"/>
      <c r="L277" s="29"/>
      <c r="M277" s="11" t="str">
        <f>CONCATENATE("Werkelijke productie ",$E$8-1)</f>
        <v>Werkelijke productie 2005</v>
      </c>
      <c r="N277" s="80"/>
      <c r="O277" s="80"/>
      <c r="P277" s="80"/>
      <c r="Q277" s="29"/>
      <c r="R277" s="29"/>
      <c r="S277" s="29"/>
      <c r="T277" s="29"/>
      <c r="U277" s="149"/>
      <c r="V277" s="29"/>
      <c r="Y277" s="917">
        <f>SUM(Y11:Y276)</f>
        <v>0</v>
      </c>
      <c r="AY277" s="10"/>
      <c r="AZ277" s="10"/>
    </row>
    <row r="278" spans="1:52" ht="12.75">
      <c r="A278" s="28"/>
      <c r="B278" s="23" t="s">
        <v>715</v>
      </c>
      <c r="C278" s="24"/>
      <c r="D278" s="24"/>
      <c r="E278" s="24"/>
      <c r="F278" s="604"/>
      <c r="G278" s="1273" t="s">
        <v>2284</v>
      </c>
      <c r="H278" s="1274"/>
      <c r="I278" s="347"/>
      <c r="J278" s="344"/>
      <c r="K278" s="299"/>
      <c r="L278" s="36">
        <f>A319+1</f>
        <v>1136</v>
      </c>
      <c r="M278" s="46" t="str">
        <f>CONCATENATE("Dagen(",A17,",",A26,",",A37,",",A45,",",A51,",",A58,")")</f>
        <v>Dagen(507,515,525,532,601,607)</v>
      </c>
      <c r="N278" s="37"/>
      <c r="O278" s="37"/>
      <c r="P278" s="37"/>
      <c r="Q278" s="47"/>
      <c r="R278" s="1147">
        <f>S17+S26+S37+S45+S51+S58</f>
        <v>0</v>
      </c>
      <c r="S278" s="1143"/>
      <c r="T278" s="1144"/>
      <c r="U278" s="155"/>
      <c r="V278" s="3"/>
      <c r="AY278" s="10"/>
      <c r="AZ278" s="10"/>
    </row>
    <row r="279" spans="1:52" ht="12.75">
      <c r="A279" s="36">
        <v>1101</v>
      </c>
      <c r="B279" s="46" t="s">
        <v>236</v>
      </c>
      <c r="C279" s="37"/>
      <c r="D279" s="37"/>
      <c r="E279" s="339"/>
      <c r="F279" s="387"/>
      <c r="G279" s="1145"/>
      <c r="H279" s="1146"/>
      <c r="I279" s="347" t="s">
        <v>229</v>
      </c>
      <c r="J279" s="344"/>
      <c r="K279" s="299"/>
      <c r="L279" s="36">
        <f aca="true" t="shared" si="73" ref="L279:L286">L278+1</f>
        <v>1137</v>
      </c>
      <c r="M279" s="46" t="str">
        <f>CONCATENATE("Deeltijd (",A64,", ",A69,", ",A77," en ",A79,")")</f>
        <v>Deeltijd (610, 614, 621 en 622)</v>
      </c>
      <c r="N279" s="48"/>
      <c r="O279" s="48"/>
      <c r="P279" s="48"/>
      <c r="Q279" s="49"/>
      <c r="R279" s="1147">
        <f>S64+S69+S77+S79</f>
        <v>0</v>
      </c>
      <c r="S279" s="1148"/>
      <c r="T279" s="1144"/>
      <c r="U279" s="147"/>
      <c r="V279" s="29"/>
      <c r="X279" s="908">
        <f aca="true" t="shared" si="74" ref="X279:X284">G279*A279</f>
        <v>0</v>
      </c>
      <c r="Y279" s="917">
        <f>-G279</f>
        <v>0</v>
      </c>
      <c r="AY279" s="10"/>
      <c r="AZ279" s="10"/>
    </row>
    <row r="280" spans="1:52" ht="12.75">
      <c r="A280" s="36">
        <f aca="true" t="shared" si="75" ref="A280:A285">A279+1</f>
        <v>1102</v>
      </c>
      <c r="B280" s="46" t="s">
        <v>235</v>
      </c>
      <c r="C280" s="37"/>
      <c r="D280" s="37"/>
      <c r="E280" s="339"/>
      <c r="F280" s="387"/>
      <c r="G280" s="1145"/>
      <c r="H280" s="1146"/>
      <c r="I280" s="347" t="s">
        <v>228</v>
      </c>
      <c r="J280" s="344"/>
      <c r="K280" s="299"/>
      <c r="L280" s="36">
        <f t="shared" si="73"/>
        <v>1138</v>
      </c>
      <c r="M280" s="46" t="str">
        <f>B299</f>
        <v>Eerste opnames (klinisch en deeltijd) (628)</v>
      </c>
      <c r="N280" s="48"/>
      <c r="O280" s="48"/>
      <c r="P280" s="48"/>
      <c r="Q280" s="49"/>
      <c r="R280" s="1147">
        <f>S87</f>
        <v>0</v>
      </c>
      <c r="S280" s="1143"/>
      <c r="T280" s="1144"/>
      <c r="U280" s="147"/>
      <c r="V280" s="29"/>
      <c r="X280" s="908">
        <f t="shared" si="74"/>
        <v>0</v>
      </c>
      <c r="Y280" s="917">
        <f>-G280</f>
        <v>0</v>
      </c>
      <c r="AY280" s="10"/>
      <c r="AZ280" s="10"/>
    </row>
    <row r="281" spans="1:52" ht="12.75">
      <c r="A281" s="36">
        <f t="shared" si="75"/>
        <v>1103</v>
      </c>
      <c r="B281" s="46" t="s">
        <v>1005</v>
      </c>
      <c r="C281" s="37"/>
      <c r="D281" s="37"/>
      <c r="E281" s="339"/>
      <c r="F281" s="387"/>
      <c r="G281" s="1145"/>
      <c r="H281" s="1146"/>
      <c r="I281" s="347" t="s">
        <v>231</v>
      </c>
      <c r="J281" s="344"/>
      <c r="K281" s="299"/>
      <c r="L281" s="36">
        <f t="shared" si="73"/>
        <v>1139</v>
      </c>
      <c r="M281" s="46" t="str">
        <f>B300</f>
        <v>Zorgvernieuwingsprojecten 2006 (629)</v>
      </c>
      <c r="N281" s="48"/>
      <c r="O281" s="48"/>
      <c r="P281" s="48"/>
      <c r="Q281" s="49"/>
      <c r="R281" s="1147">
        <f>S90</f>
        <v>0</v>
      </c>
      <c r="S281" s="1143"/>
      <c r="T281" s="1144"/>
      <c r="U281" s="147"/>
      <c r="V281" s="29"/>
      <c r="X281" s="908">
        <f t="shared" si="74"/>
        <v>0</v>
      </c>
      <c r="Y281" s="917">
        <f>-G281</f>
        <v>0</v>
      </c>
      <c r="AY281" s="10"/>
      <c r="AZ281" s="10"/>
    </row>
    <row r="282" spans="1:52" ht="12.75">
      <c r="A282" s="36">
        <f t="shared" si="75"/>
        <v>1104</v>
      </c>
      <c r="B282" s="46" t="s">
        <v>1006</v>
      </c>
      <c r="C282" s="37"/>
      <c r="D282" s="37"/>
      <c r="E282" s="339"/>
      <c r="F282" s="387"/>
      <c r="G282" s="1145"/>
      <c r="H282" s="1146"/>
      <c r="I282" s="347" t="s">
        <v>230</v>
      </c>
      <c r="J282" s="344"/>
      <c r="K282" s="299"/>
      <c r="L282" s="36">
        <f t="shared" si="73"/>
        <v>1140</v>
      </c>
      <c r="M282" s="46" t="str">
        <f>CONCATENATE("Ambulant (",A109,", ",A122,", ",A135,", ",A152," en ",A162,")")</f>
        <v>Ambulant (712, 724, 736, 812 en 821)</v>
      </c>
      <c r="N282" s="48"/>
      <c r="O282" s="48"/>
      <c r="P282" s="48"/>
      <c r="Q282" s="49"/>
      <c r="R282" s="1147">
        <f>S109+S122+S135+S152+S162</f>
        <v>0</v>
      </c>
      <c r="S282" s="1143"/>
      <c r="T282" s="1144"/>
      <c r="U282" s="147"/>
      <c r="V282" s="5"/>
      <c r="X282" s="908">
        <f t="shared" si="74"/>
        <v>0</v>
      </c>
      <c r="Y282" s="917">
        <f>-G282</f>
        <v>0</v>
      </c>
      <c r="AY282" s="10"/>
      <c r="AZ282" s="10"/>
    </row>
    <row r="283" spans="1:52" ht="12.75">
      <c r="A283" s="36">
        <f t="shared" si="75"/>
        <v>1105</v>
      </c>
      <c r="B283" s="46" t="s">
        <v>1729</v>
      </c>
      <c r="C283" s="37"/>
      <c r="D283" s="37"/>
      <c r="E283" s="339"/>
      <c r="F283" s="387"/>
      <c r="G283" s="1145"/>
      <c r="H283" s="1146"/>
      <c r="I283" s="347" t="s">
        <v>972</v>
      </c>
      <c r="J283" s="344"/>
      <c r="K283" s="299"/>
      <c r="L283" s="36">
        <f t="shared" si="73"/>
        <v>1141</v>
      </c>
      <c r="M283" s="46" t="str">
        <f>B306</f>
        <v>Dienstverlening en preventie (822, 823)</v>
      </c>
      <c r="N283" s="48"/>
      <c r="O283" s="48"/>
      <c r="P283" s="48"/>
      <c r="Q283" s="49"/>
      <c r="R283" s="1147">
        <f>S165+S166</f>
        <v>0</v>
      </c>
      <c r="S283" s="1143"/>
      <c r="T283" s="1144"/>
      <c r="U283" s="147"/>
      <c r="V283" s="5"/>
      <c r="X283" s="908">
        <f t="shared" si="74"/>
        <v>0</v>
      </c>
      <c r="Y283" s="917">
        <f>-G283</f>
        <v>0</v>
      </c>
      <c r="AY283" s="10"/>
      <c r="AZ283" s="10"/>
    </row>
    <row r="284" spans="1:52" ht="12.75">
      <c r="A284" s="36">
        <f t="shared" si="75"/>
        <v>1106</v>
      </c>
      <c r="B284" s="687" t="s">
        <v>981</v>
      </c>
      <c r="F284" s="387"/>
      <c r="G284" s="1145">
        <v>0</v>
      </c>
      <c r="H284" s="1146"/>
      <c r="I284" s="347" t="s">
        <v>982</v>
      </c>
      <c r="J284" s="344"/>
      <c r="K284" s="299"/>
      <c r="L284" s="36">
        <f t="shared" si="73"/>
        <v>1142</v>
      </c>
      <c r="M284" s="46" t="str">
        <f>B307</f>
        <v>Ov.productiegebonden kosten excl. prijsafspraken (838)</v>
      </c>
      <c r="N284" s="48"/>
      <c r="O284" s="48"/>
      <c r="P284" s="48"/>
      <c r="Q284" s="49"/>
      <c r="R284" s="1147">
        <f>S183</f>
        <v>0</v>
      </c>
      <c r="S284" s="1143"/>
      <c r="T284" s="1144"/>
      <c r="U284" s="147"/>
      <c r="V284" s="3"/>
      <c r="X284" s="908">
        <f t="shared" si="74"/>
        <v>0</v>
      </c>
      <c r="AY284" s="10"/>
      <c r="AZ284" s="10"/>
    </row>
    <row r="285" spans="1:25" ht="13.5" thickBot="1">
      <c r="A285" s="36">
        <f t="shared" si="75"/>
        <v>1107</v>
      </c>
      <c r="B285" s="44" t="s">
        <v>223</v>
      </c>
      <c r="C285" s="42"/>
      <c r="D285" s="50"/>
      <c r="E285" s="536"/>
      <c r="F285" s="861"/>
      <c r="G285" s="1254">
        <f>SUM(G279:H284)</f>
        <v>0</v>
      </c>
      <c r="H285" s="1255"/>
      <c r="I285" s="347"/>
      <c r="J285" s="344"/>
      <c r="K285" s="299"/>
      <c r="L285" s="36">
        <f t="shared" si="73"/>
        <v>1143</v>
      </c>
      <c r="M285" s="808" t="s">
        <v>981</v>
      </c>
      <c r="N285" s="339"/>
      <c r="O285" s="339"/>
      <c r="P285" s="339"/>
      <c r="Q285" s="387"/>
      <c r="R285" s="1147">
        <f>S270</f>
        <v>0</v>
      </c>
      <c r="S285" s="1143"/>
      <c r="T285" s="1144"/>
      <c r="U285" s="147"/>
      <c r="V285" s="3"/>
      <c r="Y285" s="919">
        <f>SUM(Y277:Y284)</f>
        <v>0</v>
      </c>
    </row>
    <row r="286" spans="9:24" ht="13.5" thickTop="1">
      <c r="I286" s="347"/>
      <c r="J286" s="344"/>
      <c r="K286" s="299"/>
      <c r="L286" s="36">
        <f t="shared" si="73"/>
        <v>1144</v>
      </c>
      <c r="M286" s="44" t="str">
        <f>CONCATENATE("Werkelijke productie ",$E$8-1)</f>
        <v>Werkelijke productie 2005</v>
      </c>
      <c r="N286" s="50"/>
      <c r="O286" s="50"/>
      <c r="P286" s="50"/>
      <c r="Q286" s="51"/>
      <c r="R286" s="1149">
        <f>SUM(R278:T285)</f>
        <v>0</v>
      </c>
      <c r="S286" s="1143"/>
      <c r="T286" s="1144"/>
      <c r="U286" s="147"/>
      <c r="V286" s="3"/>
      <c r="X286" s="908">
        <f>R286*L286</f>
        <v>0</v>
      </c>
    </row>
    <row r="287" spans="9:22" ht="12.75">
      <c r="I287" s="347"/>
      <c r="J287" s="344"/>
      <c r="K287" s="299"/>
      <c r="U287" s="147"/>
      <c r="V287" s="3"/>
    </row>
    <row r="288" spans="1:21" ht="12.75">
      <c r="A288" s="11"/>
      <c r="B288" s="24" t="str">
        <f>IF($P$3=2,"Nieuw budget 2006 na productieafspraken",IF($P$3=1," ","Mutatie budget 2006"))</f>
        <v> </v>
      </c>
      <c r="C288" s="6"/>
      <c r="D288" s="6"/>
      <c r="E288" s="55"/>
      <c r="F288" s="56"/>
      <c r="G288" s="1273" t="s">
        <v>2284</v>
      </c>
      <c r="H288" s="1274"/>
      <c r="I288" s="347"/>
      <c r="J288" s="344"/>
      <c r="K288" s="299"/>
      <c r="L288" s="5"/>
      <c r="M288" s="22" t="str">
        <f>CONCATENATE("Beschikbaar productiebudget ",$E$8-1)</f>
        <v>Beschikbaar productiebudget 2005</v>
      </c>
      <c r="N288" s="6"/>
      <c r="O288" s="5"/>
      <c r="P288" s="5"/>
      <c r="Q288" s="5"/>
      <c r="R288" s="59"/>
      <c r="S288" s="59"/>
      <c r="T288" s="59"/>
      <c r="U288" s="147"/>
    </row>
    <row r="289" spans="1:22" ht="12" customHeight="1">
      <c r="A289" s="36">
        <f>A285+1</f>
        <v>1108</v>
      </c>
      <c r="B289" s="46" t="str">
        <f>CONCATENATE(B10," (regel ",A17,")")</f>
        <v>Dagen verslavingszorg (regel 507)</v>
      </c>
      <c r="C289" s="37"/>
      <c r="D289" s="52"/>
      <c r="E289" s="57"/>
      <c r="F289" s="387"/>
      <c r="G289" s="1227">
        <f>L17</f>
        <v>0</v>
      </c>
      <c r="H289" s="1253"/>
      <c r="I289" s="357"/>
      <c r="J289" s="344"/>
      <c r="K289" s="311"/>
      <c r="L289" s="36">
        <f>L286+1</f>
        <v>1145</v>
      </c>
      <c r="M289" s="46" t="s">
        <v>236</v>
      </c>
      <c r="N289" s="37"/>
      <c r="O289" s="52"/>
      <c r="P289" s="52"/>
      <c r="Q289" s="47"/>
      <c r="R289" s="1145">
        <v>0</v>
      </c>
      <c r="S289" s="1143"/>
      <c r="T289" s="1144"/>
      <c r="U289" s="164"/>
      <c r="V289" s="3" t="s">
        <v>229</v>
      </c>
    </row>
    <row r="290" spans="1:24" ht="12.75" customHeight="1">
      <c r="A290" s="36">
        <f aca="true" t="shared" si="76" ref="A290:A313">A289+1</f>
        <v>1109</v>
      </c>
      <c r="B290" s="46" t="str">
        <f>CONCATENATE(B18," (",A26,")")</f>
        <v>Dagen kinderen en jeugd (515)</v>
      </c>
      <c r="C290" s="37"/>
      <c r="D290" s="52"/>
      <c r="E290" s="57"/>
      <c r="F290" s="387"/>
      <c r="G290" s="1227">
        <f>L26</f>
        <v>0</v>
      </c>
      <c r="H290" s="1253"/>
      <c r="I290" s="358"/>
      <c r="J290" s="344"/>
      <c r="K290" s="314"/>
      <c r="L290" s="36">
        <f aca="true" t="shared" si="77" ref="L290:L297">L289+1</f>
        <v>1146</v>
      </c>
      <c r="M290" s="46" t="s">
        <v>1005</v>
      </c>
      <c r="N290" s="52"/>
      <c r="O290" s="37"/>
      <c r="P290" s="37"/>
      <c r="Q290" s="49"/>
      <c r="R290" s="1145"/>
      <c r="S290" s="1143"/>
      <c r="T290" s="1144"/>
      <c r="U290" s="147"/>
      <c r="V290" s="3" t="s">
        <v>231</v>
      </c>
      <c r="X290" s="908">
        <f>R289*L289</f>
        <v>0</v>
      </c>
    </row>
    <row r="291" spans="1:24" ht="12.75">
      <c r="A291" s="36">
        <f t="shared" si="76"/>
        <v>1110</v>
      </c>
      <c r="B291" s="46" t="str">
        <f>CONCATENATE(B27," (",A37,")")</f>
        <v>Dagen volwassenen en ouderen (525)</v>
      </c>
      <c r="C291" s="37"/>
      <c r="D291" s="52"/>
      <c r="E291" s="57"/>
      <c r="F291" s="387"/>
      <c r="G291" s="1227">
        <f>L37</f>
        <v>0</v>
      </c>
      <c r="H291" s="1253"/>
      <c r="I291" s="353"/>
      <c r="J291" s="344"/>
      <c r="K291" s="315"/>
      <c r="L291" s="36">
        <f t="shared" si="77"/>
        <v>1147</v>
      </c>
      <c r="M291" s="46" t="s">
        <v>926</v>
      </c>
      <c r="N291" s="52"/>
      <c r="O291" s="37"/>
      <c r="P291" s="37"/>
      <c r="Q291" s="47"/>
      <c r="R291" s="1145"/>
      <c r="S291" s="1143"/>
      <c r="T291" s="1144"/>
      <c r="U291" s="147"/>
      <c r="V291" s="3" t="s">
        <v>972</v>
      </c>
      <c r="X291" s="908">
        <f>R290*L290</f>
        <v>0</v>
      </c>
    </row>
    <row r="292" spans="1:24" ht="12.75">
      <c r="A292" s="36">
        <f t="shared" si="76"/>
        <v>1111</v>
      </c>
      <c r="B292" s="46" t="str">
        <f>CONCATENATE(B38," (",A45,")")</f>
        <v>Dagen forensisch (532)</v>
      </c>
      <c r="C292" s="37"/>
      <c r="D292" s="52"/>
      <c r="E292" s="57"/>
      <c r="F292" s="387"/>
      <c r="G292" s="1227">
        <f>L45</f>
        <v>0</v>
      </c>
      <c r="H292" s="1253"/>
      <c r="I292" s="353"/>
      <c r="J292" s="344"/>
      <c r="K292" s="315"/>
      <c r="L292" s="36">
        <f t="shared" si="77"/>
        <v>1148</v>
      </c>
      <c r="M292" s="99" t="s">
        <v>981</v>
      </c>
      <c r="R292" s="1145"/>
      <c r="S292" s="1143"/>
      <c r="T292" s="1144"/>
      <c r="U292" s="147"/>
      <c r="V292" s="3" t="s">
        <v>982</v>
      </c>
      <c r="X292" s="908">
        <f>R291*L291</f>
        <v>0</v>
      </c>
    </row>
    <row r="293" spans="1:24" ht="12.75">
      <c r="A293" s="36">
        <f t="shared" si="76"/>
        <v>1112</v>
      </c>
      <c r="B293" s="46" t="str">
        <f>CONCATENATE(B50," (",A51,")")</f>
        <v>Dagen klinisch intensieve behandeling (601)</v>
      </c>
      <c r="C293" s="37"/>
      <c r="D293" s="52"/>
      <c r="E293" s="57"/>
      <c r="F293" s="387"/>
      <c r="G293" s="1227">
        <f>L51</f>
        <v>0</v>
      </c>
      <c r="H293" s="1253"/>
      <c r="I293" s="353"/>
      <c r="J293" s="344"/>
      <c r="K293" s="315"/>
      <c r="L293" s="36">
        <f t="shared" si="77"/>
        <v>1149</v>
      </c>
      <c r="M293" s="44" t="str">
        <f>CONCATENATE("Beschikbaar prod. budget ",$E$8-1)</f>
        <v>Beschikbaar prod. budget 2005</v>
      </c>
      <c r="N293" s="50"/>
      <c r="O293" s="50"/>
      <c r="P293" s="50"/>
      <c r="Q293" s="50"/>
      <c r="R293" s="1149">
        <f>SUM(R289:T292)</f>
        <v>0</v>
      </c>
      <c r="S293" s="1143"/>
      <c r="T293" s="1143"/>
      <c r="U293" s="147"/>
      <c r="X293" s="908">
        <f>R292*L292</f>
        <v>0</v>
      </c>
    </row>
    <row r="294" spans="1:22" ht="12.75">
      <c r="A294" s="36">
        <f t="shared" si="76"/>
        <v>1113</v>
      </c>
      <c r="B294" s="46" t="str">
        <f>CONCATENATE(B52," (",A58,")")</f>
        <v>Verzorgingsdagen kleinschalig wonen (607)</v>
      </c>
      <c r="C294" s="37"/>
      <c r="D294" s="52"/>
      <c r="E294" s="57"/>
      <c r="F294" s="387"/>
      <c r="G294" s="1227">
        <f>L58</f>
        <v>0</v>
      </c>
      <c r="H294" s="1253"/>
      <c r="I294" s="353"/>
      <c r="J294" s="344"/>
      <c r="K294" s="315"/>
      <c r="L294" s="36">
        <f t="shared" si="77"/>
        <v>1150</v>
      </c>
      <c r="M294" s="46" t="str">
        <f>CONCATENATE("Onder/overschrijding(",L286,"-",L293,")")</f>
        <v>Onder/overschrijding(1144-1149)</v>
      </c>
      <c r="N294" s="37"/>
      <c r="O294" s="37"/>
      <c r="P294" s="37"/>
      <c r="Q294" s="37"/>
      <c r="R294" s="1227">
        <f>ROUND(R286-R293,0)</f>
        <v>0</v>
      </c>
      <c r="S294" s="1143"/>
      <c r="T294" s="1143"/>
      <c r="U294" s="147"/>
      <c r="V294" s="3"/>
    </row>
    <row r="295" spans="1:22" ht="12.75">
      <c r="A295" s="36">
        <f t="shared" si="76"/>
        <v>1114</v>
      </c>
      <c r="B295" s="46" t="str">
        <f>CONCATENATE(B61," (",A64,")")</f>
        <v>Deeltijd verslavingszorg (610)</v>
      </c>
      <c r="C295" s="37"/>
      <c r="D295" s="52"/>
      <c r="E295" s="57"/>
      <c r="F295" s="387"/>
      <c r="G295" s="1227">
        <f>L64</f>
        <v>0</v>
      </c>
      <c r="H295" s="1253"/>
      <c r="I295" s="353"/>
      <c r="J295" s="344"/>
      <c r="K295" s="315"/>
      <c r="L295" s="36">
        <f t="shared" si="77"/>
        <v>1151</v>
      </c>
      <c r="M295" s="44" t="str">
        <f>CONCATENATE("Nacalculatie productie  ",$E$8-1)</f>
        <v>Nacalculatie productie  2005</v>
      </c>
      <c r="N295" s="50"/>
      <c r="O295" s="50"/>
      <c r="P295" s="50"/>
      <c r="Q295" s="51"/>
      <c r="R295" s="1149">
        <f>IF(R294&gt;0,0,R294)</f>
        <v>0</v>
      </c>
      <c r="S295" s="1143"/>
      <c r="T295" s="1143"/>
      <c r="U295" s="776"/>
      <c r="V295" s="23"/>
    </row>
    <row r="296" spans="1:22" ht="12.75">
      <c r="A296" s="36">
        <f t="shared" si="76"/>
        <v>1115</v>
      </c>
      <c r="B296" s="46" t="str">
        <f>CONCATENATE(B65," (",A69,")")</f>
        <v>Deeltijd kinderen en jeugd (614)</v>
      </c>
      <c r="C296" s="37"/>
      <c r="D296" s="52"/>
      <c r="E296" s="57"/>
      <c r="F296" s="387"/>
      <c r="G296" s="1227">
        <f>L69</f>
        <v>0</v>
      </c>
      <c r="H296" s="1253"/>
      <c r="I296" s="353"/>
      <c r="J296" s="344"/>
      <c r="K296" s="315"/>
      <c r="L296" s="36">
        <f t="shared" si="77"/>
        <v>1152</v>
      </c>
      <c r="M296" s="44" t="s">
        <v>213</v>
      </c>
      <c r="N296" s="50"/>
      <c r="O296" s="50"/>
      <c r="P296" s="50"/>
      <c r="Q296" s="51"/>
      <c r="R296" s="1142" t="str">
        <f>IF(R295=0," ",ROUND(R295/R293,2))</f>
        <v> </v>
      </c>
      <c r="S296" s="1143"/>
      <c r="T296" s="1144"/>
      <c r="U296" s="156"/>
      <c r="V296" s="29"/>
    </row>
    <row r="297" spans="1:21" ht="12.75">
      <c r="A297" s="36">
        <f t="shared" si="76"/>
        <v>1116</v>
      </c>
      <c r="B297" s="46" t="str">
        <f>CONCATENATE(B70," (",A77,")")</f>
        <v>Deeltijd volwassenen en ouderen (621)</v>
      </c>
      <c r="C297" s="37"/>
      <c r="D297" s="52"/>
      <c r="E297" s="57"/>
      <c r="F297" s="387"/>
      <c r="G297" s="1227">
        <f>L77</f>
        <v>0</v>
      </c>
      <c r="H297" s="1253"/>
      <c r="I297" s="353"/>
      <c r="J297" s="344"/>
      <c r="K297" s="315"/>
      <c r="L297" s="36">
        <f t="shared" si="77"/>
        <v>1153</v>
      </c>
      <c r="M297" s="981" t="s">
        <v>986</v>
      </c>
      <c r="N297" s="982"/>
      <c r="O297" s="982"/>
      <c r="P297" s="982"/>
      <c r="Q297" s="983"/>
      <c r="R297" s="1474"/>
      <c r="S297" s="1143"/>
      <c r="T297" s="1144"/>
      <c r="U297" s="776"/>
    </row>
    <row r="298" spans="1:24" ht="12.75">
      <c r="A298" s="36">
        <f t="shared" si="76"/>
        <v>1117</v>
      </c>
      <c r="B298" s="46" t="str">
        <f>CONCATENATE(B78," (",A79,")")</f>
        <v>Deeltijd forensisch (622)</v>
      </c>
      <c r="C298" s="37"/>
      <c r="D298" s="52"/>
      <c r="E298" s="57"/>
      <c r="F298" s="387"/>
      <c r="G298" s="1227">
        <f>L79</f>
        <v>0</v>
      </c>
      <c r="H298" s="1253"/>
      <c r="I298" s="353"/>
      <c r="J298" s="344"/>
      <c r="K298" s="315"/>
      <c r="L298" s="36">
        <f>L297+1</f>
        <v>1154</v>
      </c>
      <c r="M298" s="44" t="str">
        <f>CONCATENATE("Voorl. nac. productie  ",$E$8-1)</f>
        <v>Voorl. nac. productie  2005</v>
      </c>
      <c r="N298" s="50"/>
      <c r="O298" s="50"/>
      <c r="P298" s="50"/>
      <c r="Q298" s="51"/>
      <c r="R298" s="1149">
        <f>R295+R297</f>
        <v>0</v>
      </c>
      <c r="S298" s="1143"/>
      <c r="T298" s="1143"/>
      <c r="U298" s="147"/>
      <c r="V298" s="5" t="s">
        <v>1751</v>
      </c>
      <c r="X298" s="908">
        <f>R297*L297</f>
        <v>0</v>
      </c>
    </row>
    <row r="299" spans="1:21" ht="12.75">
      <c r="A299" s="36">
        <f t="shared" si="76"/>
        <v>1118</v>
      </c>
      <c r="B299" s="46" t="str">
        <f>CONCATENATE(B81," (",A87,")")</f>
        <v>Eerste opnames (klinisch en deeltijd) (628)</v>
      </c>
      <c r="C299" s="37"/>
      <c r="D299" s="52"/>
      <c r="E299" s="57"/>
      <c r="F299" s="387"/>
      <c r="G299" s="1227">
        <f>L87</f>
        <v>0</v>
      </c>
      <c r="H299" s="1253"/>
      <c r="I299" s="353"/>
      <c r="J299" s="344"/>
      <c r="K299" s="315"/>
      <c r="L299" s="36">
        <f>L298+1</f>
        <v>1155</v>
      </c>
      <c r="M299" s="44" t="str">
        <f>CONCATENATE("Voorl.nac. prod. budget ",$E$8-1,"**)")</f>
        <v>Voorl.nac. prod. budget 2005**)</v>
      </c>
      <c r="N299" s="50"/>
      <c r="O299" s="50"/>
      <c r="P299" s="50"/>
      <c r="Q299" s="51"/>
      <c r="R299" s="1149">
        <f>R293+R298</f>
        <v>0</v>
      </c>
      <c r="S299" s="1143"/>
      <c r="T299" s="1143"/>
      <c r="U299" s="147"/>
    </row>
    <row r="300" spans="1:22" ht="12.75">
      <c r="A300" s="36">
        <f t="shared" si="76"/>
        <v>1119</v>
      </c>
      <c r="B300" s="46" t="str">
        <f>CONCATENATE(B90," (",A90,")")</f>
        <v>Zorgvernieuwingsprojecten 2006 (629)</v>
      </c>
      <c r="C300" s="37"/>
      <c r="D300" s="52"/>
      <c r="E300" s="57"/>
      <c r="F300" s="387"/>
      <c r="G300" s="1227">
        <f>F90</f>
        <v>0</v>
      </c>
      <c r="H300" s="1253"/>
      <c r="I300" s="353"/>
      <c r="J300" s="344"/>
      <c r="K300" s="315"/>
      <c r="L300" s="458"/>
      <c r="M300" s="202" t="s">
        <v>704</v>
      </c>
      <c r="N300" s="202"/>
      <c r="O300" s="202"/>
      <c r="P300" s="202"/>
      <c r="Q300" s="202"/>
      <c r="T300" s="1067">
        <f>IF(R294&gt;0,R294,0)</f>
        <v>0</v>
      </c>
      <c r="U300" s="147"/>
      <c r="V300" s="5" t="s">
        <v>987</v>
      </c>
    </row>
    <row r="301" spans="1:21" ht="12.75">
      <c r="A301" s="36">
        <f t="shared" si="76"/>
        <v>1120</v>
      </c>
      <c r="B301" s="46" t="str">
        <f>CONCATENATE(B97," (",A109,")")</f>
        <v>Ambulant kinderen en jeugd (712)</v>
      </c>
      <c r="C301" s="37"/>
      <c r="D301" s="52"/>
      <c r="E301" s="52"/>
      <c r="F301" s="387"/>
      <c r="G301" s="1227">
        <f>L109</f>
        <v>0</v>
      </c>
      <c r="H301" s="1253"/>
      <c r="I301" s="353"/>
      <c r="J301" s="344"/>
      <c r="K301" s="315"/>
      <c r="M301" s="202" t="str">
        <f>CONCATENATE("   nacalculatie productie c.f. regel ",L295)</f>
        <v>   nacalculatie productie c.f. regel 1151</v>
      </c>
      <c r="N301" s="458"/>
      <c r="O301" s="458"/>
      <c r="P301" s="458"/>
      <c r="Q301" s="458"/>
      <c r="R301" s="458"/>
      <c r="U301" s="147"/>
    </row>
    <row r="302" spans="1:21" ht="12.75" customHeight="1">
      <c r="A302" s="36">
        <f t="shared" si="76"/>
        <v>1121</v>
      </c>
      <c r="B302" s="46" t="str">
        <f>CONCATENATE(B110," (",A122,")")</f>
        <v>Ambulant volwassenen (724)</v>
      </c>
      <c r="C302" s="37"/>
      <c r="D302" s="52"/>
      <c r="E302" s="52"/>
      <c r="F302" s="387"/>
      <c r="G302" s="1227">
        <f>L122</f>
        <v>0</v>
      </c>
      <c r="H302" s="1253"/>
      <c r="I302" s="353"/>
      <c r="J302" s="344"/>
      <c r="K302" s="315"/>
      <c r="L302" s="202"/>
      <c r="M302" s="202" t="str">
        <f>CONCATENATE("**) Voorlopige nacalculatie productiebudget is regel ",L293,"+",L298)</f>
        <v>**) Voorlopige nacalculatie productiebudget is regel 1149+1154</v>
      </c>
      <c r="U302" s="147"/>
    </row>
    <row r="303" spans="1:21" ht="12.75">
      <c r="A303" s="36">
        <f t="shared" si="76"/>
        <v>1122</v>
      </c>
      <c r="B303" s="46" t="str">
        <f>CONCATENATE(B123," (",A135,")")</f>
        <v>Ambulant ouderen (736)</v>
      </c>
      <c r="C303" s="37"/>
      <c r="D303" s="52"/>
      <c r="E303" s="52"/>
      <c r="F303" s="461"/>
      <c r="G303" s="1227">
        <f>L135</f>
        <v>0</v>
      </c>
      <c r="H303" s="1253"/>
      <c r="I303" s="353"/>
      <c r="J303" s="344"/>
      <c r="K303" s="315"/>
      <c r="U303" s="147"/>
    </row>
    <row r="304" spans="1:21" ht="12.75">
      <c r="A304" s="36">
        <f t="shared" si="76"/>
        <v>1123</v>
      </c>
      <c r="B304" s="46" t="str">
        <f>CONCATENATE(B139," (",A152,")")</f>
        <v>Ambulant verslavingszorg (812)</v>
      </c>
      <c r="C304" s="37"/>
      <c r="D304" s="52"/>
      <c r="E304" s="52"/>
      <c r="F304" s="387"/>
      <c r="G304" s="1227">
        <f>L152</f>
        <v>0</v>
      </c>
      <c r="H304" s="1253"/>
      <c r="I304" s="353"/>
      <c r="J304" s="344"/>
      <c r="K304" s="315"/>
      <c r="L304" s="296" t="s">
        <v>1734</v>
      </c>
      <c r="M304" s="809" t="s">
        <v>1114</v>
      </c>
      <c r="U304" s="147"/>
    </row>
    <row r="305" spans="1:22" ht="12.75" customHeight="1">
      <c r="A305" s="36">
        <f t="shared" si="76"/>
        <v>1124</v>
      </c>
      <c r="B305" s="46" t="str">
        <f>CONCATENATE(B153," (",A162,")")</f>
        <v>Ambulant forensisch (821)</v>
      </c>
      <c r="C305" s="37"/>
      <c r="D305" s="52"/>
      <c r="E305" s="52"/>
      <c r="F305" s="387"/>
      <c r="G305" s="1227">
        <f>L162</f>
        <v>0</v>
      </c>
      <c r="H305" s="1253"/>
      <c r="I305" s="353"/>
      <c r="J305" s="344"/>
      <c r="K305" s="315"/>
      <c r="L305" s="36">
        <f>L299+1</f>
        <v>1156</v>
      </c>
      <c r="M305" s="46" t="str">
        <f>CONCATENATE("Productiebudget 2006 ","(",A313,")")</f>
        <v>Productiebudget 2006 (1132)</v>
      </c>
      <c r="N305" s="339"/>
      <c r="O305" s="339"/>
      <c r="P305" s="339"/>
      <c r="Q305" s="339"/>
      <c r="R305" s="339"/>
      <c r="S305" s="1227">
        <f>G313</f>
        <v>0</v>
      </c>
      <c r="T305" s="1144"/>
      <c r="U305" s="776"/>
      <c r="V305" s="23"/>
    </row>
    <row r="306" spans="1:22" ht="12.75" customHeight="1">
      <c r="A306" s="36">
        <f t="shared" si="76"/>
        <v>1125</v>
      </c>
      <c r="B306" s="46" t="str">
        <f>CONCATENATE(B164," (",A165,", ",A166,")")</f>
        <v>Dienstverlening en preventie (822, 823)</v>
      </c>
      <c r="C306" s="37"/>
      <c r="D306" s="52"/>
      <c r="E306" s="52"/>
      <c r="F306" s="387"/>
      <c r="G306" s="1227">
        <f>L165+L166</f>
        <v>0</v>
      </c>
      <c r="H306" s="1253"/>
      <c r="I306" s="353"/>
      <c r="J306" s="344"/>
      <c r="K306" s="315"/>
      <c r="L306" s="36">
        <f aca="true" t="shared" si="78" ref="L306:L313">L305+1</f>
        <v>1157</v>
      </c>
      <c r="M306" s="46" t="str">
        <f>CONCATENATE("-/-Productie capaciteitswijziging ","(",A318,")")</f>
        <v>-/-Productie capaciteitswijziging (1134)</v>
      </c>
      <c r="S306" s="1227">
        <f>G318</f>
        <v>0</v>
      </c>
      <c r="T306" s="1144"/>
      <c r="U306" s="147"/>
      <c r="V306" s="5"/>
    </row>
    <row r="307" spans="1:22" ht="12.75">
      <c r="A307" s="36">
        <f t="shared" si="76"/>
        <v>1126</v>
      </c>
      <c r="B307" s="46" t="str">
        <f>CONCATENATE("Ov.productiegebonden kosten excl. prijsafspraken"," (",A183,")")</f>
        <v>Ov.productiegebonden kosten excl. prijsafspraken (838)</v>
      </c>
      <c r="C307" s="37"/>
      <c r="D307" s="52"/>
      <c r="E307" s="52"/>
      <c r="F307" s="387"/>
      <c r="G307" s="1227">
        <f>L183-F178</f>
        <v>0</v>
      </c>
      <c r="H307" s="1253"/>
      <c r="I307" s="353"/>
      <c r="J307" s="344"/>
      <c r="K307" s="315"/>
      <c r="L307" s="36">
        <f t="shared" si="78"/>
        <v>1158</v>
      </c>
      <c r="M307" s="46" t="str">
        <f>CONCATENATE("-/-Overige individuele loonkosten productie ","(",A181,")")</f>
        <v>-/-Overige individuele loonkosten productie (836)</v>
      </c>
      <c r="N307" s="339"/>
      <c r="O307" s="339"/>
      <c r="P307" s="339"/>
      <c r="Q307" s="339"/>
      <c r="R307" s="805"/>
      <c r="S307" s="1227">
        <f>L181</f>
        <v>0</v>
      </c>
      <c r="T307" s="1144"/>
      <c r="U307" s="147"/>
      <c r="V307" s="23"/>
    </row>
    <row r="308" spans="1:22" ht="12.75">
      <c r="A308" s="36">
        <f t="shared" si="76"/>
        <v>1127</v>
      </c>
      <c r="B308" s="46" t="str">
        <f>CONCATENATE("Capaciteitskosten bedden en plaatsen ","(",A203," en ",A210,")")</f>
        <v>Capaciteitskosten bedden en plaatsen (915 en 920)</v>
      </c>
      <c r="C308" s="37"/>
      <c r="D308" s="52"/>
      <c r="E308" s="52"/>
      <c r="F308" s="387"/>
      <c r="G308" s="1227">
        <f>L203+L210</f>
        <v>0</v>
      </c>
      <c r="H308" s="1253"/>
      <c r="I308" s="353"/>
      <c r="J308" s="344"/>
      <c r="K308" s="315"/>
      <c r="L308" s="36">
        <f t="shared" si="78"/>
        <v>1159</v>
      </c>
      <c r="M308" s="46" t="str">
        <f>CONCATENATE("-/-Overige individuele mat. kst productie ","(",A182,")")</f>
        <v>-/-Overige individuele mat. kst productie (837)</v>
      </c>
      <c r="N308" s="339"/>
      <c r="O308" s="339"/>
      <c r="P308" s="339"/>
      <c r="Q308" s="339"/>
      <c r="R308" s="805"/>
      <c r="S308" s="1227">
        <f>L182</f>
        <v>0</v>
      </c>
      <c r="T308" s="1144"/>
      <c r="U308" s="147"/>
      <c r="V308" s="23"/>
    </row>
    <row r="309" spans="1:22" ht="12.75">
      <c r="A309" s="36">
        <f t="shared" si="76"/>
        <v>1128</v>
      </c>
      <c r="B309" s="46" t="str">
        <f>CONCATENATE("Capaciteitskosten overige parameters  ","(",A231,")")</f>
        <v>Capaciteitskosten overige parameters  (937)</v>
      </c>
      <c r="C309" s="37"/>
      <c r="D309" s="52"/>
      <c r="E309" s="52"/>
      <c r="F309" s="387"/>
      <c r="G309" s="1227">
        <f>L231</f>
        <v>0</v>
      </c>
      <c r="H309" s="1253"/>
      <c r="I309" s="353"/>
      <c r="J309" s="344"/>
      <c r="K309" s="315"/>
      <c r="L309" s="36">
        <f t="shared" si="78"/>
        <v>1160</v>
      </c>
      <c r="M309" s="46" t="str">
        <f>CONCATENATE("-/-Opleidingskosten, energie ozb millieu ","(",A231,")")</f>
        <v>-/-Opleidingskosten, energie ozb millieu (937)</v>
      </c>
      <c r="N309" s="339"/>
      <c r="O309" s="339"/>
      <c r="P309" s="339"/>
      <c r="Q309" s="339"/>
      <c r="R309" s="805"/>
      <c r="S309" s="1227">
        <f>L231</f>
        <v>0</v>
      </c>
      <c r="T309" s="1144"/>
      <c r="U309" s="147"/>
      <c r="V309" s="23"/>
    </row>
    <row r="310" spans="1:21" ht="12.75">
      <c r="A310" s="36">
        <f t="shared" si="76"/>
        <v>1129</v>
      </c>
      <c r="B310" s="46" t="str">
        <f>CONCATENATE("Overige loon- en materiële kosten ","(",A240,")")</f>
        <v>Overige loon- en materiële kosten (1004)</v>
      </c>
      <c r="C310" s="37"/>
      <c r="D310" s="52"/>
      <c r="E310" s="52"/>
      <c r="F310" s="387"/>
      <c r="G310" s="1227">
        <f>F240</f>
        <v>0</v>
      </c>
      <c r="H310" s="1253"/>
      <c r="I310" s="353"/>
      <c r="J310" s="344"/>
      <c r="K310" s="315"/>
      <c r="L310" s="36">
        <f t="shared" si="78"/>
        <v>1161</v>
      </c>
      <c r="M310" s="46" t="str">
        <f>CONCATENATE("-/-Overige niet productiegebonden kst ","(",A240,")")</f>
        <v>-/-Overige niet productiegebonden kst (1004)</v>
      </c>
      <c r="N310" s="339"/>
      <c r="O310" s="339"/>
      <c r="P310" s="339"/>
      <c r="Q310" s="339"/>
      <c r="R310" s="339"/>
      <c r="S310" s="1227">
        <f>F240</f>
        <v>0</v>
      </c>
      <c r="T310" s="1144"/>
      <c r="U310" s="147"/>
    </row>
    <row r="311" spans="1:24" ht="12.75">
      <c r="A311" s="36">
        <f t="shared" si="76"/>
        <v>1130</v>
      </c>
      <c r="B311" s="46" t="str">
        <f>CONCATENATE("Individuele prijsafspraken  ","(",individuele_prijsafspraken!I49,")")</f>
        <v>Individuele prijsafspraken  (2073)</v>
      </c>
      <c r="C311" s="37"/>
      <c r="D311" s="52"/>
      <c r="E311" s="52"/>
      <c r="F311" s="387"/>
      <c r="G311" s="1227">
        <f>F178</f>
        <v>0</v>
      </c>
      <c r="H311" s="1144"/>
      <c r="I311" s="347" t="s">
        <v>1815</v>
      </c>
      <c r="J311" s="344"/>
      <c r="K311" s="315"/>
      <c r="L311" s="36">
        <f t="shared" si="78"/>
        <v>1162</v>
      </c>
      <c r="M311" s="46" t="str">
        <f>CONCATENATE("-/- AIV-preventie en voedingsvoorlichting  ","(",A252,")")</f>
        <v>-/- AIV-preventie en voedingsvoorlichting  (1008)</v>
      </c>
      <c r="N311" s="339"/>
      <c r="O311" s="339"/>
      <c r="P311" s="339"/>
      <c r="Q311" s="339"/>
      <c r="R311" s="805"/>
      <c r="S311" s="1227">
        <f>G252</f>
        <v>0</v>
      </c>
      <c r="T311" s="1144"/>
      <c r="U311" s="147"/>
      <c r="X311" s="908">
        <f>G311*A311</f>
        <v>0</v>
      </c>
    </row>
    <row r="312" spans="1:22" ht="12.75">
      <c r="A312" s="36">
        <f t="shared" si="76"/>
        <v>1131</v>
      </c>
      <c r="B312" s="46" t="str">
        <f>CONCATENATE("Sectoroverstijgende extramurale productie (incl. AIV en voed.voorl.)  ","(",Extramuraal!A144,")")</f>
        <v>Sectoroverstijgende extramurale productie (incl. AIV en voed.voorl.)  (2615)</v>
      </c>
      <c r="C312" s="37"/>
      <c r="D312" s="52"/>
      <c r="E312" s="52"/>
      <c r="F312" s="387"/>
      <c r="G312" s="1227">
        <f>Extramuraal!K144</f>
        <v>0</v>
      </c>
      <c r="H312" s="1144"/>
      <c r="I312" s="347"/>
      <c r="J312" s="344"/>
      <c r="K312" s="299"/>
      <c r="L312" s="36">
        <f t="shared" si="78"/>
        <v>1163</v>
      </c>
      <c r="M312" s="46" t="str">
        <f>CONCATENATE("-/- Toeslag jeugd-Ribw's (=VZ25*",K57-K56,") (",A57,")")</f>
        <v>-/- Toeslag jeugd-Ribw's (=VZ25*27,78) (606)</v>
      </c>
      <c r="N312" s="339"/>
      <c r="O312" s="339"/>
      <c r="P312" s="339"/>
      <c r="Q312" s="339"/>
      <c r="R312" s="387"/>
      <c r="S312" s="1256">
        <f>F57*(K57-K56)</f>
        <v>0</v>
      </c>
      <c r="T312" s="1144"/>
      <c r="U312" s="147"/>
      <c r="V312" s="491"/>
    </row>
    <row r="313" spans="1:21" ht="12.75">
      <c r="A313" s="36">
        <f t="shared" si="76"/>
        <v>1132</v>
      </c>
      <c r="B313" s="1364" t="s">
        <v>223</v>
      </c>
      <c r="C313" s="1143"/>
      <c r="D313" s="1143"/>
      <c r="E313" s="1143"/>
      <c r="F313" s="1144"/>
      <c r="G313" s="1149">
        <f>SUM(G289:H312)</f>
        <v>0</v>
      </c>
      <c r="H313" s="1144"/>
      <c r="I313" s="347"/>
      <c r="J313" s="344"/>
      <c r="L313" s="36">
        <f t="shared" si="78"/>
        <v>1164</v>
      </c>
      <c r="M313" s="46" t="str">
        <f>CONCATENATE("-/- Plan van aanpak MO  ","(",A271,")")</f>
        <v>-/- Plan van aanpak MO  (1013)</v>
      </c>
      <c r="N313" s="339"/>
      <c r="O313" s="339"/>
      <c r="P313" s="339"/>
      <c r="Q313" s="339"/>
      <c r="R313" s="387"/>
      <c r="S313" s="1256">
        <f>F271+G271</f>
        <v>0</v>
      </c>
      <c r="T313" s="1144"/>
      <c r="U313" s="147"/>
    </row>
    <row r="314" spans="9:21" ht="12.75">
      <c r="I314" s="347"/>
      <c r="J314" s="344"/>
      <c r="K314" s="530"/>
      <c r="L314" s="36">
        <f>L313+1</f>
        <v>1165</v>
      </c>
      <c r="M314" s="46" t="str">
        <f>CONCATENATE("-/- Jeugd-GGZ  ","(",A261,")")</f>
        <v>-/- Jeugd-GGZ  (1011)</v>
      </c>
      <c r="N314" s="339"/>
      <c r="O314" s="339"/>
      <c r="P314" s="339"/>
      <c r="Q314" s="339"/>
      <c r="R314" s="387"/>
      <c r="S314" s="1256">
        <f>G261</f>
        <v>0</v>
      </c>
      <c r="T314" s="1144"/>
      <c r="U314" s="147"/>
    </row>
    <row r="315" spans="1:21" ht="12.75">
      <c r="A315" s="11"/>
      <c r="B315" s="6"/>
      <c r="C315" s="6"/>
      <c r="D315" s="24"/>
      <c r="E315" s="24"/>
      <c r="F315" s="494" t="s">
        <v>214</v>
      </c>
      <c r="G315" s="71"/>
      <c r="H315" s="5"/>
      <c r="I315" s="351"/>
      <c r="J315" s="344"/>
      <c r="K315" s="530"/>
      <c r="L315" s="36">
        <f>L314+1</f>
        <v>1166</v>
      </c>
      <c r="M315" s="810" t="str">
        <f>IF($P$3=1,"Totaal beslag contracteerruimte instelling",IF($P$3=2,"Totaal beslag contracteerruimte instelling","Mutatie beslag contracteerruimte instelling"))</f>
        <v>Totaal beslag contracteerruimte instelling</v>
      </c>
      <c r="N315" s="806"/>
      <c r="O315" s="806"/>
      <c r="P315" s="806"/>
      <c r="Q315" s="806"/>
      <c r="R315" s="807"/>
      <c r="S315" s="1149">
        <f>S305-SUM(S306:T314)</f>
        <v>0</v>
      </c>
      <c r="T315" s="1144"/>
      <c r="U315" s="147"/>
    </row>
    <row r="316" spans="1:21" ht="12.75">
      <c r="A316" s="36">
        <f>A313+1</f>
        <v>1133</v>
      </c>
      <c r="B316" s="129" t="s">
        <v>937</v>
      </c>
      <c r="C316" s="493"/>
      <c r="D316" s="493"/>
      <c r="E316" s="493"/>
      <c r="F316" s="839" t="str">
        <f>IF(G285&gt;0,G313/$G$285-1," ")</f>
        <v> </v>
      </c>
      <c r="G316" s="1476" t="str">
        <f>IF(P3=2,G313-G285," n.v.t.")</f>
        <v> n.v.t.</v>
      </c>
      <c r="H316" s="1477"/>
      <c r="I316" s="351"/>
      <c r="J316" s="344"/>
      <c r="K316" s="530"/>
      <c r="U316" s="147"/>
    </row>
    <row r="317" spans="1:22" ht="12.75">
      <c r="A317" s="11"/>
      <c r="B317" s="11"/>
      <c r="C317" s="11"/>
      <c r="D317" s="11"/>
      <c r="E317" s="11"/>
      <c r="F317" s="11"/>
      <c r="G317" s="11"/>
      <c r="H317" s="11"/>
      <c r="I317" s="351"/>
      <c r="J317" s="344"/>
      <c r="K317" s="299"/>
      <c r="L317" s="879">
        <f>L315+1</f>
        <v>1167</v>
      </c>
      <c r="M317" s="832" t="s">
        <v>2334</v>
      </c>
      <c r="N317" s="833"/>
      <c r="O317" s="833"/>
      <c r="P317" s="833"/>
      <c r="Q317" s="833"/>
      <c r="R317" s="834"/>
      <c r="S317" s="1500" t="str">
        <f>S318</f>
        <v>n.v.t.</v>
      </c>
      <c r="T317" s="1144"/>
      <c r="U317" s="147"/>
      <c r="V317" s="5" t="s">
        <v>1827</v>
      </c>
    </row>
    <row r="318" spans="1:21" ht="12.75" customHeight="1">
      <c r="A318" s="36">
        <f>A316+1</f>
        <v>1134</v>
      </c>
      <c r="B318" s="44" t="s">
        <v>1763</v>
      </c>
      <c r="C318" s="811"/>
      <c r="D318" s="811"/>
      <c r="E318" s="811"/>
      <c r="F318" s="812"/>
      <c r="G318" s="1476">
        <f>IF(P3=4,(G313:H313-SUM(S307:T312)),0)</f>
        <v>0</v>
      </c>
      <c r="H318" s="1478"/>
      <c r="I318" s="347" t="s">
        <v>124</v>
      </c>
      <c r="J318" s="344"/>
      <c r="K318" s="299"/>
      <c r="L318" s="880"/>
      <c r="M318" s="835" t="s">
        <v>1812</v>
      </c>
      <c r="N318" s="836"/>
      <c r="O318" s="836"/>
      <c r="P318" s="836"/>
      <c r="Q318" s="836"/>
      <c r="R318" s="946"/>
      <c r="S318" s="1254" t="str">
        <f>IF(P3=2,(G313-S311-G180)-G285-(G217*K217+G218*K218+G219*K219+G224*K224),"n.v.t.")</f>
        <v>n.v.t.</v>
      </c>
      <c r="T318" s="1255"/>
      <c r="U318" s="147"/>
    </row>
    <row r="319" spans="1:24" ht="12" customHeight="1">
      <c r="A319" s="36">
        <f>A318+1</f>
        <v>1135</v>
      </c>
      <c r="B319" s="44" t="s">
        <v>2055</v>
      </c>
      <c r="C319" s="536"/>
      <c r="D319" s="536"/>
      <c r="E319" s="536"/>
      <c r="F319" s="1083"/>
      <c r="G319" s="1476">
        <f>IF(P3=4,G443,0)</f>
        <v>0</v>
      </c>
      <c r="H319" s="1478"/>
      <c r="I319" s="347" t="s">
        <v>2056</v>
      </c>
      <c r="J319" s="344"/>
      <c r="K319" s="299"/>
      <c r="L319" s="23" t="s">
        <v>1735</v>
      </c>
      <c r="M319" s="12" t="s">
        <v>1387</v>
      </c>
      <c r="N319" s="6"/>
      <c r="O319" s="5"/>
      <c r="P319" s="5"/>
      <c r="Q319" s="5"/>
      <c r="R319" s="5"/>
      <c r="S319" s="5"/>
      <c r="T319" s="5"/>
      <c r="U319" s="147"/>
      <c r="X319" s="909"/>
    </row>
    <row r="320" spans="2:24" ht="12.75">
      <c r="B320" s="5" t="s">
        <v>2047</v>
      </c>
      <c r="F320" s="299"/>
      <c r="I320" s="351"/>
      <c r="J320" s="344"/>
      <c r="K320" s="299"/>
      <c r="L320" s="1479">
        <f>L317+1</f>
        <v>1168</v>
      </c>
      <c r="M320" s="832" t="s">
        <v>187</v>
      </c>
      <c r="N320" s="833"/>
      <c r="O320" s="833"/>
      <c r="P320" s="833"/>
      <c r="Q320" s="833"/>
      <c r="R320" s="834"/>
      <c r="S320" s="630"/>
      <c r="T320" s="133"/>
      <c r="U320" s="147"/>
      <c r="X320" s="908">
        <f>S321*L320</f>
        <v>0</v>
      </c>
    </row>
    <row r="321" spans="2:24" ht="12.75">
      <c r="B321" s="5" t="s">
        <v>2048</v>
      </c>
      <c r="F321" s="299"/>
      <c r="I321" s="351"/>
      <c r="J321" s="344"/>
      <c r="K321" s="299"/>
      <c r="L321" s="1480"/>
      <c r="M321" s="835" t="s">
        <v>188</v>
      </c>
      <c r="N321" s="836"/>
      <c r="O321" s="836"/>
      <c r="P321" s="836"/>
      <c r="Q321" s="836"/>
      <c r="R321" s="837"/>
      <c r="S321" s="1499"/>
      <c r="T321" s="1146"/>
      <c r="U321" s="147"/>
      <c r="X321" s="909"/>
    </row>
    <row r="322" spans="2:24" ht="12.75">
      <c r="B322" s="5" t="s">
        <v>640</v>
      </c>
      <c r="F322" s="299"/>
      <c r="I322" s="351"/>
      <c r="J322" s="344"/>
      <c r="K322" s="299"/>
      <c r="L322" s="36">
        <f>L320+1</f>
        <v>1169</v>
      </c>
      <c r="M322" s="810" t="s">
        <v>189</v>
      </c>
      <c r="N322" s="806"/>
      <c r="O322" s="806"/>
      <c r="P322" s="806"/>
      <c r="Q322" s="806"/>
      <c r="R322" s="807"/>
      <c r="S322" s="1149">
        <f>IF(P3=2,0,S321+voorblad!F52)</f>
        <v>0</v>
      </c>
      <c r="T322" s="1144"/>
      <c r="U322" s="147"/>
      <c r="V322" s="3"/>
      <c r="X322" s="911"/>
    </row>
    <row r="323" spans="1:24" ht="12.75">
      <c r="A323" s="22"/>
      <c r="B323" s="5"/>
      <c r="C323" s="6"/>
      <c r="D323" s="5"/>
      <c r="E323" s="7"/>
      <c r="F323" s="172"/>
      <c r="G323" s="5"/>
      <c r="H323" s="5"/>
      <c r="I323" s="351"/>
      <c r="J323" s="344"/>
      <c r="K323" s="299"/>
      <c r="L323" s="5"/>
      <c r="M323" s="10"/>
      <c r="N323" s="6"/>
      <c r="O323" s="5"/>
      <c r="P323" s="5"/>
      <c r="Q323" s="5"/>
      <c r="R323" s="5"/>
      <c r="S323" s="5"/>
      <c r="T323" s="5"/>
      <c r="U323" s="151"/>
      <c r="V323" s="3"/>
      <c r="X323" s="909">
        <f>SUM(X11:X322)</f>
        <v>0</v>
      </c>
    </row>
    <row r="324" spans="1:24" ht="12.75">
      <c r="A324" s="22" t="s">
        <v>1733</v>
      </c>
      <c r="B324" s="24" t="str">
        <f>CONCATENATE("OPBRENGST ",$E$8-1)</f>
        <v>OPBRENGST 2005</v>
      </c>
      <c r="C324" s="24"/>
      <c r="D324" s="24"/>
      <c r="E324" s="129" t="str">
        <f>CONCATENATE("Verrekendagen ",$E$8)</f>
        <v>Verrekendagen 2006</v>
      </c>
      <c r="F324" s="110"/>
      <c r="G324" s="110"/>
      <c r="H324" s="110"/>
      <c r="I324" s="351"/>
      <c r="J324" s="344"/>
      <c r="K324" s="110"/>
      <c r="L324" s="1429" t="str">
        <f>CONCATENATE("Voorlopige opbrenstverrekening ",$E$8-1)</f>
        <v>Voorlopige opbrenstverrekening 2005</v>
      </c>
      <c r="M324" s="1481" t="str">
        <f aca="true" t="shared" si="79" ref="M324:T324">CONCATENATE("Voorlopig opbrenstverrekening ",$E$8-1)</f>
        <v>Voorlopig opbrenstverrekening 2005</v>
      </c>
      <c r="N324" s="1481" t="str">
        <f t="shared" si="79"/>
        <v>Voorlopig opbrenstverrekening 2005</v>
      </c>
      <c r="O324" s="1481" t="str">
        <f t="shared" si="79"/>
        <v>Voorlopig opbrenstverrekening 2005</v>
      </c>
      <c r="P324" s="1481" t="str">
        <f t="shared" si="79"/>
        <v>Voorlopig opbrenstverrekening 2005</v>
      </c>
      <c r="Q324" s="1481" t="str">
        <f t="shared" si="79"/>
        <v>Voorlopig opbrenstverrekening 2005</v>
      </c>
      <c r="R324" s="1481" t="str">
        <f t="shared" si="79"/>
        <v>Voorlopig opbrenstverrekening 2005</v>
      </c>
      <c r="S324" s="1481" t="str">
        <f t="shared" si="79"/>
        <v>Voorlopig opbrenstverrekening 2005</v>
      </c>
      <c r="T324" s="1482" t="str">
        <f t="shared" si="79"/>
        <v>Voorlopig opbrenstverrekening 2005</v>
      </c>
      <c r="U324" s="149"/>
      <c r="V324" s="29"/>
      <c r="X324" s="910">
        <f>Extramuraal!Q130</f>
        <v>0</v>
      </c>
    </row>
    <row r="325" spans="1:24" ht="12.75" customHeight="1">
      <c r="A325" s="22"/>
      <c r="B325" s="24" t="str">
        <f>CONCATENATE("VERREKENEENHEDEN  ",$E$8)</f>
        <v>VERREKENEENHEDEN  2006</v>
      </c>
      <c r="C325" s="6"/>
      <c r="D325" s="5"/>
      <c r="E325" s="31" t="s">
        <v>2220</v>
      </c>
      <c r="F325" s="31" t="s">
        <v>1728</v>
      </c>
      <c r="G325" s="1380" t="s">
        <v>904</v>
      </c>
      <c r="H325" s="1382"/>
      <c r="I325" s="351"/>
      <c r="J325" s="344"/>
      <c r="K325" s="316" t="s">
        <v>1742</v>
      </c>
      <c r="L325" s="1475" t="s">
        <v>864</v>
      </c>
      <c r="M325" s="1475"/>
      <c r="N325" s="33" t="s">
        <v>863</v>
      </c>
      <c r="O325" s="1264" t="s">
        <v>1728</v>
      </c>
      <c r="P325" s="1272"/>
      <c r="Q325" s="500" t="s">
        <v>904</v>
      </c>
      <c r="R325" s="500" t="s">
        <v>863</v>
      </c>
      <c r="S325" s="1450" t="s">
        <v>687</v>
      </c>
      <c r="T325" s="1498"/>
      <c r="U325" s="151"/>
      <c r="V325" s="29"/>
      <c r="X325" s="912">
        <f>X324+X323</f>
        <v>0</v>
      </c>
    </row>
    <row r="326" spans="1:24" ht="12.75">
      <c r="A326" s="22"/>
      <c r="B326" s="23" t="s">
        <v>1538</v>
      </c>
      <c r="C326" s="6"/>
      <c r="D326" s="5"/>
      <c r="E326" s="7"/>
      <c r="F326" s="5"/>
      <c r="G326" s="5"/>
      <c r="H326" s="5"/>
      <c r="I326" s="351"/>
      <c r="J326" s="344"/>
      <c r="L326" s="23"/>
      <c r="M326" s="5"/>
      <c r="N326" s="5"/>
      <c r="O326" s="5"/>
      <c r="P326" s="5"/>
      <c r="Q326" s="5"/>
      <c r="R326" s="5"/>
      <c r="S326" s="5"/>
      <c r="T326" s="5"/>
      <c r="U326" s="151"/>
      <c r="V326" s="29"/>
      <c r="X326" s="913" t="str">
        <f>RIGHT(X325,8)</f>
        <v>0</v>
      </c>
    </row>
    <row r="327" spans="1:25" s="99" customFormat="1" ht="12.75">
      <c r="A327" s="36">
        <v>1201</v>
      </c>
      <c r="B327" s="46" t="str">
        <f>CONCATENATE(B10," (produktie regel ",A17,")")</f>
        <v>Dagen verslavingszorg (produktie regel 507)</v>
      </c>
      <c r="C327" s="37"/>
      <c r="D327" s="47"/>
      <c r="E327" s="130">
        <f>F17</f>
        <v>0</v>
      </c>
      <c r="F327" s="131"/>
      <c r="G327" s="1227">
        <f aca="true" t="shared" si="80" ref="G327:G332">E327-F327</f>
        <v>0</v>
      </c>
      <c r="H327" s="1258"/>
      <c r="I327" s="390" t="s">
        <v>127</v>
      </c>
      <c r="J327" s="344"/>
      <c r="K327" s="714">
        <f>IF(E327=0,0,F327/E327)</f>
        <v>0</v>
      </c>
      <c r="L327" s="1235">
        <f>Q17</f>
        <v>0</v>
      </c>
      <c r="M327" s="1257"/>
      <c r="N327" s="131" t="e">
        <f>L327*#REF!</f>
        <v>#REF!</v>
      </c>
      <c r="O327" s="1145"/>
      <c r="P327" s="1259"/>
      <c r="Q327" s="486">
        <f aca="true" t="shared" si="81" ref="Q327:Q333">L327-O327</f>
        <v>0</v>
      </c>
      <c r="R327" s="757"/>
      <c r="S327" s="1235">
        <f aca="true" t="shared" si="82" ref="S327:S332">Q327*R327</f>
        <v>0</v>
      </c>
      <c r="T327" s="1236"/>
      <c r="U327" s="149"/>
      <c r="V327" s="391" t="s">
        <v>1540</v>
      </c>
      <c r="X327" s="914"/>
      <c r="Y327" s="917"/>
    </row>
    <row r="328" spans="1:25" s="99" customFormat="1" ht="12.75">
      <c r="A328" s="36">
        <f aca="true" t="shared" si="83" ref="A328:A356">A327+1</f>
        <v>1202</v>
      </c>
      <c r="B328" s="46" t="str">
        <f>CONCATENATE(B18," (",A26,")")</f>
        <v>Dagen kinderen en jeugd (515)</v>
      </c>
      <c r="C328" s="37"/>
      <c r="D328" s="47"/>
      <c r="E328" s="130">
        <f>F26</f>
        <v>0</v>
      </c>
      <c r="F328" s="131"/>
      <c r="G328" s="1227">
        <f t="shared" si="80"/>
        <v>0</v>
      </c>
      <c r="H328" s="1258"/>
      <c r="I328" s="390" t="s">
        <v>648</v>
      </c>
      <c r="J328" s="344"/>
      <c r="K328" s="714">
        <f>IF(E328=0,0,F328/E328)</f>
        <v>0</v>
      </c>
      <c r="L328" s="1235">
        <f>Q26</f>
        <v>0</v>
      </c>
      <c r="M328" s="1257"/>
      <c r="N328" s="485"/>
      <c r="O328" s="1145"/>
      <c r="P328" s="1259"/>
      <c r="Q328" s="486">
        <f t="shared" si="81"/>
        <v>0</v>
      </c>
      <c r="R328" s="757"/>
      <c r="S328" s="1235">
        <f t="shared" si="82"/>
        <v>0</v>
      </c>
      <c r="T328" s="1236"/>
      <c r="U328" s="149"/>
      <c r="V328" s="391" t="s">
        <v>1720</v>
      </c>
      <c r="X328" s="914"/>
      <c r="Y328" s="917"/>
    </row>
    <row r="329" spans="1:25" s="99" customFormat="1" ht="12.75">
      <c r="A329" s="36">
        <f t="shared" si="83"/>
        <v>1203</v>
      </c>
      <c r="B329" s="46" t="str">
        <f>CONCATENATE(B27," (",A37,")")</f>
        <v>Dagen volwassenen en ouderen (525)</v>
      </c>
      <c r="C329" s="37"/>
      <c r="D329" s="47"/>
      <c r="E329" s="130">
        <f>F37</f>
        <v>0</v>
      </c>
      <c r="F329" s="131"/>
      <c r="G329" s="1227">
        <f t="shared" si="80"/>
        <v>0</v>
      </c>
      <c r="H329" s="1258"/>
      <c r="I329" s="390" t="s">
        <v>647</v>
      </c>
      <c r="J329" s="344"/>
      <c r="K329" s="714">
        <f>IF(E329=0,0,F329/E329)</f>
        <v>0</v>
      </c>
      <c r="L329" s="1235">
        <f>Q37</f>
        <v>0</v>
      </c>
      <c r="M329" s="1257"/>
      <c r="N329" s="496"/>
      <c r="O329" s="1145"/>
      <c r="P329" s="1259"/>
      <c r="Q329" s="486">
        <f t="shared" si="81"/>
        <v>0</v>
      </c>
      <c r="R329" s="757"/>
      <c r="S329" s="1235">
        <f t="shared" si="82"/>
        <v>0</v>
      </c>
      <c r="T329" s="1236"/>
      <c r="U329" s="149"/>
      <c r="V329" s="391" t="s">
        <v>1541</v>
      </c>
      <c r="X329" s="914"/>
      <c r="Y329" s="917"/>
    </row>
    <row r="330" spans="1:25" s="99" customFormat="1" ht="12.75">
      <c r="A330" s="36">
        <f t="shared" si="83"/>
        <v>1204</v>
      </c>
      <c r="B330" s="46" t="str">
        <f>CONCATENATE("Dagen forensische kliniek (",A41," t/m ",A44,")")</f>
        <v>Dagen forensische kliniek (528 t/m 531)</v>
      </c>
      <c r="C330" s="37"/>
      <c r="D330" s="47"/>
      <c r="E330" s="130">
        <f>SUM(F41:F44)</f>
        <v>0</v>
      </c>
      <c r="F330" s="131"/>
      <c r="G330" s="1227">
        <f t="shared" si="80"/>
        <v>0</v>
      </c>
      <c r="H330" s="1258"/>
      <c r="I330" s="390" t="s">
        <v>125</v>
      </c>
      <c r="J330" s="344"/>
      <c r="K330" s="409"/>
      <c r="L330" s="1235">
        <f>SUM(Q41:Q44)</f>
        <v>0</v>
      </c>
      <c r="M330" s="1257"/>
      <c r="N330" s="496"/>
      <c r="O330" s="1145"/>
      <c r="P330" s="1259"/>
      <c r="Q330" s="486">
        <f t="shared" si="81"/>
        <v>0</v>
      </c>
      <c r="R330" s="757"/>
      <c r="S330" s="1235">
        <f t="shared" si="82"/>
        <v>0</v>
      </c>
      <c r="T330" s="1236"/>
      <c r="U330" s="149"/>
      <c r="V330" s="391" t="s">
        <v>1542</v>
      </c>
      <c r="X330" s="914"/>
      <c r="Y330" s="917"/>
    </row>
    <row r="331" spans="1:25" s="99" customFormat="1" ht="12.75">
      <c r="A331" s="36">
        <f t="shared" si="83"/>
        <v>1205</v>
      </c>
      <c r="B331" s="46" t="str">
        <f>CONCATENATE("Dagen forensische afdeling (",A39," en ",A40,")")</f>
        <v>Dagen forensische afdeling (526 en 527)</v>
      </c>
      <c r="C331" s="37"/>
      <c r="D331" s="47"/>
      <c r="E331" s="130">
        <f>F39+F40</f>
        <v>0</v>
      </c>
      <c r="F331" s="131"/>
      <c r="G331" s="1227">
        <f t="shared" si="80"/>
        <v>0</v>
      </c>
      <c r="H331" s="1258"/>
      <c r="I331" s="390" t="s">
        <v>126</v>
      </c>
      <c r="J331" s="344"/>
      <c r="K331" s="410"/>
      <c r="L331" s="1235">
        <f>SUM(Q39:Q40)</f>
        <v>0</v>
      </c>
      <c r="M331" s="1257"/>
      <c r="N331" s="496"/>
      <c r="O331" s="1145"/>
      <c r="P331" s="1259"/>
      <c r="Q331" s="486">
        <f t="shared" si="81"/>
        <v>0</v>
      </c>
      <c r="R331" s="757"/>
      <c r="S331" s="1235">
        <f t="shared" si="82"/>
        <v>0</v>
      </c>
      <c r="T331" s="1236"/>
      <c r="U331" s="149"/>
      <c r="V331" s="391" t="s">
        <v>1543</v>
      </c>
      <c r="X331" s="914"/>
      <c r="Y331" s="917"/>
    </row>
    <row r="332" spans="1:25" s="99" customFormat="1" ht="12.75">
      <c r="A332" s="36">
        <f t="shared" si="83"/>
        <v>1206</v>
      </c>
      <c r="B332" s="46" t="str">
        <f>CONCATENATE(B50," (",A51,")")</f>
        <v>Dagen klinisch intensieve behandeling (601)</v>
      </c>
      <c r="C332" s="37"/>
      <c r="D332" s="47"/>
      <c r="E332" s="130">
        <f>F51</f>
        <v>0</v>
      </c>
      <c r="F332" s="131"/>
      <c r="G332" s="1227">
        <f t="shared" si="80"/>
        <v>0</v>
      </c>
      <c r="H332" s="1258"/>
      <c r="I332" s="390" t="s">
        <v>649</v>
      </c>
      <c r="J332" s="344"/>
      <c r="K332" s="392"/>
      <c r="L332" s="1235">
        <f>Q51</f>
        <v>0</v>
      </c>
      <c r="M332" s="1257"/>
      <c r="N332" s="496"/>
      <c r="O332" s="1145"/>
      <c r="P332" s="1259"/>
      <c r="Q332" s="486">
        <f t="shared" si="81"/>
        <v>0</v>
      </c>
      <c r="R332" s="757"/>
      <c r="S332" s="1235">
        <f t="shared" si="82"/>
        <v>0</v>
      </c>
      <c r="T332" s="1236"/>
      <c r="U332" s="149"/>
      <c r="V332" s="391" t="s">
        <v>1719</v>
      </c>
      <c r="X332" s="914"/>
      <c r="Y332" s="917"/>
    </row>
    <row r="333" spans="1:25" s="99" customFormat="1" ht="12.75">
      <c r="A333" s="36">
        <f t="shared" si="83"/>
        <v>1207</v>
      </c>
      <c r="B333" s="46" t="str">
        <f>CONCATENATE(B52," (",A58,")")</f>
        <v>Verzorgingsdagen kleinschalig wonen (607)</v>
      </c>
      <c r="C333" s="37"/>
      <c r="D333" s="47"/>
      <c r="E333" s="132">
        <f>F58</f>
        <v>0</v>
      </c>
      <c r="F333" s="61"/>
      <c r="G333" s="1394">
        <f>E333-F333</f>
        <v>0</v>
      </c>
      <c r="H333" s="1422"/>
      <c r="I333" s="394" t="s">
        <v>631</v>
      </c>
      <c r="J333" s="344"/>
      <c r="K333" s="697"/>
      <c r="L333" s="1235">
        <f>Q58</f>
        <v>0</v>
      </c>
      <c r="M333" s="1257"/>
      <c r="N333" s="766"/>
      <c r="O333" s="1145"/>
      <c r="P333" s="1259"/>
      <c r="Q333" s="486">
        <f t="shared" si="81"/>
        <v>0</v>
      </c>
      <c r="R333" s="757"/>
      <c r="S333" s="1235">
        <f>Q333*R333</f>
        <v>0</v>
      </c>
      <c r="T333" s="1236"/>
      <c r="U333" s="149"/>
      <c r="V333" s="391" t="s">
        <v>1718</v>
      </c>
      <c r="X333" s="914"/>
      <c r="Y333" s="917"/>
    </row>
    <row r="334" spans="1:25" s="99" customFormat="1" ht="12.75">
      <c r="A334" s="36">
        <f t="shared" si="83"/>
        <v>1208</v>
      </c>
      <c r="B334" s="46" t="s">
        <v>1575</v>
      </c>
      <c r="C334" s="37"/>
      <c r="D334" s="47"/>
      <c r="E334" s="696"/>
      <c r="F334" s="700"/>
      <c r="G334" s="699"/>
      <c r="H334" s="699"/>
      <c r="I334" s="394"/>
      <c r="J334" s="394"/>
      <c r="K334" s="713"/>
      <c r="L334" s="1235">
        <f>Q62</f>
        <v>0</v>
      </c>
      <c r="M334" s="1257"/>
      <c r="N334" s="698"/>
      <c r="O334" s="1275"/>
      <c r="P334" s="1276"/>
      <c r="Q334" s="486">
        <f>L334</f>
        <v>0</v>
      </c>
      <c r="R334" s="486">
        <v>121</v>
      </c>
      <c r="S334" s="1235">
        <f>Q334*R334</f>
        <v>0</v>
      </c>
      <c r="T334" s="1236"/>
      <c r="U334" s="149"/>
      <c r="V334" s="391" t="s">
        <v>1539</v>
      </c>
      <c r="X334" s="914"/>
      <c r="Y334" s="917"/>
    </row>
    <row r="335" spans="1:25" s="99" customFormat="1" ht="12.75">
      <c r="A335" s="36">
        <f>A334+1</f>
        <v>1209</v>
      </c>
      <c r="B335" s="46" t="s">
        <v>1576</v>
      </c>
      <c r="C335" s="37"/>
      <c r="D335" s="47"/>
      <c r="E335" s="696"/>
      <c r="F335" s="700"/>
      <c r="G335" s="699"/>
      <c r="H335" s="699"/>
      <c r="I335" s="394"/>
      <c r="J335" s="394"/>
      <c r="K335" s="713"/>
      <c r="L335" s="1235">
        <f>Q63</f>
        <v>0</v>
      </c>
      <c r="M335" s="1257"/>
      <c r="N335" s="698"/>
      <c r="O335" s="750"/>
      <c r="P335" s="751"/>
      <c r="Q335" s="486">
        <f aca="true" t="shared" si="84" ref="Q335:Q345">L335</f>
        <v>0</v>
      </c>
      <c r="R335" s="486">
        <v>149</v>
      </c>
      <c r="S335" s="1235">
        <f aca="true" t="shared" si="85" ref="S335:S345">Q335*R335</f>
        <v>0</v>
      </c>
      <c r="T335" s="1236"/>
      <c r="U335" s="149"/>
      <c r="V335" s="391" t="s">
        <v>1539</v>
      </c>
      <c r="X335" s="914"/>
      <c r="Y335" s="917"/>
    </row>
    <row r="336" spans="1:25" s="99" customFormat="1" ht="12.75">
      <c r="A336" s="36">
        <f aca="true" t="shared" si="86" ref="A336:A343">A335+1</f>
        <v>1210</v>
      </c>
      <c r="B336" s="46" t="s">
        <v>1577</v>
      </c>
      <c r="C336" s="37"/>
      <c r="D336" s="47"/>
      <c r="E336" s="696"/>
      <c r="F336" s="700"/>
      <c r="G336" s="699"/>
      <c r="H336" s="699"/>
      <c r="I336" s="394"/>
      <c r="J336" s="394"/>
      <c r="K336" s="713"/>
      <c r="L336" s="1235">
        <f>Q66</f>
        <v>0</v>
      </c>
      <c r="M336" s="1257"/>
      <c r="N336" s="698"/>
      <c r="O336" s="750"/>
      <c r="P336" s="751"/>
      <c r="Q336" s="486">
        <f t="shared" si="84"/>
        <v>0</v>
      </c>
      <c r="R336" s="486">
        <v>246</v>
      </c>
      <c r="S336" s="1235">
        <f t="shared" si="85"/>
        <v>0</v>
      </c>
      <c r="T336" s="1236"/>
      <c r="U336" s="149"/>
      <c r="V336" s="391" t="s">
        <v>1722</v>
      </c>
      <c r="X336" s="914"/>
      <c r="Y336" s="917"/>
    </row>
    <row r="337" spans="1:25" s="99" customFormat="1" ht="12.75">
      <c r="A337" s="36">
        <f t="shared" si="86"/>
        <v>1211</v>
      </c>
      <c r="B337" s="46" t="s">
        <v>1578</v>
      </c>
      <c r="C337" s="37"/>
      <c r="D337" s="47"/>
      <c r="E337" s="696"/>
      <c r="F337" s="700"/>
      <c r="G337" s="699"/>
      <c r="H337" s="699"/>
      <c r="I337" s="394"/>
      <c r="J337" s="394"/>
      <c r="K337" s="713"/>
      <c r="L337" s="1235">
        <f>Q67</f>
        <v>0</v>
      </c>
      <c r="M337" s="1257"/>
      <c r="N337" s="698"/>
      <c r="O337" s="750"/>
      <c r="P337" s="751"/>
      <c r="Q337" s="486">
        <f t="shared" si="84"/>
        <v>0</v>
      </c>
      <c r="R337" s="486">
        <v>176</v>
      </c>
      <c r="S337" s="1235">
        <f t="shared" si="85"/>
        <v>0</v>
      </c>
      <c r="T337" s="1236"/>
      <c r="U337" s="149"/>
      <c r="V337" s="391" t="s">
        <v>1722</v>
      </c>
      <c r="X337" s="914"/>
      <c r="Y337" s="917"/>
    </row>
    <row r="338" spans="1:25" s="99" customFormat="1" ht="12.75">
      <c r="A338" s="36">
        <f t="shared" si="86"/>
        <v>1212</v>
      </c>
      <c r="B338" s="46" t="s">
        <v>40</v>
      </c>
      <c r="C338" s="37"/>
      <c r="D338" s="47"/>
      <c r="E338" s="696"/>
      <c r="F338" s="700"/>
      <c r="G338" s="699"/>
      <c r="H338" s="699"/>
      <c r="I338" s="394"/>
      <c r="J338" s="394"/>
      <c r="K338" s="713"/>
      <c r="L338" s="1235">
        <f>Q68</f>
        <v>0</v>
      </c>
      <c r="M338" s="1257"/>
      <c r="N338" s="698"/>
      <c r="O338" s="750"/>
      <c r="P338" s="751"/>
      <c r="Q338" s="486">
        <f t="shared" si="84"/>
        <v>0</v>
      </c>
      <c r="R338" s="486">
        <v>202</v>
      </c>
      <c r="S338" s="1235">
        <f t="shared" si="85"/>
        <v>0</v>
      </c>
      <c r="T338" s="1236"/>
      <c r="U338" s="149"/>
      <c r="V338" s="391" t="s">
        <v>1722</v>
      </c>
      <c r="X338" s="914"/>
      <c r="Y338" s="917"/>
    </row>
    <row r="339" spans="1:25" s="99" customFormat="1" ht="12.75">
      <c r="A339" s="36">
        <f t="shared" si="86"/>
        <v>1213</v>
      </c>
      <c r="B339" s="46" t="s">
        <v>41</v>
      </c>
      <c r="C339" s="37"/>
      <c r="D339" s="47"/>
      <c r="E339" s="696"/>
      <c r="F339" s="700"/>
      <c r="G339" s="699"/>
      <c r="H339" s="699"/>
      <c r="I339" s="394"/>
      <c r="J339" s="394"/>
      <c r="K339" s="713"/>
      <c r="L339" s="1235">
        <f aca="true" t="shared" si="87" ref="L339:L344">Q71</f>
        <v>0</v>
      </c>
      <c r="M339" s="1257"/>
      <c r="N339" s="698"/>
      <c r="O339" s="750"/>
      <c r="P339" s="751"/>
      <c r="Q339" s="486">
        <f t="shared" si="84"/>
        <v>0</v>
      </c>
      <c r="R339" s="486">
        <v>122</v>
      </c>
      <c r="S339" s="1235">
        <f t="shared" si="85"/>
        <v>0</v>
      </c>
      <c r="T339" s="1236"/>
      <c r="U339" s="149"/>
      <c r="V339" s="391" t="s">
        <v>1721</v>
      </c>
      <c r="X339" s="914"/>
      <c r="Y339" s="917"/>
    </row>
    <row r="340" spans="1:25" s="99" customFormat="1" ht="12.75">
      <c r="A340" s="36">
        <f t="shared" si="86"/>
        <v>1214</v>
      </c>
      <c r="B340" s="46" t="s">
        <v>42</v>
      </c>
      <c r="C340" s="37"/>
      <c r="D340" s="47"/>
      <c r="E340" s="696"/>
      <c r="F340" s="700"/>
      <c r="G340" s="699"/>
      <c r="H340" s="699"/>
      <c r="I340" s="394"/>
      <c r="J340" s="394"/>
      <c r="K340" s="713"/>
      <c r="L340" s="1235">
        <f t="shared" si="87"/>
        <v>0</v>
      </c>
      <c r="M340" s="1257"/>
      <c r="N340" s="698"/>
      <c r="O340" s="750"/>
      <c r="P340" s="751"/>
      <c r="Q340" s="486">
        <f t="shared" si="84"/>
        <v>0</v>
      </c>
      <c r="R340" s="486">
        <v>154</v>
      </c>
      <c r="S340" s="1235">
        <f t="shared" si="85"/>
        <v>0</v>
      </c>
      <c r="T340" s="1236"/>
      <c r="U340" s="149"/>
      <c r="V340" s="391" t="s">
        <v>1721</v>
      </c>
      <c r="X340" s="914"/>
      <c r="Y340" s="917"/>
    </row>
    <row r="341" spans="1:25" s="99" customFormat="1" ht="12.75">
      <c r="A341" s="36">
        <f t="shared" si="86"/>
        <v>1215</v>
      </c>
      <c r="B341" s="46" t="s">
        <v>110</v>
      </c>
      <c r="C341" s="37"/>
      <c r="D341" s="47"/>
      <c r="E341" s="696"/>
      <c r="F341" s="700"/>
      <c r="G341" s="699"/>
      <c r="H341" s="699"/>
      <c r="I341" s="394"/>
      <c r="J341" s="394"/>
      <c r="K341" s="713"/>
      <c r="L341" s="1235">
        <f t="shared" si="87"/>
        <v>0</v>
      </c>
      <c r="M341" s="1257"/>
      <c r="N341" s="698"/>
      <c r="O341" s="750"/>
      <c r="P341" s="751"/>
      <c r="Q341" s="486">
        <f t="shared" si="84"/>
        <v>0</v>
      </c>
      <c r="R341" s="486">
        <v>138</v>
      </c>
      <c r="S341" s="1235">
        <f t="shared" si="85"/>
        <v>0</v>
      </c>
      <c r="T341" s="1236"/>
      <c r="U341" s="149"/>
      <c r="V341" s="391" t="s">
        <v>1721</v>
      </c>
      <c r="X341" s="914"/>
      <c r="Y341" s="917"/>
    </row>
    <row r="342" spans="1:25" s="99" customFormat="1" ht="12.75">
      <c r="A342" s="36">
        <f t="shared" si="86"/>
        <v>1216</v>
      </c>
      <c r="B342" s="46" t="s">
        <v>111</v>
      </c>
      <c r="C342" s="37"/>
      <c r="D342" s="47"/>
      <c r="E342" s="696"/>
      <c r="F342" s="700"/>
      <c r="G342" s="699"/>
      <c r="H342" s="699"/>
      <c r="I342" s="394"/>
      <c r="J342" s="394"/>
      <c r="K342" s="713"/>
      <c r="L342" s="1235">
        <f t="shared" si="87"/>
        <v>0</v>
      </c>
      <c r="M342" s="1257"/>
      <c r="N342" s="698"/>
      <c r="O342" s="750"/>
      <c r="P342" s="751"/>
      <c r="Q342" s="486">
        <f t="shared" si="84"/>
        <v>0</v>
      </c>
      <c r="R342" s="486">
        <v>174</v>
      </c>
      <c r="S342" s="1235">
        <f t="shared" si="85"/>
        <v>0</v>
      </c>
      <c r="T342" s="1236"/>
      <c r="U342" s="149"/>
      <c r="V342" s="391" t="s">
        <v>1721</v>
      </c>
      <c r="X342" s="914"/>
      <c r="Y342" s="917"/>
    </row>
    <row r="343" spans="1:25" s="99" customFormat="1" ht="12.75">
      <c r="A343" s="36">
        <f t="shared" si="86"/>
        <v>1217</v>
      </c>
      <c r="B343" s="46" t="s">
        <v>112</v>
      </c>
      <c r="C343" s="37"/>
      <c r="D343" s="47"/>
      <c r="E343" s="696"/>
      <c r="F343" s="700"/>
      <c r="G343" s="699"/>
      <c r="H343" s="699"/>
      <c r="I343" s="394"/>
      <c r="J343" s="394"/>
      <c r="K343" s="713"/>
      <c r="L343" s="1235">
        <f t="shared" si="87"/>
        <v>0</v>
      </c>
      <c r="M343" s="1257"/>
      <c r="N343" s="698"/>
      <c r="O343" s="1275"/>
      <c r="P343" s="1276"/>
      <c r="Q343" s="486">
        <f t="shared" si="84"/>
        <v>0</v>
      </c>
      <c r="R343" s="486">
        <v>69</v>
      </c>
      <c r="S343" s="1235">
        <f t="shared" si="85"/>
        <v>0</v>
      </c>
      <c r="T343" s="1236"/>
      <c r="U343" s="149"/>
      <c r="V343" s="391" t="s">
        <v>1721</v>
      </c>
      <c r="X343" s="914"/>
      <c r="Y343" s="917"/>
    </row>
    <row r="344" spans="1:25" s="99" customFormat="1" ht="12.75">
      <c r="A344" s="36">
        <f t="shared" si="83"/>
        <v>1218</v>
      </c>
      <c r="B344" s="46" t="s">
        <v>113</v>
      </c>
      <c r="C344" s="37"/>
      <c r="D344" s="47"/>
      <c r="E344" s="320"/>
      <c r="F344" s="393"/>
      <c r="G344" s="71"/>
      <c r="H344" s="71"/>
      <c r="I344" s="394"/>
      <c r="J344" s="394"/>
      <c r="K344" s="311"/>
      <c r="L344" s="1235">
        <f t="shared" si="87"/>
        <v>0</v>
      </c>
      <c r="M344" s="1257"/>
      <c r="N344" s="514"/>
      <c r="O344" s="1444"/>
      <c r="P344" s="1445"/>
      <c r="Q344" s="486">
        <f t="shared" si="84"/>
        <v>0</v>
      </c>
      <c r="R344" s="486">
        <v>96</v>
      </c>
      <c r="S344" s="1235">
        <f t="shared" si="85"/>
        <v>0</v>
      </c>
      <c r="T344" s="1236"/>
      <c r="U344" s="149"/>
      <c r="V344" s="391" t="s">
        <v>1721</v>
      </c>
      <c r="X344" s="914"/>
      <c r="Y344" s="917"/>
    </row>
    <row r="345" spans="1:25" s="99" customFormat="1" ht="12.75">
      <c r="A345" s="36">
        <f t="shared" si="83"/>
        <v>1219</v>
      </c>
      <c r="B345" s="46" t="s">
        <v>1769</v>
      </c>
      <c r="C345" s="37"/>
      <c r="D345" s="47"/>
      <c r="E345" s="696"/>
      <c r="F345" s="700"/>
      <c r="G345" s="699"/>
      <c r="H345" s="699"/>
      <c r="I345" s="394"/>
      <c r="J345" s="394"/>
      <c r="K345" s="450"/>
      <c r="L345" s="1235">
        <f>Q79</f>
        <v>0</v>
      </c>
      <c r="M345" s="1257"/>
      <c r="N345" s="698"/>
      <c r="O345" s="1275"/>
      <c r="P345" s="1276"/>
      <c r="Q345" s="486">
        <f t="shared" si="84"/>
        <v>0</v>
      </c>
      <c r="R345" s="486">
        <v>191</v>
      </c>
      <c r="S345" s="1235">
        <f t="shared" si="85"/>
        <v>0</v>
      </c>
      <c r="T345" s="1236"/>
      <c r="U345" s="149"/>
      <c r="V345" s="391" t="s">
        <v>1723</v>
      </c>
      <c r="X345" s="914"/>
      <c r="Y345" s="917"/>
    </row>
    <row r="346" spans="1:25" s="99" customFormat="1" ht="12.75">
      <c r="A346" s="36">
        <f t="shared" si="83"/>
        <v>1220</v>
      </c>
      <c r="B346" s="46" t="str">
        <f>CONCATENATE(B373," (regel ",A385,")")</f>
        <v>Ambulant kinderen en jeugd (regel 1312)</v>
      </c>
      <c r="C346" s="37"/>
      <c r="D346" s="47"/>
      <c r="E346" s="24"/>
      <c r="F346" s="30"/>
      <c r="G346" s="29"/>
      <c r="H346" s="30"/>
      <c r="I346" s="394"/>
      <c r="J346" s="394"/>
      <c r="K346" s="311"/>
      <c r="L346" s="29"/>
      <c r="M346" s="29"/>
      <c r="N346" s="395"/>
      <c r="O346" s="29"/>
      <c r="Q346" s="516"/>
      <c r="R346" s="517"/>
      <c r="S346" s="1227">
        <f>G385</f>
        <v>0</v>
      </c>
      <c r="T346" s="1144"/>
      <c r="U346" s="149"/>
      <c r="V346" s="396"/>
      <c r="X346" s="914"/>
      <c r="Y346" s="917"/>
    </row>
    <row r="347" spans="1:25" s="99" customFormat="1" ht="12.75">
      <c r="A347" s="36">
        <f t="shared" si="83"/>
        <v>1221</v>
      </c>
      <c r="B347" s="46" t="str">
        <f>CONCATENATE("Ambulant volw., ouderen en versl.zorg"," (",A404,")")</f>
        <v>Ambulant volw., ouderen en versl.zorg (1329)</v>
      </c>
      <c r="C347" s="37"/>
      <c r="D347" s="47"/>
      <c r="E347" s="24"/>
      <c r="F347" s="30"/>
      <c r="G347" s="29"/>
      <c r="H347" s="29"/>
      <c r="I347" s="394"/>
      <c r="J347" s="344"/>
      <c r="K347" s="311"/>
      <c r="L347" s="29"/>
      <c r="M347" s="29"/>
      <c r="N347" s="395"/>
      <c r="O347" s="29"/>
      <c r="Q347" s="468"/>
      <c r="R347" s="518"/>
      <c r="S347" s="1227">
        <f>G404</f>
        <v>0</v>
      </c>
      <c r="T347" s="1144"/>
      <c r="U347" s="149"/>
      <c r="V347" s="396"/>
      <c r="X347" s="914"/>
      <c r="Y347" s="917"/>
    </row>
    <row r="348" spans="1:25" s="99" customFormat="1" ht="12.75">
      <c r="A348" s="36">
        <f t="shared" si="83"/>
        <v>1222</v>
      </c>
      <c r="B348" s="46" t="str">
        <f>CONCATENATE(B406," ( ",A415,")")</f>
        <v>Ambulant forensisch ( 1338)</v>
      </c>
      <c r="C348" s="37"/>
      <c r="D348" s="47"/>
      <c r="E348" s="24"/>
      <c r="F348" s="30"/>
      <c r="G348" s="29"/>
      <c r="H348" s="29"/>
      <c r="I348" s="394"/>
      <c r="J348" s="344"/>
      <c r="K348" s="311"/>
      <c r="L348" s="29"/>
      <c r="M348" s="29"/>
      <c r="N348" s="395"/>
      <c r="O348" s="29"/>
      <c r="Q348" s="468"/>
      <c r="R348" s="518"/>
      <c r="S348" s="1227">
        <f>G415</f>
        <v>0</v>
      </c>
      <c r="T348" s="1144"/>
      <c r="U348" s="149"/>
      <c r="V348" s="396"/>
      <c r="X348" s="914"/>
      <c r="Y348" s="917"/>
    </row>
    <row r="349" spans="1:25" s="99" customFormat="1" ht="12.75">
      <c r="A349" s="36">
        <f t="shared" si="83"/>
        <v>1223</v>
      </c>
      <c r="B349" s="46" t="str">
        <f>CONCATENATE(M373," (",L379,")")</f>
        <v>Eerste opnames (1344)</v>
      </c>
      <c r="C349" s="37"/>
      <c r="D349" s="47"/>
      <c r="E349" s="24"/>
      <c r="F349" s="30"/>
      <c r="G349" s="29"/>
      <c r="H349" s="29"/>
      <c r="I349" s="394"/>
      <c r="J349" s="344"/>
      <c r="K349" s="311"/>
      <c r="L349" s="29"/>
      <c r="M349" s="29"/>
      <c r="N349" s="395"/>
      <c r="O349" s="29"/>
      <c r="Q349" s="468"/>
      <c r="R349" s="518"/>
      <c r="S349" s="1227">
        <f>S379</f>
        <v>0</v>
      </c>
      <c r="T349" s="1144"/>
      <c r="U349" s="149"/>
      <c r="V349" s="396"/>
      <c r="X349" s="914"/>
      <c r="Y349" s="917"/>
    </row>
    <row r="350" spans="1:25" s="99" customFormat="1" ht="12.75">
      <c r="A350" s="36">
        <f t="shared" si="83"/>
        <v>1224</v>
      </c>
      <c r="B350" s="46" t="str">
        <f>CONCATENATE("Niet vrij besteedbare aanv. inkomsten (",L393,")")</f>
        <v>Niet vrij besteedbare aanv. inkomsten (1356)</v>
      </c>
      <c r="C350" s="37"/>
      <c r="D350" s="47"/>
      <c r="E350" s="24"/>
      <c r="F350" s="30"/>
      <c r="G350" s="29"/>
      <c r="H350" s="29"/>
      <c r="I350" s="394"/>
      <c r="J350" s="344"/>
      <c r="K350" s="311"/>
      <c r="L350" s="29"/>
      <c r="M350" s="29"/>
      <c r="N350" s="395"/>
      <c r="O350" s="29"/>
      <c r="Q350" s="468"/>
      <c r="R350" s="518"/>
      <c r="S350" s="1227">
        <f>S393</f>
        <v>0</v>
      </c>
      <c r="T350" s="1144"/>
      <c r="U350" s="149"/>
      <c r="V350" s="396"/>
      <c r="X350" s="914"/>
      <c r="Y350" s="917"/>
    </row>
    <row r="351" spans="1:25" s="99" customFormat="1" ht="12.75">
      <c r="A351" s="36">
        <f t="shared" si="83"/>
        <v>1225</v>
      </c>
      <c r="B351" s="46" t="str">
        <f>CONCATENATE("Verkeerde bed (",L404,")")</f>
        <v>Verkeerde bed (1362)</v>
      </c>
      <c r="C351" s="37"/>
      <c r="D351" s="47"/>
      <c r="E351" s="24"/>
      <c r="F351" s="30"/>
      <c r="G351" s="29"/>
      <c r="H351" s="29"/>
      <c r="I351" s="394"/>
      <c r="J351" s="344"/>
      <c r="K351" s="311"/>
      <c r="L351" s="29"/>
      <c r="M351" s="29"/>
      <c r="N351" s="395"/>
      <c r="O351" s="29"/>
      <c r="Q351" s="519"/>
      <c r="R351" s="520"/>
      <c r="S351" s="1227">
        <f>S404</f>
        <v>0</v>
      </c>
      <c r="T351" s="1144"/>
      <c r="U351" s="149"/>
      <c r="V351" s="396"/>
      <c r="X351" s="914"/>
      <c r="Y351" s="917"/>
    </row>
    <row r="352" spans="1:25" s="99" customFormat="1" ht="12.75">
      <c r="A352" s="36">
        <f t="shared" si="83"/>
        <v>1226</v>
      </c>
      <c r="B352" s="335" t="s">
        <v>2131</v>
      </c>
      <c r="C352" s="336"/>
      <c r="D352" s="337"/>
      <c r="E352" s="389"/>
      <c r="F352" s="48"/>
      <c r="G352" s="48"/>
      <c r="H352" s="48"/>
      <c r="I352" s="394"/>
      <c r="J352" s="344"/>
      <c r="K352" s="450"/>
      <c r="L352" s="450"/>
      <c r="M352" s="450"/>
      <c r="N352" s="450"/>
      <c r="O352" s="450"/>
      <c r="P352" s="450"/>
      <c r="Q352" s="450"/>
      <c r="R352" s="450"/>
      <c r="S352" s="1491">
        <f>S270</f>
        <v>0</v>
      </c>
      <c r="T352" s="1491"/>
      <c r="U352" s="149"/>
      <c r="V352" s="391"/>
      <c r="X352" s="914"/>
      <c r="Y352" s="917"/>
    </row>
    <row r="353" spans="1:25" s="99" customFormat="1" ht="12.75">
      <c r="A353" s="36">
        <f t="shared" si="83"/>
        <v>1227</v>
      </c>
      <c r="B353" s="1281" t="s">
        <v>1138</v>
      </c>
      <c r="C353" s="1282"/>
      <c r="D353" s="1282"/>
      <c r="E353" s="1282"/>
      <c r="F353" s="1282"/>
      <c r="G353" s="1282"/>
      <c r="H353" s="1282"/>
      <c r="I353" s="394"/>
      <c r="J353" s="344"/>
      <c r="K353" s="515"/>
      <c r="L353" s="48"/>
      <c r="M353" s="48"/>
      <c r="N353" s="451"/>
      <c r="O353" s="48"/>
      <c r="P353" s="48"/>
      <c r="Q353" s="502"/>
      <c r="R353" s="49"/>
      <c r="S353" s="1501"/>
      <c r="T353" s="1144"/>
      <c r="U353" s="149"/>
      <c r="V353" s="397"/>
      <c r="X353" s="914"/>
      <c r="Y353" s="917"/>
    </row>
    <row r="354" spans="1:22" ht="12.75">
      <c r="A354" s="36">
        <f t="shared" si="83"/>
        <v>1228</v>
      </c>
      <c r="B354" s="1281" t="s">
        <v>1139</v>
      </c>
      <c r="C354" s="1282"/>
      <c r="D354" s="1282"/>
      <c r="E354" s="1282"/>
      <c r="F354" s="1282"/>
      <c r="G354" s="1282"/>
      <c r="H354" s="1282"/>
      <c r="I354" s="347"/>
      <c r="J354" s="344"/>
      <c r="K354" s="450"/>
      <c r="L354" s="521"/>
      <c r="M354" s="521"/>
      <c r="N354" s="522"/>
      <c r="O354" s="521"/>
      <c r="P354" s="521"/>
      <c r="Q354" s="521"/>
      <c r="R354" s="521"/>
      <c r="S354" s="1503">
        <f>SUM(S327:T353)</f>
        <v>0</v>
      </c>
      <c r="T354" s="1504"/>
      <c r="U354" s="149"/>
      <c r="V354" s="87" t="s">
        <v>1698</v>
      </c>
    </row>
    <row r="355" spans="1:22" ht="12.75" customHeight="1">
      <c r="A355" s="36">
        <f t="shared" si="83"/>
        <v>1229</v>
      </c>
      <c r="B355" s="1281" t="s">
        <v>1140</v>
      </c>
      <c r="C355" s="1282"/>
      <c r="D355" s="1282"/>
      <c r="E355" s="1282"/>
      <c r="F355" s="1282"/>
      <c r="G355" s="1282"/>
      <c r="H355" s="1282"/>
      <c r="I355" s="347"/>
      <c r="J355" s="344"/>
      <c r="K355" s="450"/>
      <c r="L355" s="48"/>
      <c r="M355" s="48"/>
      <c r="N355" s="264"/>
      <c r="O355" s="48"/>
      <c r="P355" s="48"/>
      <c r="Q355" s="48"/>
      <c r="R355" s="48"/>
      <c r="S355" s="1501"/>
      <c r="T355" s="1144"/>
      <c r="U355" s="149"/>
      <c r="V355" s="87"/>
    </row>
    <row r="356" spans="1:22" ht="12.75">
      <c r="A356" s="36">
        <f t="shared" si="83"/>
        <v>1230</v>
      </c>
      <c r="B356" s="1428" t="s">
        <v>1475</v>
      </c>
      <c r="C356" s="1429"/>
      <c r="D356" s="1429"/>
      <c r="E356" s="1429"/>
      <c r="F356" s="1429"/>
      <c r="G356" s="1429"/>
      <c r="H356" s="1429"/>
      <c r="I356" s="347"/>
      <c r="J356" s="344"/>
      <c r="K356" s="452"/>
      <c r="L356" s="453"/>
      <c r="M356" s="453"/>
      <c r="N356" s="454"/>
      <c r="O356" s="453"/>
      <c r="P356" s="453"/>
      <c r="Q356" s="453"/>
      <c r="R356" s="453"/>
      <c r="S356" s="1149">
        <f>S355-S354</f>
        <v>0</v>
      </c>
      <c r="T356" s="1144"/>
      <c r="U356" s="149"/>
      <c r="V356" s="3" t="s">
        <v>689</v>
      </c>
    </row>
    <row r="357" spans="1:22" ht="12.75">
      <c r="A357" s="22" t="s">
        <v>1705</v>
      </c>
      <c r="B357" s="5"/>
      <c r="C357" s="6"/>
      <c r="D357" s="5"/>
      <c r="E357" s="7"/>
      <c r="F357" s="5"/>
      <c r="G357" s="5"/>
      <c r="H357" s="5"/>
      <c r="I357" s="347"/>
      <c r="J357" s="344"/>
      <c r="K357" s="299"/>
      <c r="L357" s="5"/>
      <c r="M357" s="10"/>
      <c r="N357" s="6"/>
      <c r="O357" s="5"/>
      <c r="P357" s="5"/>
      <c r="Q357" s="5"/>
      <c r="R357" s="5"/>
      <c r="S357" s="5"/>
      <c r="T357" s="5"/>
      <c r="U357" s="151"/>
      <c r="V357" s="3"/>
    </row>
    <row r="358" spans="1:22" ht="12.75">
      <c r="A358" s="22"/>
      <c r="B358" s="5"/>
      <c r="C358" s="6"/>
      <c r="D358" s="5"/>
      <c r="E358" s="7"/>
      <c r="F358" s="5"/>
      <c r="G358" s="5"/>
      <c r="H358" s="5"/>
      <c r="I358" s="347"/>
      <c r="J358" s="344"/>
      <c r="K358" s="315"/>
      <c r="L358" s="5"/>
      <c r="M358" s="10"/>
      <c r="N358" s="6"/>
      <c r="O358" s="5"/>
      <c r="P358" s="5"/>
      <c r="Q358" s="5"/>
      <c r="R358" s="5"/>
      <c r="S358" s="5"/>
      <c r="T358" s="5"/>
      <c r="U358" s="151"/>
      <c r="V358" s="3"/>
    </row>
    <row r="359" spans="1:22" ht="12.75">
      <c r="A359" s="22" t="s">
        <v>1732</v>
      </c>
      <c r="B359" s="23" t="str">
        <f>CONCATENATE("VOORLOPIGE EXPLOITATIE ",$E$8-1)</f>
        <v>VOORLOPIGE EXPLOITATIE 2005</v>
      </c>
      <c r="C359" s="29"/>
      <c r="D359" s="29"/>
      <c r="E359" s="770" t="s">
        <v>224</v>
      </c>
      <c r="F359" s="771" t="s">
        <v>1011</v>
      </c>
      <c r="G359" s="1338" t="s">
        <v>221</v>
      </c>
      <c r="H359" s="1274"/>
      <c r="I359" s="347"/>
      <c r="J359" s="344"/>
      <c r="K359" s="771" t="s">
        <v>1011</v>
      </c>
      <c r="L359" s="1338" t="s">
        <v>221</v>
      </c>
      <c r="M359" s="1274"/>
      <c r="N359" s="10"/>
      <c r="O359" s="29"/>
      <c r="P359" s="10"/>
      <c r="Q359" s="10"/>
      <c r="R359" s="10"/>
      <c r="S359" s="10"/>
      <c r="T359" s="29"/>
      <c r="U359" s="149"/>
      <c r="V359" s="29"/>
    </row>
    <row r="360" spans="1:22" ht="12.75">
      <c r="A360" s="23"/>
      <c r="B360" s="23"/>
      <c r="C360" s="23"/>
      <c r="D360" s="23"/>
      <c r="E360" s="31">
        <f>$E$8-1</f>
        <v>2005</v>
      </c>
      <c r="F360" s="31">
        <f>$E$8-1</f>
        <v>2005</v>
      </c>
      <c r="G360" s="1421">
        <f>$E$8-1</f>
        <v>2005</v>
      </c>
      <c r="H360" s="1317"/>
      <c r="I360" s="347"/>
      <c r="J360" s="344"/>
      <c r="K360" s="772" t="str">
        <f>CONCATENATE($E$8," ")</f>
        <v>2006 </v>
      </c>
      <c r="L360" s="1421">
        <f>$E$8</f>
        <v>2006</v>
      </c>
      <c r="M360" s="1317"/>
      <c r="N360" s="10"/>
      <c r="O360" s="5"/>
      <c r="P360" s="34" t="str">
        <f>CONCATENATE("Instandhoudingsinvesteringen ",$E$8-1)</f>
        <v>Instandhoudingsinvesteringen 2005</v>
      </c>
      <c r="Q360" s="10"/>
      <c r="R360" s="5"/>
      <c r="S360" s="10"/>
      <c r="T360" s="5"/>
      <c r="U360" s="776"/>
      <c r="V360" s="23"/>
    </row>
    <row r="361" spans="1:22" ht="12.75">
      <c r="A361" s="5"/>
      <c r="B361" s="34" t="s">
        <v>1009</v>
      </c>
      <c r="C361" s="23"/>
      <c r="D361" s="5"/>
      <c r="E361" s="69"/>
      <c r="F361" s="134"/>
      <c r="G361" s="56"/>
      <c r="H361" s="56"/>
      <c r="I361" s="347"/>
      <c r="J361" s="344"/>
      <c r="K361" s="683"/>
      <c r="L361" s="342"/>
      <c r="M361" s="342"/>
      <c r="P361" s="686">
        <f>A368+1</f>
        <v>1238</v>
      </c>
      <c r="Q361" s="1423" t="str">
        <f>CONCATENATE("Verwacht ",$E$8-1)</f>
        <v>Verwacht 2005</v>
      </c>
      <c r="R361" s="1424"/>
      <c r="S361" s="1491"/>
      <c r="T361" s="1491"/>
      <c r="U361" s="151"/>
      <c r="V361" s="5"/>
    </row>
    <row r="362" spans="1:22" ht="12.75">
      <c r="A362" s="165">
        <f>A356+1</f>
        <v>1231</v>
      </c>
      <c r="B362" s="127" t="s">
        <v>1013</v>
      </c>
      <c r="C362" s="83">
        <v>70</v>
      </c>
      <c r="D362" s="38"/>
      <c r="E362" s="60"/>
      <c r="F362" s="60"/>
      <c r="G362" s="1147">
        <f aca="true" t="shared" si="88" ref="G362:G367">F362-E362</f>
        <v>0</v>
      </c>
      <c r="H362" s="1234"/>
      <c r="I362" s="1247" t="s">
        <v>1016</v>
      </c>
      <c r="J362" s="1320"/>
      <c r="K362" s="60"/>
      <c r="L362" s="1426">
        <f aca="true" t="shared" si="89" ref="L362:L367">K362-F362</f>
        <v>0</v>
      </c>
      <c r="M362" s="1427"/>
      <c r="P362" s="686">
        <f>P361+1</f>
        <v>1239</v>
      </c>
      <c r="Q362" s="1423" t="str">
        <f>CONCATENATE("Rekenstaat ",$E$8-1)</f>
        <v>Rekenstaat 2005</v>
      </c>
      <c r="R362" s="1424"/>
      <c r="S362" s="1491"/>
      <c r="T362" s="1491"/>
      <c r="U362" s="147"/>
      <c r="V362" s="3"/>
    </row>
    <row r="363" spans="1:22" ht="12.75">
      <c r="A363" s="165">
        <f aca="true" t="shared" si="90" ref="A363:A368">A362+1</f>
        <v>1232</v>
      </c>
      <c r="B363" s="127" t="s">
        <v>1012</v>
      </c>
      <c r="C363" s="83">
        <v>71</v>
      </c>
      <c r="D363" s="38"/>
      <c r="E363" s="60"/>
      <c r="F363" s="60"/>
      <c r="G363" s="1147">
        <f t="shared" si="88"/>
        <v>0</v>
      </c>
      <c r="H363" s="1234"/>
      <c r="I363" s="1247" t="s">
        <v>1017</v>
      </c>
      <c r="J363" s="1320"/>
      <c r="K363" s="60"/>
      <c r="L363" s="1426">
        <f t="shared" si="89"/>
        <v>0</v>
      </c>
      <c r="M363" s="1427"/>
      <c r="P363" s="685">
        <f>P362+1</f>
        <v>1240</v>
      </c>
      <c r="Q363" s="1364" t="str">
        <f>CONCATENATE("Mutatie ",$E$8-1)</f>
        <v>Mutatie 2005</v>
      </c>
      <c r="R363" s="1143"/>
      <c r="S363" s="1149">
        <f>S362-S361</f>
        <v>0</v>
      </c>
      <c r="T363" s="1258"/>
      <c r="U363" s="159"/>
      <c r="V363" s="3" t="str">
        <f>CONCATENATE("IJ0",$E$8-2001)</f>
        <v>IJ05</v>
      </c>
    </row>
    <row r="364" spans="1:22" ht="12.75">
      <c r="A364" s="165">
        <f t="shared" si="90"/>
        <v>1233</v>
      </c>
      <c r="B364" s="127" t="s">
        <v>690</v>
      </c>
      <c r="C364" s="1284">
        <v>72</v>
      </c>
      <c r="D364" s="41"/>
      <c r="E364" s="60"/>
      <c r="F364" s="60"/>
      <c r="G364" s="1147">
        <f t="shared" si="88"/>
        <v>0</v>
      </c>
      <c r="H364" s="1234"/>
      <c r="I364" s="1247" t="s">
        <v>1697</v>
      </c>
      <c r="J364" s="1320"/>
      <c r="K364" s="60"/>
      <c r="L364" s="1426">
        <f t="shared" si="89"/>
        <v>0</v>
      </c>
      <c r="M364" s="1427"/>
      <c r="O364" s="15"/>
      <c r="T364" s="7"/>
      <c r="U364" s="160"/>
      <c r="V364" s="3"/>
    </row>
    <row r="365" spans="1:22" ht="12.75">
      <c r="A365" s="165">
        <f t="shared" si="90"/>
        <v>1234</v>
      </c>
      <c r="B365" s="127" t="s">
        <v>691</v>
      </c>
      <c r="C365" s="1285"/>
      <c r="D365" s="524"/>
      <c r="E365" s="60"/>
      <c r="F365" s="60"/>
      <c r="G365" s="1147">
        <f t="shared" si="88"/>
        <v>0</v>
      </c>
      <c r="H365" s="1234"/>
      <c r="I365" s="341" t="s">
        <v>55</v>
      </c>
      <c r="J365" s="484"/>
      <c r="K365" s="60"/>
      <c r="L365" s="1426">
        <f t="shared" si="89"/>
        <v>0</v>
      </c>
      <c r="M365" s="1427"/>
      <c r="O365" s="15"/>
      <c r="T365" s="7"/>
      <c r="U365" s="160"/>
      <c r="V365" s="3"/>
    </row>
    <row r="366" spans="1:22" ht="12.75">
      <c r="A366" s="165">
        <f t="shared" si="90"/>
        <v>1235</v>
      </c>
      <c r="B366" s="127" t="s">
        <v>1015</v>
      </c>
      <c r="C366" s="83">
        <v>73</v>
      </c>
      <c r="D366" s="38"/>
      <c r="E366" s="60"/>
      <c r="F366" s="60"/>
      <c r="G366" s="1147">
        <f t="shared" si="88"/>
        <v>0</v>
      </c>
      <c r="H366" s="1234"/>
      <c r="I366" s="1247" t="s">
        <v>850</v>
      </c>
      <c r="J366" s="1320"/>
      <c r="K366" s="60"/>
      <c r="L366" s="1426">
        <f t="shared" si="89"/>
        <v>0</v>
      </c>
      <c r="M366" s="1427"/>
      <c r="O366" s="15"/>
      <c r="P366" s="34" t="str">
        <f>CONCATENATE("Instandhoudingsinvesteringen ",$E$8)</f>
        <v>Instandhoudingsinvesteringen 2006</v>
      </c>
      <c r="Q366" s="10"/>
      <c r="R366" s="5"/>
      <c r="T366" s="5"/>
      <c r="U366" s="777"/>
      <c r="V366" s="7"/>
    </row>
    <row r="367" spans="1:22" ht="12.75">
      <c r="A367" s="165">
        <f t="shared" si="90"/>
        <v>1236</v>
      </c>
      <c r="B367" s="127" t="s">
        <v>1014</v>
      </c>
      <c r="C367" s="83">
        <v>74</v>
      </c>
      <c r="D367" s="38"/>
      <c r="E367" s="60"/>
      <c r="F367" s="254"/>
      <c r="G367" s="1147">
        <f t="shared" si="88"/>
        <v>0</v>
      </c>
      <c r="H367" s="1234"/>
      <c r="I367" s="341"/>
      <c r="J367" s="359"/>
      <c r="K367" s="684"/>
      <c r="L367" s="1426">
        <f t="shared" si="89"/>
        <v>0</v>
      </c>
      <c r="M367" s="1427"/>
      <c r="P367" s="686">
        <f>P363+1</f>
        <v>1241</v>
      </c>
      <c r="Q367" s="1423" t="str">
        <f>CONCATENATE("Verwacht ",$E$8)</f>
        <v>Verwacht 2006</v>
      </c>
      <c r="R367" s="1424"/>
      <c r="S367" s="1491"/>
      <c r="T367" s="1491"/>
      <c r="U367" s="777"/>
      <c r="V367" s="3" t="str">
        <f>CONCATENATE("IJ0",$E$8-2000)</f>
        <v>IJ06</v>
      </c>
    </row>
    <row r="368" spans="1:22" ht="12.75">
      <c r="A368" s="165">
        <f t="shared" si="90"/>
        <v>1237</v>
      </c>
      <c r="B368" s="44" t="s">
        <v>223</v>
      </c>
      <c r="C368" s="44"/>
      <c r="D368" s="45"/>
      <c r="E368" s="123">
        <f>SUM(E362:E367)</f>
        <v>0</v>
      </c>
      <c r="F368" s="123">
        <f>SUM(F362:F367)</f>
        <v>0</v>
      </c>
      <c r="G368" s="1149">
        <f>SUM(G362:H367)</f>
        <v>0</v>
      </c>
      <c r="H368" s="1144"/>
      <c r="I368" s="1247" t="s">
        <v>851</v>
      </c>
      <c r="J368" s="1320"/>
      <c r="K368" s="441">
        <f>SUM(K362:K367)</f>
        <v>0</v>
      </c>
      <c r="L368" s="1487">
        <f>SUM(L362:M367)</f>
        <v>0</v>
      </c>
      <c r="M368" s="1488"/>
      <c r="O368" s="23"/>
      <c r="P368" s="23"/>
      <c r="Q368" s="23"/>
      <c r="R368" s="23"/>
      <c r="S368" s="23"/>
      <c r="T368" s="23"/>
      <c r="U368" s="776"/>
      <c r="V368" s="3" t="s">
        <v>851</v>
      </c>
    </row>
    <row r="369" spans="1:21" ht="12.75">
      <c r="A369" s="10"/>
      <c r="B369" s="10"/>
      <c r="C369" s="10"/>
      <c r="D369" s="10"/>
      <c r="I369" s="326"/>
      <c r="J369" s="326"/>
      <c r="U369" s="152"/>
    </row>
    <row r="370" spans="1:22" ht="12.75">
      <c r="A370" s="22" t="s">
        <v>683</v>
      </c>
      <c r="B370" s="23" t="str">
        <f>CONCATENATE(" OPBRENGST ",$E$8-1)</f>
        <v> OPBRENGST 2005</v>
      </c>
      <c r="C370" s="6"/>
      <c r="D370" s="5"/>
      <c r="E370" s="7"/>
      <c r="F370" s="5"/>
      <c r="G370" s="5"/>
      <c r="H370" s="5"/>
      <c r="I370" s="358"/>
      <c r="J370" s="344"/>
      <c r="K370" s="318"/>
      <c r="L370" s="270"/>
      <c r="M370" s="10"/>
      <c r="N370" s="6"/>
      <c r="O370" s="5"/>
      <c r="P370" s="5"/>
      <c r="Q370" s="5"/>
      <c r="R370" s="5"/>
      <c r="S370" s="5"/>
      <c r="T370" s="5"/>
      <c r="U370" s="161"/>
      <c r="V370" s="774"/>
    </row>
    <row r="371" spans="1:22" ht="12.75">
      <c r="A371" s="5"/>
      <c r="B371" s="23" t="s">
        <v>909</v>
      </c>
      <c r="C371" s="1277" t="s">
        <v>1736</v>
      </c>
      <c r="D371" s="1278"/>
      <c r="E371" s="258" t="s">
        <v>886</v>
      </c>
      <c r="F371" s="269" t="s">
        <v>1010</v>
      </c>
      <c r="G371" s="1277" t="s">
        <v>885</v>
      </c>
      <c r="H371" s="1272"/>
      <c r="I371" s="358"/>
      <c r="J371" s="344"/>
      <c r="K371" s="299"/>
      <c r="L371" s="5"/>
      <c r="M371" s="10"/>
      <c r="N371" s="6"/>
      <c r="O371" s="5"/>
      <c r="P371" s="258" t="s">
        <v>2165</v>
      </c>
      <c r="Q371" s="258" t="s">
        <v>886</v>
      </c>
      <c r="R371" s="269" t="s">
        <v>1010</v>
      </c>
      <c r="S371" s="1277" t="s">
        <v>885</v>
      </c>
      <c r="T371" s="1492"/>
      <c r="U371" s="151"/>
      <c r="V371" s="3"/>
    </row>
    <row r="372" spans="1:22" ht="12.75">
      <c r="A372" s="59"/>
      <c r="B372" s="59"/>
      <c r="C372" s="59"/>
      <c r="D372" s="59"/>
      <c r="E372" s="59"/>
      <c r="F372" s="59"/>
      <c r="G372" s="59"/>
      <c r="H372" s="59"/>
      <c r="I372" s="360"/>
      <c r="J372" s="344"/>
      <c r="K372" s="313"/>
      <c r="L372" s="59"/>
      <c r="M372" s="59"/>
      <c r="N372" s="59"/>
      <c r="O372" s="59"/>
      <c r="P372" s="59"/>
      <c r="Q372" s="59"/>
      <c r="R372" s="59"/>
      <c r="S372" s="59"/>
      <c r="T372" s="59"/>
      <c r="U372" s="164"/>
      <c r="V372" s="67"/>
    </row>
    <row r="373" spans="1:22" ht="12.75">
      <c r="A373" s="5"/>
      <c r="B373" s="262" t="s">
        <v>2258</v>
      </c>
      <c r="C373" s="6"/>
      <c r="D373" s="262"/>
      <c r="E373" s="271"/>
      <c r="F373" s="271"/>
      <c r="G373" s="272"/>
      <c r="H373" s="5"/>
      <c r="I373" s="358"/>
      <c r="J373" s="344"/>
      <c r="K373" s="299"/>
      <c r="L373" s="5"/>
      <c r="M373" s="262" t="s">
        <v>2164</v>
      </c>
      <c r="N373" s="13"/>
      <c r="O373" s="5"/>
      <c r="P373" s="262"/>
      <c r="Q373" s="271"/>
      <c r="R373" s="271"/>
      <c r="S373" s="272"/>
      <c r="T373" s="5"/>
      <c r="U373" s="162"/>
      <c r="V373" s="67"/>
    </row>
    <row r="374" spans="1:22" ht="12.75">
      <c r="A374" s="261">
        <v>1301</v>
      </c>
      <c r="B374" s="93" t="s">
        <v>2158</v>
      </c>
      <c r="C374" s="1279">
        <f aca="true" t="shared" si="91" ref="C374:C379">A98</f>
        <v>701</v>
      </c>
      <c r="D374" s="1280"/>
      <c r="E374" s="100">
        <f aca="true" t="shared" si="92" ref="E374:E380">Q98</f>
        <v>0</v>
      </c>
      <c r="F374" s="449">
        <v>22</v>
      </c>
      <c r="G374" s="1283">
        <f>E374*F374</f>
        <v>0</v>
      </c>
      <c r="H374" s="1144"/>
      <c r="I374" s="511"/>
      <c r="J374" s="344"/>
      <c r="K374" s="313"/>
      <c r="L374" s="261">
        <f>A415+1</f>
        <v>1339</v>
      </c>
      <c r="M374" s="107" t="s">
        <v>2248</v>
      </c>
      <c r="N374" s="95"/>
      <c r="O374" s="106"/>
      <c r="P374" s="278">
        <f>A82</f>
        <v>623</v>
      </c>
      <c r="Q374" s="100">
        <f>Q82</f>
        <v>0</v>
      </c>
      <c r="R374" s="449">
        <v>349</v>
      </c>
      <c r="S374" s="1283">
        <f>Q374*R374</f>
        <v>0</v>
      </c>
      <c r="T374" s="1144"/>
      <c r="U374" s="147"/>
      <c r="V374" s="67"/>
    </row>
    <row r="375" spans="1:22" ht="12.75">
      <c r="A375" s="261">
        <f aca="true" t="shared" si="93" ref="A375:A385">A374+1</f>
        <v>1302</v>
      </c>
      <c r="B375" s="93" t="s">
        <v>2159</v>
      </c>
      <c r="C375" s="1279">
        <f t="shared" si="91"/>
        <v>702</v>
      </c>
      <c r="D375" s="1280"/>
      <c r="E375" s="100">
        <f t="shared" si="92"/>
        <v>0</v>
      </c>
      <c r="F375" s="449">
        <v>168</v>
      </c>
      <c r="G375" s="1283">
        <f aca="true" t="shared" si="94" ref="G375:G384">E375*F375</f>
        <v>0</v>
      </c>
      <c r="H375" s="1144"/>
      <c r="I375" s="511"/>
      <c r="J375" s="344"/>
      <c r="K375" s="313"/>
      <c r="L375" s="261">
        <f>L374+1</f>
        <v>1340</v>
      </c>
      <c r="M375" s="107" t="s">
        <v>2249</v>
      </c>
      <c r="N375" s="95"/>
      <c r="O375" s="106"/>
      <c r="P375" s="278">
        <f>A83</f>
        <v>624</v>
      </c>
      <c r="Q375" s="100">
        <f>Q83</f>
        <v>0</v>
      </c>
      <c r="R375" s="449">
        <v>349</v>
      </c>
      <c r="S375" s="1283">
        <f>Q375*R375</f>
        <v>0</v>
      </c>
      <c r="T375" s="1144"/>
      <c r="U375" s="147"/>
      <c r="V375" s="67"/>
    </row>
    <row r="376" spans="1:22" ht="12.75">
      <c r="A376" s="261">
        <f t="shared" si="93"/>
        <v>1303</v>
      </c>
      <c r="B376" s="93" t="s">
        <v>2160</v>
      </c>
      <c r="C376" s="1279">
        <f t="shared" si="91"/>
        <v>703</v>
      </c>
      <c r="D376" s="1280"/>
      <c r="E376" s="100">
        <f t="shared" si="92"/>
        <v>0</v>
      </c>
      <c r="F376" s="449">
        <v>461</v>
      </c>
      <c r="G376" s="1283">
        <f t="shared" si="94"/>
        <v>0</v>
      </c>
      <c r="H376" s="1144"/>
      <c r="I376" s="511"/>
      <c r="J376" s="344"/>
      <c r="K376" s="313"/>
      <c r="L376" s="261">
        <f>L375+1</f>
        <v>1341</v>
      </c>
      <c r="M376" s="107" t="s">
        <v>2250</v>
      </c>
      <c r="N376" s="95"/>
      <c r="O376" s="106"/>
      <c r="P376" s="278">
        <f>A84</f>
        <v>625</v>
      </c>
      <c r="Q376" s="100">
        <f>Q84</f>
        <v>0</v>
      </c>
      <c r="R376" s="449">
        <v>984</v>
      </c>
      <c r="S376" s="1283">
        <f>Q376*R376</f>
        <v>0</v>
      </c>
      <c r="T376" s="1144"/>
      <c r="U376" s="147"/>
      <c r="V376" s="67"/>
    </row>
    <row r="377" spans="1:22" ht="12.75">
      <c r="A377" s="261">
        <f t="shared" si="93"/>
        <v>1304</v>
      </c>
      <c r="B377" s="93" t="s">
        <v>2161</v>
      </c>
      <c r="C377" s="1279">
        <f t="shared" si="91"/>
        <v>704</v>
      </c>
      <c r="D377" s="1280"/>
      <c r="E377" s="100">
        <f t="shared" si="92"/>
        <v>0</v>
      </c>
      <c r="F377" s="449">
        <v>159</v>
      </c>
      <c r="G377" s="1283">
        <f t="shared" si="94"/>
        <v>0</v>
      </c>
      <c r="H377" s="1144"/>
      <c r="I377" s="511"/>
      <c r="J377" s="344"/>
      <c r="K377" s="313"/>
      <c r="L377" s="261">
        <f>L376+1</f>
        <v>1342</v>
      </c>
      <c r="M377" s="107" t="s">
        <v>1320</v>
      </c>
      <c r="N377" s="95"/>
      <c r="O377" s="106"/>
      <c r="P377" s="278">
        <f>A85</f>
        <v>626</v>
      </c>
      <c r="Q377" s="100">
        <f>Q85</f>
        <v>0</v>
      </c>
      <c r="R377" s="449">
        <v>2846</v>
      </c>
      <c r="S377" s="1283">
        <f>Q377*R377</f>
        <v>0</v>
      </c>
      <c r="T377" s="1144"/>
      <c r="U377" s="147"/>
      <c r="V377" s="67"/>
    </row>
    <row r="378" spans="1:22" ht="12.75">
      <c r="A378" s="261">
        <f t="shared" si="93"/>
        <v>1305</v>
      </c>
      <c r="B378" s="93" t="s">
        <v>2162</v>
      </c>
      <c r="C378" s="1279">
        <f t="shared" si="91"/>
        <v>705</v>
      </c>
      <c r="D378" s="1280"/>
      <c r="E378" s="100">
        <f t="shared" si="92"/>
        <v>0</v>
      </c>
      <c r="F378" s="449">
        <v>102</v>
      </c>
      <c r="G378" s="1283">
        <f t="shared" si="94"/>
        <v>0</v>
      </c>
      <c r="H378" s="1144"/>
      <c r="I378" s="511"/>
      <c r="J378" s="344"/>
      <c r="K378" s="313"/>
      <c r="L378" s="261">
        <f>L377+1</f>
        <v>1343</v>
      </c>
      <c r="M378" s="107" t="s">
        <v>908</v>
      </c>
      <c r="N378" s="95"/>
      <c r="O378" s="106"/>
      <c r="P378" s="278">
        <f>A86</f>
        <v>627</v>
      </c>
      <c r="Q378" s="100">
        <f>Q86</f>
        <v>0</v>
      </c>
      <c r="R378" s="449">
        <v>1376</v>
      </c>
      <c r="S378" s="1283">
        <f>Q378*R378</f>
        <v>0</v>
      </c>
      <c r="T378" s="1144"/>
      <c r="U378" s="163"/>
      <c r="V378" s="67"/>
    </row>
    <row r="379" spans="1:22" ht="12.75">
      <c r="A379" s="261">
        <f t="shared" si="93"/>
        <v>1306</v>
      </c>
      <c r="B379" s="93" t="s">
        <v>893</v>
      </c>
      <c r="C379" s="1279">
        <f t="shared" si="91"/>
        <v>706</v>
      </c>
      <c r="D379" s="1280"/>
      <c r="E379" s="100">
        <f t="shared" si="92"/>
        <v>0</v>
      </c>
      <c r="F379" s="449">
        <v>95</v>
      </c>
      <c r="G379" s="1283">
        <f t="shared" si="94"/>
        <v>0</v>
      </c>
      <c r="H379" s="1144"/>
      <c r="I379" s="512"/>
      <c r="J379" s="344"/>
      <c r="K379" s="313"/>
      <c r="L379" s="261">
        <f>L378+1</f>
        <v>1344</v>
      </c>
      <c r="M379" s="260" t="s">
        <v>223</v>
      </c>
      <c r="N379" s="96"/>
      <c r="O379" s="97"/>
      <c r="P379" s="51"/>
      <c r="Q379" s="102">
        <f>SUM(Q374:Q378)</f>
        <v>0</v>
      </c>
      <c r="R379" s="97"/>
      <c r="S379" s="1303">
        <f>SUM(S374:T378)</f>
        <v>0</v>
      </c>
      <c r="T379" s="1502"/>
      <c r="U379" s="164"/>
      <c r="V379" s="67"/>
    </row>
    <row r="380" spans="1:21" ht="12.75">
      <c r="A380" s="261">
        <f t="shared" si="93"/>
        <v>1307</v>
      </c>
      <c r="B380" s="93" t="s">
        <v>1437</v>
      </c>
      <c r="C380" s="1279">
        <f>A104</f>
        <v>707</v>
      </c>
      <c r="D380" s="1280"/>
      <c r="E380" s="100">
        <f t="shared" si="92"/>
        <v>0</v>
      </c>
      <c r="F380" s="508">
        <v>51</v>
      </c>
      <c r="G380" s="1283">
        <f t="shared" si="94"/>
        <v>0</v>
      </c>
      <c r="H380" s="1144"/>
      <c r="I380" s="512"/>
      <c r="J380" s="344"/>
      <c r="K380" s="313"/>
      <c r="L380" s="408"/>
      <c r="M380" s="59"/>
      <c r="N380" s="59"/>
      <c r="O380" s="59"/>
      <c r="P380" s="59"/>
      <c r="Q380" s="59"/>
      <c r="R380" s="59"/>
      <c r="S380" s="59"/>
      <c r="T380" s="59"/>
      <c r="U380" s="164"/>
    </row>
    <row r="381" spans="1:21" ht="12.75">
      <c r="A381" s="261">
        <f t="shared" si="93"/>
        <v>1308</v>
      </c>
      <c r="B381" s="93" t="s">
        <v>2163</v>
      </c>
      <c r="C381" s="1279">
        <f>A105</f>
        <v>708</v>
      </c>
      <c r="D381" s="1280"/>
      <c r="E381" s="100">
        <f>Q105</f>
        <v>0</v>
      </c>
      <c r="F381" s="449">
        <v>66</v>
      </c>
      <c r="G381" s="1283">
        <f t="shared" si="94"/>
        <v>0</v>
      </c>
      <c r="H381" s="1144"/>
      <c r="I381" s="512"/>
      <c r="J381" s="344"/>
      <c r="K381" s="313"/>
      <c r="L381" s="274"/>
      <c r="M381" s="265" t="s">
        <v>853</v>
      </c>
      <c r="N381" s="70"/>
      <c r="O381" s="59"/>
      <c r="P381" s="59"/>
      <c r="Q381" s="59"/>
      <c r="R381" s="59"/>
      <c r="S381" s="59"/>
      <c r="T381" s="59"/>
      <c r="U381" s="147"/>
    </row>
    <row r="382" spans="1:21" ht="12.75">
      <c r="A382" s="261">
        <f t="shared" si="93"/>
        <v>1309</v>
      </c>
      <c r="B382" s="93" t="s">
        <v>894</v>
      </c>
      <c r="C382" s="1279">
        <f>A106</f>
        <v>709</v>
      </c>
      <c r="D382" s="1280"/>
      <c r="E382" s="100">
        <f>Q106</f>
        <v>0</v>
      </c>
      <c r="F382" s="449">
        <v>219</v>
      </c>
      <c r="G382" s="1283">
        <f t="shared" si="94"/>
        <v>0</v>
      </c>
      <c r="H382" s="1144"/>
      <c r="I382" s="358"/>
      <c r="J382" s="344"/>
      <c r="K382" s="313"/>
      <c r="L382" s="261">
        <f>L379+1</f>
        <v>1345</v>
      </c>
      <c r="M382" s="769" t="s">
        <v>1717</v>
      </c>
      <c r="N382" s="255"/>
      <c r="O382" s="255"/>
      <c r="P382" s="255"/>
      <c r="Q382" s="255"/>
      <c r="R382" s="256"/>
      <c r="S382" s="1299"/>
      <c r="T382" s="1300"/>
      <c r="U382" s="147"/>
    </row>
    <row r="383" spans="1:21" ht="12.75">
      <c r="A383" s="261">
        <f t="shared" si="93"/>
        <v>1310</v>
      </c>
      <c r="B383" s="93" t="s">
        <v>902</v>
      </c>
      <c r="C383" s="1279">
        <f>A107</f>
        <v>710</v>
      </c>
      <c r="D383" s="1280"/>
      <c r="E383" s="100">
        <f>Q107</f>
        <v>0</v>
      </c>
      <c r="F383" s="449">
        <v>821</v>
      </c>
      <c r="G383" s="1283">
        <f t="shared" si="94"/>
        <v>0</v>
      </c>
      <c r="H383" s="1144"/>
      <c r="I383" s="358"/>
      <c r="J383" s="344"/>
      <c r="K383" s="313"/>
      <c r="L383" s="261">
        <f aca="true" t="shared" si="95" ref="L383:L393">L382+1</f>
        <v>1346</v>
      </c>
      <c r="M383" s="89"/>
      <c r="N383" s="255"/>
      <c r="O383" s="255"/>
      <c r="P383" s="255"/>
      <c r="Q383" s="255"/>
      <c r="R383" s="256"/>
      <c r="S383" s="1299"/>
      <c r="T383" s="1300"/>
      <c r="U383" s="147"/>
    </row>
    <row r="384" spans="1:21" ht="12.75">
      <c r="A384" s="261">
        <f t="shared" si="93"/>
        <v>1311</v>
      </c>
      <c r="B384" s="93" t="s">
        <v>2157</v>
      </c>
      <c r="C384" s="1279">
        <f>A108</f>
        <v>711</v>
      </c>
      <c r="D384" s="1280"/>
      <c r="E384" s="100">
        <f>Q108</f>
        <v>0</v>
      </c>
      <c r="F384" s="449">
        <v>32</v>
      </c>
      <c r="G384" s="1283">
        <f t="shared" si="94"/>
        <v>0</v>
      </c>
      <c r="H384" s="1144"/>
      <c r="I384" s="358"/>
      <c r="J384" s="344"/>
      <c r="K384" s="313"/>
      <c r="L384" s="261">
        <f t="shared" si="95"/>
        <v>1347</v>
      </c>
      <c r="M384" s="89"/>
      <c r="N384" s="255"/>
      <c r="O384" s="255"/>
      <c r="P384" s="255"/>
      <c r="Q384" s="255"/>
      <c r="R384" s="256"/>
      <c r="S384" s="1299"/>
      <c r="T384" s="1300"/>
      <c r="U384" s="147"/>
    </row>
    <row r="385" spans="1:21" ht="12.75">
      <c r="A385" s="261">
        <f t="shared" si="93"/>
        <v>1312</v>
      </c>
      <c r="B385" s="260" t="s">
        <v>223</v>
      </c>
      <c r="C385" s="50"/>
      <c r="D385" s="51"/>
      <c r="E385" s="102">
        <f>SUM(E374:E384)</f>
        <v>0</v>
      </c>
      <c r="F385" s="98"/>
      <c r="G385" s="1303">
        <f>SUM(G374:H384)</f>
        <v>0</v>
      </c>
      <c r="H385" s="1144"/>
      <c r="I385" s="358"/>
      <c r="J385" s="344"/>
      <c r="K385" s="313"/>
      <c r="L385" s="261">
        <f t="shared" si="95"/>
        <v>1348</v>
      </c>
      <c r="M385" s="89"/>
      <c r="N385" s="255"/>
      <c r="O385" s="255"/>
      <c r="P385" s="255"/>
      <c r="Q385" s="255"/>
      <c r="R385" s="256"/>
      <c r="S385" s="1299"/>
      <c r="T385" s="1300"/>
      <c r="U385" s="147"/>
    </row>
    <row r="386" spans="1:21" ht="12.75">
      <c r="A386" s="407"/>
      <c r="B386" s="10"/>
      <c r="C386" s="10"/>
      <c r="D386" s="10"/>
      <c r="I386" s="358"/>
      <c r="J386" s="344"/>
      <c r="K386" s="313"/>
      <c r="L386" s="261">
        <f t="shared" si="95"/>
        <v>1349</v>
      </c>
      <c r="M386" s="89"/>
      <c r="N386" s="255"/>
      <c r="O386" s="255"/>
      <c r="P386" s="255"/>
      <c r="Q386" s="255"/>
      <c r="R386" s="256"/>
      <c r="S386" s="1299"/>
      <c r="T386" s="1300"/>
      <c r="U386" s="147"/>
    </row>
    <row r="387" spans="1:21" ht="12.75">
      <c r="A387" s="407"/>
      <c r="B387" s="262" t="s">
        <v>1727</v>
      </c>
      <c r="C387" s="10"/>
      <c r="D387" s="10"/>
      <c r="E387" s="101"/>
      <c r="F387" s="10"/>
      <c r="G387" s="66"/>
      <c r="H387" s="66"/>
      <c r="I387" s="513"/>
      <c r="J387" s="344"/>
      <c r="L387" s="165">
        <f t="shared" si="95"/>
        <v>1350</v>
      </c>
      <c r="M387" s="89"/>
      <c r="N387" s="255"/>
      <c r="O387" s="255"/>
      <c r="P387" s="255"/>
      <c r="Q387" s="255"/>
      <c r="R387" s="256"/>
      <c r="S387" s="1299"/>
      <c r="T387" s="1300"/>
      <c r="U387" s="152"/>
    </row>
    <row r="388" spans="1:21" ht="12.75">
      <c r="A388" s="261">
        <f>A385+1</f>
        <v>1313</v>
      </c>
      <c r="B388" s="93" t="s">
        <v>2158</v>
      </c>
      <c r="C388" s="1279" t="str">
        <f aca="true" t="shared" si="96" ref="C388:C398">CONCATENATE(A111,"+",A124,"+",A141)</f>
        <v>713+725+801</v>
      </c>
      <c r="D388" s="1280"/>
      <c r="E388" s="100">
        <f aca="true" t="shared" si="97" ref="E388:E398">Q111+Q124+Q141</f>
        <v>0</v>
      </c>
      <c r="F388" s="449">
        <v>22</v>
      </c>
      <c r="G388" s="1283">
        <f>E388*F388</f>
        <v>0</v>
      </c>
      <c r="H388" s="1144"/>
      <c r="I388" s="358"/>
      <c r="J388" s="344"/>
      <c r="K388" s="313"/>
      <c r="L388" s="165">
        <f t="shared" si="95"/>
        <v>1351</v>
      </c>
      <c r="M388" s="89"/>
      <c r="N388" s="255"/>
      <c r="O388" s="255"/>
      <c r="P388" s="255"/>
      <c r="Q388" s="255"/>
      <c r="R388" s="256"/>
      <c r="S388" s="1299"/>
      <c r="T388" s="1300"/>
      <c r="U388" s="164"/>
    </row>
    <row r="389" spans="1:21" ht="12.75">
      <c r="A389" s="261">
        <f aca="true" t="shared" si="98" ref="A389:A404">A388+1</f>
        <v>1314</v>
      </c>
      <c r="B389" s="93" t="s">
        <v>2159</v>
      </c>
      <c r="C389" s="1279" t="str">
        <f t="shared" si="96"/>
        <v>714+726+802</v>
      </c>
      <c r="D389" s="1280"/>
      <c r="E389" s="100">
        <f t="shared" si="97"/>
        <v>0</v>
      </c>
      <c r="F389" s="449">
        <v>209</v>
      </c>
      <c r="G389" s="1283">
        <f aca="true" t="shared" si="99" ref="G389:G400">E389*F389</f>
        <v>0</v>
      </c>
      <c r="H389" s="1144"/>
      <c r="I389" s="358"/>
      <c r="J389" s="344"/>
      <c r="K389" s="313"/>
      <c r="L389" s="165">
        <f t="shared" si="95"/>
        <v>1352</v>
      </c>
      <c r="M389" s="89"/>
      <c r="N389" s="255"/>
      <c r="O389" s="255"/>
      <c r="P389" s="255"/>
      <c r="Q389" s="255"/>
      <c r="R389" s="256"/>
      <c r="S389" s="1299"/>
      <c r="T389" s="1300"/>
      <c r="U389" s="147"/>
    </row>
    <row r="390" spans="1:21" ht="12.75">
      <c r="A390" s="261">
        <f t="shared" si="98"/>
        <v>1315</v>
      </c>
      <c r="B390" s="93" t="s">
        <v>2160</v>
      </c>
      <c r="C390" s="1279" t="str">
        <f t="shared" si="96"/>
        <v>715+727+803</v>
      </c>
      <c r="D390" s="1280"/>
      <c r="E390" s="100">
        <f t="shared" si="97"/>
        <v>0</v>
      </c>
      <c r="F390" s="449">
        <v>434</v>
      </c>
      <c r="G390" s="1283">
        <f t="shared" si="99"/>
        <v>0</v>
      </c>
      <c r="H390" s="1144"/>
      <c r="I390" s="358"/>
      <c r="J390" s="344"/>
      <c r="K390" s="313"/>
      <c r="L390" s="165">
        <f t="shared" si="95"/>
        <v>1353</v>
      </c>
      <c r="M390" s="89"/>
      <c r="N390" s="255"/>
      <c r="O390" s="255"/>
      <c r="P390" s="255"/>
      <c r="Q390" s="255"/>
      <c r="R390" s="256"/>
      <c r="S390" s="1299"/>
      <c r="T390" s="1300"/>
      <c r="U390" s="147"/>
    </row>
    <row r="391" spans="1:21" ht="12.75">
      <c r="A391" s="261">
        <f t="shared" si="98"/>
        <v>1316</v>
      </c>
      <c r="B391" s="93" t="s">
        <v>2161</v>
      </c>
      <c r="C391" s="1279" t="str">
        <f t="shared" si="96"/>
        <v>716+728+804</v>
      </c>
      <c r="D391" s="1280"/>
      <c r="E391" s="100">
        <f t="shared" si="97"/>
        <v>0</v>
      </c>
      <c r="F391" s="449">
        <v>106</v>
      </c>
      <c r="G391" s="1283">
        <f t="shared" si="99"/>
        <v>0</v>
      </c>
      <c r="H391" s="1144"/>
      <c r="I391" s="351"/>
      <c r="J391" s="344"/>
      <c r="K391" s="313"/>
      <c r="L391" s="165">
        <f t="shared" si="95"/>
        <v>1354</v>
      </c>
      <c r="M391" s="89"/>
      <c r="N391" s="255"/>
      <c r="O391" s="255"/>
      <c r="P391" s="255"/>
      <c r="Q391" s="255"/>
      <c r="R391" s="256"/>
      <c r="S391" s="1299"/>
      <c r="T391" s="1300"/>
      <c r="U391" s="147"/>
    </row>
    <row r="392" spans="1:22" ht="12.75">
      <c r="A392" s="261">
        <f t="shared" si="98"/>
        <v>1317</v>
      </c>
      <c r="B392" s="93" t="s">
        <v>2162</v>
      </c>
      <c r="C392" s="1279" t="str">
        <f t="shared" si="96"/>
        <v>717+729+805</v>
      </c>
      <c r="D392" s="1280"/>
      <c r="E392" s="100">
        <f t="shared" si="97"/>
        <v>0</v>
      </c>
      <c r="F392" s="449">
        <v>71</v>
      </c>
      <c r="G392" s="1283">
        <f t="shared" si="99"/>
        <v>0</v>
      </c>
      <c r="H392" s="1144"/>
      <c r="I392" s="351"/>
      <c r="J392" s="344"/>
      <c r="K392" s="313"/>
      <c r="L392" s="165">
        <f t="shared" si="95"/>
        <v>1355</v>
      </c>
      <c r="M392" s="89"/>
      <c r="N392" s="255"/>
      <c r="O392" s="255"/>
      <c r="P392" s="255"/>
      <c r="Q392" s="255"/>
      <c r="R392" s="256"/>
      <c r="S392" s="1299"/>
      <c r="T392" s="1300"/>
      <c r="U392" s="147"/>
      <c r="V392" s="67"/>
    </row>
    <row r="393" spans="1:22" ht="12.75">
      <c r="A393" s="261">
        <f t="shared" si="98"/>
        <v>1318</v>
      </c>
      <c r="B393" s="93" t="s">
        <v>893</v>
      </c>
      <c r="C393" s="1279" t="str">
        <f t="shared" si="96"/>
        <v>718+730+806</v>
      </c>
      <c r="D393" s="1280"/>
      <c r="E393" s="100">
        <f t="shared" si="97"/>
        <v>0</v>
      </c>
      <c r="F393" s="449">
        <v>89</v>
      </c>
      <c r="G393" s="1283">
        <f t="shared" si="99"/>
        <v>0</v>
      </c>
      <c r="H393" s="1144"/>
      <c r="I393" s="351"/>
      <c r="J393" s="344"/>
      <c r="K393" s="313"/>
      <c r="L393" s="165">
        <f t="shared" si="95"/>
        <v>1356</v>
      </c>
      <c r="M393" s="260" t="s">
        <v>223</v>
      </c>
      <c r="N393" s="96"/>
      <c r="O393" s="92"/>
      <c r="P393" s="92"/>
      <c r="Q393" s="92"/>
      <c r="R393" s="97"/>
      <c r="S393" s="1303">
        <f>SUM(S382:T392)</f>
        <v>0</v>
      </c>
      <c r="T393" s="1144"/>
      <c r="U393" s="164"/>
      <c r="V393" s="67"/>
    </row>
    <row r="394" spans="1:22" ht="12.75">
      <c r="A394" s="261">
        <f t="shared" si="98"/>
        <v>1319</v>
      </c>
      <c r="B394" s="93" t="s">
        <v>1437</v>
      </c>
      <c r="C394" s="1279" t="str">
        <f t="shared" si="96"/>
        <v>719+731+807</v>
      </c>
      <c r="D394" s="1280"/>
      <c r="E394" s="100">
        <f t="shared" si="97"/>
        <v>0</v>
      </c>
      <c r="F394" s="508">
        <v>49</v>
      </c>
      <c r="G394" s="1283">
        <f t="shared" si="99"/>
        <v>0</v>
      </c>
      <c r="H394" s="1144"/>
      <c r="I394" s="351"/>
      <c r="J394" s="344"/>
      <c r="K394" s="313"/>
      <c r="L394" s="407"/>
      <c r="M394" s="10"/>
      <c r="U394" s="151"/>
      <c r="V394" s="67"/>
    </row>
    <row r="395" spans="1:21" ht="12.75">
      <c r="A395" s="261">
        <f t="shared" si="98"/>
        <v>1320</v>
      </c>
      <c r="B395" s="93" t="s">
        <v>2163</v>
      </c>
      <c r="C395" s="1279" t="str">
        <f t="shared" si="96"/>
        <v>720+732+808</v>
      </c>
      <c r="D395" s="1280"/>
      <c r="E395" s="100">
        <f t="shared" si="97"/>
        <v>0</v>
      </c>
      <c r="F395" s="449">
        <v>61</v>
      </c>
      <c r="G395" s="1283">
        <f t="shared" si="99"/>
        <v>0</v>
      </c>
      <c r="H395" s="1144"/>
      <c r="I395" s="351"/>
      <c r="J395" s="344"/>
      <c r="K395" s="313"/>
      <c r="U395" s="147"/>
    </row>
    <row r="396" spans="1:21" ht="12.75">
      <c r="A396" s="261">
        <f t="shared" si="98"/>
        <v>1321</v>
      </c>
      <c r="B396" s="93" t="s">
        <v>894</v>
      </c>
      <c r="C396" s="1279" t="str">
        <f t="shared" si="96"/>
        <v>721+733+809</v>
      </c>
      <c r="D396" s="1280"/>
      <c r="E396" s="100">
        <f t="shared" si="97"/>
        <v>0</v>
      </c>
      <c r="F396" s="449">
        <v>216</v>
      </c>
      <c r="G396" s="1283">
        <f t="shared" si="99"/>
        <v>0</v>
      </c>
      <c r="H396" s="1144"/>
      <c r="I396" s="351"/>
      <c r="J396" s="344"/>
      <c r="L396" s="274"/>
      <c r="M396" s="265" t="s">
        <v>854</v>
      </c>
      <c r="N396" s="70"/>
      <c r="O396" s="59"/>
      <c r="P396" s="59"/>
      <c r="Q396" s="59"/>
      <c r="R396" s="59"/>
      <c r="S396" s="59"/>
      <c r="T396" s="59"/>
      <c r="U396" s="147"/>
    </row>
    <row r="397" spans="1:21" ht="12.75">
      <c r="A397" s="261">
        <f t="shared" si="98"/>
        <v>1322</v>
      </c>
      <c r="B397" s="93" t="s">
        <v>902</v>
      </c>
      <c r="C397" s="1279" t="str">
        <f t="shared" si="96"/>
        <v>722+734+810</v>
      </c>
      <c r="D397" s="1280"/>
      <c r="E397" s="100">
        <f t="shared" si="97"/>
        <v>0</v>
      </c>
      <c r="F397" s="449">
        <v>809</v>
      </c>
      <c r="G397" s="1283">
        <f t="shared" si="99"/>
        <v>0</v>
      </c>
      <c r="H397" s="1144"/>
      <c r="I397" s="351"/>
      <c r="J397" s="344"/>
      <c r="L397" s="261">
        <f>L393+1</f>
        <v>1357</v>
      </c>
      <c r="M397" s="107" t="str">
        <f>CONCATENATE("Niet vrij besteedbare aanv. inkomsten (regel ",L393,")")</f>
        <v>Niet vrij besteedbare aanv. inkomsten (regel 1356)</v>
      </c>
      <c r="N397" s="95"/>
      <c r="O397" s="57"/>
      <c r="P397" s="57"/>
      <c r="Q397" s="57"/>
      <c r="R397" s="91"/>
      <c r="S397" s="1283">
        <f>S393</f>
        <v>0</v>
      </c>
      <c r="T397" s="1144"/>
      <c r="U397" s="147"/>
    </row>
    <row r="398" spans="1:21" ht="12.75">
      <c r="A398" s="261">
        <f t="shared" si="98"/>
        <v>1323</v>
      </c>
      <c r="B398" s="93" t="s">
        <v>2157</v>
      </c>
      <c r="C398" s="1279" t="str">
        <f t="shared" si="96"/>
        <v>723+735+811</v>
      </c>
      <c r="D398" s="1280"/>
      <c r="E398" s="100">
        <f t="shared" si="97"/>
        <v>0</v>
      </c>
      <c r="F398" s="449">
        <v>34</v>
      </c>
      <c r="G398" s="1283">
        <f t="shared" si="99"/>
        <v>0</v>
      </c>
      <c r="H398" s="1144"/>
      <c r="I398" s="351"/>
      <c r="J398" s="344"/>
      <c r="L398" s="261">
        <f>L397+1</f>
        <v>1358</v>
      </c>
      <c r="M398" s="107" t="s">
        <v>857</v>
      </c>
      <c r="N398" s="95"/>
      <c r="O398" s="57"/>
      <c r="P398" s="57"/>
      <c r="Q398" s="57"/>
      <c r="R398" s="91"/>
      <c r="S398" s="1191"/>
      <c r="T398" s="1146"/>
      <c r="U398" s="147"/>
    </row>
    <row r="399" spans="1:21" ht="12.75">
      <c r="A399" s="261">
        <f t="shared" si="98"/>
        <v>1324</v>
      </c>
      <c r="B399" s="93" t="s">
        <v>2314</v>
      </c>
      <c r="C399" s="1279">
        <f>A170</f>
        <v>825</v>
      </c>
      <c r="D399" s="1280"/>
      <c r="E399" s="100">
        <f>Q169+Q170</f>
        <v>0</v>
      </c>
      <c r="F399" s="1042">
        <v>131.3</v>
      </c>
      <c r="G399" s="1283">
        <f t="shared" si="99"/>
        <v>0</v>
      </c>
      <c r="H399" s="1144"/>
      <c r="I399" s="351"/>
      <c r="J399" s="344"/>
      <c r="L399" s="261">
        <f>L398+1</f>
        <v>1359</v>
      </c>
      <c r="M399" s="107" t="s">
        <v>858</v>
      </c>
      <c r="N399" s="95"/>
      <c r="O399" s="57"/>
      <c r="P399" s="57"/>
      <c r="Q399" s="57"/>
      <c r="R399" s="91"/>
      <c r="S399" s="1191"/>
      <c r="T399" s="1146"/>
      <c r="U399" s="164"/>
    </row>
    <row r="400" spans="1:21" ht="12.75">
      <c r="A400" s="261">
        <f t="shared" si="98"/>
        <v>1325</v>
      </c>
      <c r="B400" s="93" t="s">
        <v>2315</v>
      </c>
      <c r="C400" s="1279">
        <f>A171</f>
        <v>826</v>
      </c>
      <c r="D400" s="1280"/>
      <c r="E400" s="100">
        <f>Q171</f>
        <v>0</v>
      </c>
      <c r="F400" s="1042">
        <v>150.6</v>
      </c>
      <c r="G400" s="1283">
        <f t="shared" si="99"/>
        <v>0</v>
      </c>
      <c r="H400" s="1144"/>
      <c r="I400" s="354"/>
      <c r="J400" s="344"/>
      <c r="L400" s="261">
        <f>L399+1</f>
        <v>1360</v>
      </c>
      <c r="M400" s="1447"/>
      <c r="N400" s="1143"/>
      <c r="O400" s="1143"/>
      <c r="P400" s="1143"/>
      <c r="Q400" s="1143"/>
      <c r="R400" s="1144"/>
      <c r="S400" s="1332"/>
      <c r="T400" s="1333"/>
      <c r="U400" s="164"/>
    </row>
    <row r="401" spans="1:21" ht="12.75">
      <c r="A401" s="261">
        <f t="shared" si="98"/>
        <v>1326</v>
      </c>
      <c r="B401" s="93" t="s">
        <v>699</v>
      </c>
      <c r="C401" s="1279">
        <f>A173</f>
        <v>828</v>
      </c>
      <c r="D401" s="1280"/>
      <c r="E401" s="100">
        <f>Q173</f>
        <v>0</v>
      </c>
      <c r="F401" s="1042">
        <v>79</v>
      </c>
      <c r="G401" s="1283">
        <f>E401*F401</f>
        <v>0</v>
      </c>
      <c r="H401" s="1144"/>
      <c r="I401" s="351"/>
      <c r="J401" s="344"/>
      <c r="L401" s="261">
        <f>L400+1</f>
        <v>1361</v>
      </c>
      <c r="M401" s="260" t="s">
        <v>223</v>
      </c>
      <c r="N401" s="96"/>
      <c r="O401" s="92"/>
      <c r="P401" s="92"/>
      <c r="Q401" s="92"/>
      <c r="R401" s="97"/>
      <c r="S401" s="1303">
        <f>SUM(S397:T400)</f>
        <v>0</v>
      </c>
      <c r="T401" s="1144"/>
      <c r="U401" s="152"/>
    </row>
    <row r="402" spans="1:21" ht="12.75">
      <c r="A402" s="261">
        <f t="shared" si="98"/>
        <v>1327</v>
      </c>
      <c r="B402" s="93" t="s">
        <v>700</v>
      </c>
      <c r="C402" s="1279" t="str">
        <f>CONCATENATE(A165,"+",A166)</f>
        <v>822+823</v>
      </c>
      <c r="D402" s="1280"/>
      <c r="E402" s="100">
        <f>Q165+Q166</f>
        <v>0</v>
      </c>
      <c r="F402" s="1042">
        <v>73</v>
      </c>
      <c r="G402" s="1283">
        <f>E402*F402</f>
        <v>0</v>
      </c>
      <c r="H402" s="1144"/>
      <c r="I402" s="351"/>
      <c r="J402" s="344"/>
      <c r="L402" s="446"/>
      <c r="M402" s="447"/>
      <c r="N402" s="383"/>
      <c r="O402" s="56"/>
      <c r="P402" s="56"/>
      <c r="Q402" s="56"/>
      <c r="R402" s="56"/>
      <c r="S402" s="448"/>
      <c r="T402" s="135"/>
      <c r="U402" s="152"/>
    </row>
    <row r="403" spans="1:21" ht="12.75">
      <c r="A403" s="261">
        <f t="shared" si="98"/>
        <v>1328</v>
      </c>
      <c r="B403" s="37" t="s">
        <v>1574</v>
      </c>
      <c r="C403" s="1279">
        <f>A175</f>
        <v>830</v>
      </c>
      <c r="D403" s="1280"/>
      <c r="E403" s="100">
        <f>Q175</f>
        <v>0</v>
      </c>
      <c r="F403" s="1042">
        <v>8</v>
      </c>
      <c r="G403" s="1283">
        <f>E403*F403</f>
        <v>0</v>
      </c>
      <c r="H403" s="1144"/>
      <c r="I403" s="351"/>
      <c r="J403" s="344"/>
      <c r="L403" s="275"/>
      <c r="M403" s="124" t="s">
        <v>859</v>
      </c>
      <c r="N403" s="70"/>
      <c r="O403" s="59"/>
      <c r="P403" s="59"/>
      <c r="Q403" s="59"/>
      <c r="R403" s="59"/>
      <c r="S403" s="5"/>
      <c r="T403" s="5"/>
      <c r="U403" s="151"/>
    </row>
    <row r="404" spans="1:21" ht="12.75">
      <c r="A404" s="261">
        <f t="shared" si="98"/>
        <v>1329</v>
      </c>
      <c r="B404" s="260" t="s">
        <v>223</v>
      </c>
      <c r="C404" s="263"/>
      <c r="D404" s="51"/>
      <c r="E404" s="102">
        <f>SUM(E388:E403)</f>
        <v>0</v>
      </c>
      <c r="F404" s="109"/>
      <c r="G404" s="1303">
        <f>SUM(G388:H403)</f>
        <v>0</v>
      </c>
      <c r="H404" s="1144"/>
      <c r="I404" s="351"/>
      <c r="J404" s="344"/>
      <c r="L404" s="261">
        <f>L401+1</f>
        <v>1362</v>
      </c>
      <c r="M404" s="107" t="s">
        <v>905</v>
      </c>
      <c r="N404" s="128"/>
      <c r="O404" s="128"/>
      <c r="P404" s="126"/>
      <c r="Q404" s="108"/>
      <c r="R404" s="100">
        <v>146</v>
      </c>
      <c r="S404" s="1283">
        <f>Q404*R404</f>
        <v>0</v>
      </c>
      <c r="T404" s="1144"/>
      <c r="U404" s="164"/>
    </row>
    <row r="405" spans="9:21" ht="12.75">
      <c r="I405" s="351"/>
      <c r="J405" s="344"/>
      <c r="L405" s="276">
        <f>L404+1</f>
        <v>1363</v>
      </c>
      <c r="M405" s="1506" t="s">
        <v>865</v>
      </c>
      <c r="N405" s="1507"/>
      <c r="O405" s="1507"/>
      <c r="P405" s="1507"/>
      <c r="Q405" s="1507"/>
      <c r="R405" s="1508"/>
      <c r="S405" s="1304"/>
      <c r="T405" s="1305"/>
      <c r="U405" s="164"/>
    </row>
    <row r="406" spans="1:21" ht="12.75">
      <c r="A406" s="407"/>
      <c r="B406" s="262" t="s">
        <v>1563</v>
      </c>
      <c r="C406" s="10"/>
      <c r="D406" s="10"/>
      <c r="E406" s="101"/>
      <c r="F406" s="10"/>
      <c r="G406" s="66"/>
      <c r="H406" s="66"/>
      <c r="I406" s="351"/>
      <c r="J406" s="344"/>
      <c r="L406" s="277"/>
      <c r="M406" s="1509"/>
      <c r="N406" s="1510"/>
      <c r="O406" s="1510"/>
      <c r="P406" s="1510"/>
      <c r="Q406" s="1510"/>
      <c r="R406" s="1511"/>
      <c r="S406" s="1306"/>
      <c r="T406" s="1307"/>
      <c r="U406" s="164"/>
    </row>
    <row r="407" spans="1:21" ht="12.75">
      <c r="A407" s="261">
        <f>A404+1</f>
        <v>1330</v>
      </c>
      <c r="B407" s="93" t="s">
        <v>2158</v>
      </c>
      <c r="C407" s="1279">
        <f aca="true" t="shared" si="100" ref="C407:C414">A154</f>
        <v>813</v>
      </c>
      <c r="D407" s="1280"/>
      <c r="E407" s="100">
        <f aca="true" t="shared" si="101" ref="E407:E414">Q154</f>
        <v>0</v>
      </c>
      <c r="F407" s="449">
        <v>22</v>
      </c>
      <c r="G407" s="1283">
        <f aca="true" t="shared" si="102" ref="G407:G414">E407*F407</f>
        <v>0</v>
      </c>
      <c r="H407" s="1144"/>
      <c r="I407" s="351"/>
      <c r="J407" s="344"/>
      <c r="L407" s="277">
        <f>L405+1</f>
        <v>1364</v>
      </c>
      <c r="M407" s="1447"/>
      <c r="N407" s="1143"/>
      <c r="O407" s="1143"/>
      <c r="P407" s="1143"/>
      <c r="Q407" s="1143"/>
      <c r="R407" s="1144"/>
      <c r="S407" s="1328"/>
      <c r="T407" s="1255"/>
      <c r="U407" s="164"/>
    </row>
    <row r="408" spans="1:22" ht="12.75">
      <c r="A408" s="261">
        <f aca="true" t="shared" si="103" ref="A408:A415">A407+1</f>
        <v>1331</v>
      </c>
      <c r="B408" s="93" t="s">
        <v>2159</v>
      </c>
      <c r="C408" s="1279">
        <f t="shared" si="100"/>
        <v>814</v>
      </c>
      <c r="D408" s="1280"/>
      <c r="E408" s="100">
        <f t="shared" si="101"/>
        <v>0</v>
      </c>
      <c r="F408" s="449">
        <v>400</v>
      </c>
      <c r="G408" s="1283">
        <f t="shared" si="102"/>
        <v>0</v>
      </c>
      <c r="H408" s="1144"/>
      <c r="I408" s="351"/>
      <c r="J408" s="344"/>
      <c r="K408" s="319"/>
      <c r="L408" s="261">
        <f>L407+1</f>
        <v>1365</v>
      </c>
      <c r="M408" s="260" t="s">
        <v>223</v>
      </c>
      <c r="N408" s="266"/>
      <c r="O408" s="50"/>
      <c r="P408" s="50"/>
      <c r="Q408" s="50"/>
      <c r="R408" s="51"/>
      <c r="S408" s="1303">
        <f>SUM(S404:T407)</f>
        <v>0</v>
      </c>
      <c r="T408" s="1144"/>
      <c r="U408" s="164"/>
      <c r="V408" s="30"/>
    </row>
    <row r="409" spans="1:22" ht="12.75">
      <c r="A409" s="261">
        <f t="shared" si="103"/>
        <v>1332</v>
      </c>
      <c r="B409" s="93" t="s">
        <v>2161</v>
      </c>
      <c r="C409" s="1279">
        <f t="shared" si="100"/>
        <v>815</v>
      </c>
      <c r="D409" s="1280"/>
      <c r="E409" s="100">
        <f t="shared" si="101"/>
        <v>0</v>
      </c>
      <c r="F409" s="449">
        <v>210</v>
      </c>
      <c r="G409" s="1283">
        <f t="shared" si="102"/>
        <v>0</v>
      </c>
      <c r="H409" s="1144"/>
      <c r="I409" s="351"/>
      <c r="J409" s="344"/>
      <c r="K409" s="319"/>
      <c r="L409" s="446"/>
      <c r="M409" s="447"/>
      <c r="N409" s="16"/>
      <c r="O409" s="6"/>
      <c r="P409" s="6"/>
      <c r="Q409" s="6"/>
      <c r="R409" s="6"/>
      <c r="S409" s="448"/>
      <c r="T409" s="135"/>
      <c r="U409" s="164"/>
      <c r="V409" s="30"/>
    </row>
    <row r="410" spans="1:22" ht="12.75">
      <c r="A410" s="261">
        <f t="shared" si="103"/>
        <v>1333</v>
      </c>
      <c r="B410" s="93" t="s">
        <v>2162</v>
      </c>
      <c r="C410" s="1279">
        <f t="shared" si="100"/>
        <v>816</v>
      </c>
      <c r="D410" s="1280"/>
      <c r="E410" s="100">
        <f t="shared" si="101"/>
        <v>0</v>
      </c>
      <c r="F410" s="449">
        <v>124</v>
      </c>
      <c r="G410" s="1283">
        <f t="shared" si="102"/>
        <v>0</v>
      </c>
      <c r="H410" s="1144"/>
      <c r="I410" s="351"/>
      <c r="J410" s="344"/>
      <c r="K410" s="319"/>
      <c r="L410" s="446"/>
      <c r="M410" s="447"/>
      <c r="N410" s="16"/>
      <c r="O410" s="6"/>
      <c r="P410" s="6"/>
      <c r="Q410" s="6"/>
      <c r="R410" s="6"/>
      <c r="S410" s="448"/>
      <c r="T410" s="135"/>
      <c r="U410" s="164"/>
      <c r="V410" s="30"/>
    </row>
    <row r="411" spans="1:22" ht="12.75">
      <c r="A411" s="261">
        <f t="shared" si="103"/>
        <v>1334</v>
      </c>
      <c r="B411" s="93" t="s">
        <v>893</v>
      </c>
      <c r="C411" s="1279">
        <f t="shared" si="100"/>
        <v>817</v>
      </c>
      <c r="D411" s="1280"/>
      <c r="E411" s="100">
        <f t="shared" si="101"/>
        <v>0</v>
      </c>
      <c r="F411" s="449">
        <v>114</v>
      </c>
      <c r="G411" s="1283">
        <f t="shared" si="102"/>
        <v>0</v>
      </c>
      <c r="H411" s="1144"/>
      <c r="I411" s="351"/>
      <c r="J411" s="344"/>
      <c r="K411" s="313"/>
      <c r="L411" s="446"/>
      <c r="M411" s="447"/>
      <c r="N411" s="16"/>
      <c r="O411" s="6"/>
      <c r="P411" s="6"/>
      <c r="Q411" s="6"/>
      <c r="R411" s="6"/>
      <c r="S411" s="448"/>
      <c r="T411" s="135"/>
      <c r="U411" s="164"/>
      <c r="V411" s="30"/>
    </row>
    <row r="412" spans="1:22" ht="12.75">
      <c r="A412" s="261">
        <f t="shared" si="103"/>
        <v>1335</v>
      </c>
      <c r="B412" s="93" t="s">
        <v>1437</v>
      </c>
      <c r="C412" s="1279">
        <f t="shared" si="100"/>
        <v>818</v>
      </c>
      <c r="D412" s="1280"/>
      <c r="E412" s="100">
        <f t="shared" si="101"/>
        <v>0</v>
      </c>
      <c r="F412" s="508">
        <v>61</v>
      </c>
      <c r="G412" s="1283">
        <f t="shared" si="102"/>
        <v>0</v>
      </c>
      <c r="H412" s="1144"/>
      <c r="I412" s="351"/>
      <c r="J412" s="344"/>
      <c r="K412" s="313"/>
      <c r="L412" s="446"/>
      <c r="M412" s="447"/>
      <c r="N412" s="16"/>
      <c r="O412" s="6"/>
      <c r="P412" s="6"/>
      <c r="Q412" s="6"/>
      <c r="R412" s="6"/>
      <c r="S412" s="448"/>
      <c r="T412" s="135"/>
      <c r="U412" s="164"/>
      <c r="V412" s="30"/>
    </row>
    <row r="413" spans="1:22" ht="12.75">
      <c r="A413" s="261">
        <f t="shared" si="103"/>
        <v>1336</v>
      </c>
      <c r="B413" s="93" t="s">
        <v>2163</v>
      </c>
      <c r="C413" s="1279">
        <f t="shared" si="100"/>
        <v>819</v>
      </c>
      <c r="D413" s="1280"/>
      <c r="E413" s="100">
        <f t="shared" si="101"/>
        <v>0</v>
      </c>
      <c r="F413" s="449">
        <v>80</v>
      </c>
      <c r="G413" s="1283">
        <f t="shared" si="102"/>
        <v>0</v>
      </c>
      <c r="H413" s="1144"/>
      <c r="I413" s="351"/>
      <c r="J413" s="344"/>
      <c r="K413" s="313"/>
      <c r="L413" s="446"/>
      <c r="M413" s="447"/>
      <c r="N413" s="16"/>
      <c r="O413" s="6"/>
      <c r="P413" s="6"/>
      <c r="Q413" s="6"/>
      <c r="R413" s="6"/>
      <c r="S413" s="448"/>
      <c r="T413" s="135"/>
      <c r="U413" s="164"/>
      <c r="V413" s="30"/>
    </row>
    <row r="414" spans="1:22" ht="12.75">
      <c r="A414" s="261">
        <f t="shared" si="103"/>
        <v>1337</v>
      </c>
      <c r="B414" s="93" t="s">
        <v>2303</v>
      </c>
      <c r="C414" s="1279">
        <f t="shared" si="100"/>
        <v>820</v>
      </c>
      <c r="D414" s="1280"/>
      <c r="E414" s="100">
        <f t="shared" si="101"/>
        <v>0</v>
      </c>
      <c r="F414" s="449">
        <v>93</v>
      </c>
      <c r="G414" s="1283">
        <f t="shared" si="102"/>
        <v>0</v>
      </c>
      <c r="H414" s="1144"/>
      <c r="I414" s="351"/>
      <c r="J414" s="344"/>
      <c r="K414" s="313"/>
      <c r="L414" s="446"/>
      <c r="M414" s="447"/>
      <c r="N414" s="16"/>
      <c r="O414" s="6"/>
      <c r="P414" s="6"/>
      <c r="Q414" s="6"/>
      <c r="R414" s="6"/>
      <c r="S414" s="448"/>
      <c r="T414" s="135"/>
      <c r="U414" s="164"/>
      <c r="V414" s="30"/>
    </row>
    <row r="415" spans="1:22" ht="12.75">
      <c r="A415" s="261">
        <f t="shared" si="103"/>
        <v>1338</v>
      </c>
      <c r="B415" s="260" t="s">
        <v>223</v>
      </c>
      <c r="C415" s="50"/>
      <c r="D415" s="50"/>
      <c r="E415" s="102">
        <f>SUM(E407:E414)</f>
        <v>0</v>
      </c>
      <c r="F415" s="109"/>
      <c r="G415" s="1303">
        <f>SUM(G407:H414)</f>
        <v>0</v>
      </c>
      <c r="H415" s="1144"/>
      <c r="I415" s="351"/>
      <c r="J415" s="344"/>
      <c r="K415" s="313"/>
      <c r="L415" s="446"/>
      <c r="M415" s="447"/>
      <c r="N415" s="16"/>
      <c r="O415" s="6"/>
      <c r="P415" s="6"/>
      <c r="Q415" s="6"/>
      <c r="R415" s="6"/>
      <c r="S415" s="448"/>
      <c r="T415" s="135"/>
      <c r="U415" s="164"/>
      <c r="V415" s="30"/>
    </row>
    <row r="416" spans="1:22" ht="15" customHeight="1">
      <c r="A416" s="29"/>
      <c r="B416" s="23"/>
      <c r="C416" s="24"/>
      <c r="D416" s="34"/>
      <c r="E416" s="7"/>
      <c r="F416" s="5"/>
      <c r="G416" s="5"/>
      <c r="H416" s="5"/>
      <c r="I416" s="358"/>
      <c r="J416" s="344"/>
      <c r="K416" s="313"/>
      <c r="L416" s="273"/>
      <c r="M416" s="59"/>
      <c r="N416" s="59"/>
      <c r="O416" s="59"/>
      <c r="P416" s="59"/>
      <c r="Q416" s="59"/>
      <c r="R416" s="59"/>
      <c r="S416" s="59"/>
      <c r="T416" s="59"/>
      <c r="U416" s="151"/>
      <c r="V416" s="30"/>
    </row>
    <row r="417" spans="3:22" ht="15" customHeight="1">
      <c r="C417" s="487"/>
      <c r="D417" s="487"/>
      <c r="E417" s="487"/>
      <c r="F417" s="487"/>
      <c r="G417" s="487"/>
      <c r="H417" s="487"/>
      <c r="I417" s="351"/>
      <c r="J417" s="351"/>
      <c r="K417" s="317"/>
      <c r="L417" s="166"/>
      <c r="M417" s="66"/>
      <c r="N417" s="56"/>
      <c r="O417" s="59"/>
      <c r="P417" s="59"/>
      <c r="U417" s="151"/>
      <c r="V417" s="30"/>
    </row>
    <row r="418" spans="1:22" ht="12.75">
      <c r="A418" s="29" t="s">
        <v>684</v>
      </c>
      <c r="B418" s="487" t="s">
        <v>958</v>
      </c>
      <c r="I418" s="351"/>
      <c r="J418" s="351"/>
      <c r="L418" s="29" t="s">
        <v>566</v>
      </c>
      <c r="M418" s="487" t="s">
        <v>984</v>
      </c>
      <c r="N418" s="56"/>
      <c r="O418" s="56"/>
      <c r="P418" s="56"/>
      <c r="R418" s="491"/>
      <c r="U418" s="151"/>
      <c r="V418" s="30"/>
    </row>
    <row r="419" spans="1:22" ht="12.75">
      <c r="A419" s="36">
        <v>1401</v>
      </c>
      <c r="B419" s="46" t="s">
        <v>1472</v>
      </c>
      <c r="C419" s="339"/>
      <c r="D419" s="339"/>
      <c r="E419" s="60"/>
      <c r="F419" s="104">
        <v>14.1</v>
      </c>
      <c r="G419" s="1227">
        <f>E419*F419</f>
        <v>0</v>
      </c>
      <c r="H419" s="1253"/>
      <c r="I419" s="351"/>
      <c r="J419" s="351"/>
      <c r="K419" s="490"/>
      <c r="L419" s="489"/>
      <c r="M419" s="854" t="s">
        <v>2214</v>
      </c>
      <c r="N419" s="855"/>
      <c r="O419" s="855"/>
      <c r="P419" s="856"/>
      <c r="Q419" s="851" t="s">
        <v>681</v>
      </c>
      <c r="R419" s="851" t="s">
        <v>1695</v>
      </c>
      <c r="S419" s="1323" t="s">
        <v>685</v>
      </c>
      <c r="T419" s="1331"/>
      <c r="U419" s="151"/>
      <c r="V419" s="30"/>
    </row>
    <row r="420" spans="1:22" ht="12.75">
      <c r="A420" s="36">
        <f>A419+1</f>
        <v>1402</v>
      </c>
      <c r="B420" s="808" t="s">
        <v>983</v>
      </c>
      <c r="C420" s="339"/>
      <c r="D420" s="339"/>
      <c r="E420" s="339"/>
      <c r="F420" s="387"/>
      <c r="G420" s="1308"/>
      <c r="H420" s="1309"/>
      <c r="I420" s="351"/>
      <c r="J420" s="351"/>
      <c r="K420" s="167"/>
      <c r="L420" s="167"/>
      <c r="M420" s="857"/>
      <c r="N420" s="858"/>
      <c r="O420" s="858"/>
      <c r="P420" s="859"/>
      <c r="Q420" s="852" t="s">
        <v>682</v>
      </c>
      <c r="R420" s="853" t="s">
        <v>215</v>
      </c>
      <c r="S420" s="1301" t="s">
        <v>628</v>
      </c>
      <c r="T420" s="1302"/>
      <c r="U420" s="151"/>
      <c r="V420" s="30"/>
    </row>
    <row r="421" spans="1:22" ht="12.75">
      <c r="A421" s="36">
        <f>A420+1</f>
        <v>1403</v>
      </c>
      <c r="B421" s="808" t="s">
        <v>1473</v>
      </c>
      <c r="C421" s="339"/>
      <c r="D421" s="339"/>
      <c r="E421" s="339"/>
      <c r="F421" s="387"/>
      <c r="G421" s="1227">
        <f>G419-G420</f>
        <v>0</v>
      </c>
      <c r="H421" s="1253"/>
      <c r="I421" s="351"/>
      <c r="J421" s="351"/>
      <c r="L421" s="165">
        <f>A460+1</f>
        <v>1431</v>
      </c>
      <c r="M421" s="37" t="s">
        <v>906</v>
      </c>
      <c r="N421" s="701"/>
      <c r="O421" s="701"/>
      <c r="P421" s="38"/>
      <c r="Q421" s="718">
        <f>G189+G200</f>
        <v>0</v>
      </c>
      <c r="R421" s="719">
        <v>60</v>
      </c>
      <c r="S421" s="1334">
        <f>Q421*R421</f>
        <v>0</v>
      </c>
      <c r="T421" s="1335"/>
      <c r="U421" s="151"/>
      <c r="V421" s="30"/>
    </row>
    <row r="422" spans="1:22" ht="12.75">
      <c r="A422" s="36">
        <f>A421+1</f>
        <v>1404</v>
      </c>
      <c r="B422" s="814" t="s">
        <v>1474</v>
      </c>
      <c r="E422" s="815" t="s">
        <v>79</v>
      </c>
      <c r="F422" s="816">
        <v>0.75</v>
      </c>
      <c r="G422" s="1376" t="str">
        <f>IF(AND(E422="ja",G421&lt;0),F422*-G421," ")</f>
        <v> </v>
      </c>
      <c r="H422" s="1377"/>
      <c r="I422" s="351"/>
      <c r="J422" s="351"/>
      <c r="L422" s="165">
        <f>L421+1</f>
        <v>1432</v>
      </c>
      <c r="M422" s="37" t="s">
        <v>2209</v>
      </c>
      <c r="N422" s="701"/>
      <c r="O422" s="701"/>
      <c r="P422" s="38"/>
      <c r="Q422" s="822">
        <f>G190</f>
        <v>0</v>
      </c>
      <c r="R422" s="720">
        <v>90</v>
      </c>
      <c r="S422" s="1329">
        <f>Q422*R422</f>
        <v>0</v>
      </c>
      <c r="T422" s="1295"/>
      <c r="U422" s="151"/>
      <c r="V422" s="30"/>
    </row>
    <row r="423" spans="1:22" ht="12.75">
      <c r="A423" s="36">
        <f>A422+1</f>
        <v>1405</v>
      </c>
      <c r="B423" s="808" t="str">
        <f>CONCATENATE("Totaal nacalculatie vervoerskosten (regel ",A419," + ",A422,")")</f>
        <v>Totaal nacalculatie vervoerskosten (regel 1401 + 1404)</v>
      </c>
      <c r="C423" s="339"/>
      <c r="D423" s="339"/>
      <c r="E423" s="339"/>
      <c r="F423" s="387"/>
      <c r="G423" s="1525">
        <f>IF(G422=" ",G419,G419+G422)</f>
        <v>0</v>
      </c>
      <c r="H423" s="1526"/>
      <c r="I423" s="1247" t="s">
        <v>1992</v>
      </c>
      <c r="J423" s="1320"/>
      <c r="L423" s="165">
        <f aca="true" t="shared" si="104" ref="L423:L433">L422+1</f>
        <v>1433</v>
      </c>
      <c r="M423" s="37" t="s">
        <v>2210</v>
      </c>
      <c r="N423" s="701"/>
      <c r="O423" s="701"/>
      <c r="P423" s="38"/>
      <c r="Q423" s="822">
        <f>G191</f>
        <v>0</v>
      </c>
      <c r="R423" s="720">
        <v>90</v>
      </c>
      <c r="S423" s="1329">
        <f>Q423*R423</f>
        <v>0</v>
      </c>
      <c r="T423" s="1295"/>
      <c r="U423" s="151"/>
      <c r="V423" s="30"/>
    </row>
    <row r="424" spans="2:22" ht="12.75">
      <c r="B424" s="813" t="s">
        <v>922</v>
      </c>
      <c r="C424" s="510"/>
      <c r="D424" s="510"/>
      <c r="E424" s="510"/>
      <c r="F424" s="510"/>
      <c r="G424" s="510"/>
      <c r="H424" s="510"/>
      <c r="I424" s="351"/>
      <c r="J424" s="351"/>
      <c r="L424" s="165">
        <f t="shared" si="104"/>
        <v>1434</v>
      </c>
      <c r="M424" s="37" t="s">
        <v>2208</v>
      </c>
      <c r="N424" s="701"/>
      <c r="O424" s="701"/>
      <c r="P424" s="38"/>
      <c r="Q424" s="822">
        <f>G192+G201</f>
        <v>0</v>
      </c>
      <c r="R424" s="720">
        <v>90</v>
      </c>
      <c r="S424" s="1329">
        <f>Q424*R424</f>
        <v>0</v>
      </c>
      <c r="T424" s="1295"/>
      <c r="U424" s="151"/>
      <c r="V424" s="3"/>
    </row>
    <row r="425" spans="2:22" ht="12.75">
      <c r="B425" s="510" t="s">
        <v>923</v>
      </c>
      <c r="C425" s="510"/>
      <c r="D425" s="510"/>
      <c r="E425" s="510"/>
      <c r="F425" s="510"/>
      <c r="G425" s="510"/>
      <c r="H425" s="510"/>
      <c r="I425" s="351"/>
      <c r="J425" s="351"/>
      <c r="L425" s="165">
        <f t="shared" si="104"/>
        <v>1435</v>
      </c>
      <c r="M425" s="37" t="s">
        <v>1730</v>
      </c>
      <c r="N425" s="701"/>
      <c r="O425" s="701"/>
      <c r="P425" s="38"/>
      <c r="Q425" s="718">
        <f>G193</f>
        <v>0</v>
      </c>
      <c r="R425" s="719">
        <v>44</v>
      </c>
      <c r="S425" s="1334">
        <f aca="true" t="shared" si="105" ref="S425:S431">Q425*R425</f>
        <v>0</v>
      </c>
      <c r="T425" s="1335"/>
      <c r="U425" s="151"/>
      <c r="V425" s="3"/>
    </row>
    <row r="426" spans="2:22" ht="12.75">
      <c r="B426" s="510" t="s">
        <v>985</v>
      </c>
      <c r="C426" s="510"/>
      <c r="D426" s="510"/>
      <c r="E426" s="510"/>
      <c r="F426" s="510"/>
      <c r="G426" s="510"/>
      <c r="H426" s="510"/>
      <c r="I426" s="351"/>
      <c r="J426" s="351"/>
      <c r="L426" s="165">
        <f t="shared" si="104"/>
        <v>1436</v>
      </c>
      <c r="M426" s="37" t="s">
        <v>2211</v>
      </c>
      <c r="N426" s="701"/>
      <c r="O426" s="701"/>
      <c r="P426" s="38"/>
      <c r="Q426" s="718">
        <f>G194+G202</f>
        <v>0</v>
      </c>
      <c r="R426" s="719">
        <v>60</v>
      </c>
      <c r="S426" s="1334">
        <f t="shared" si="105"/>
        <v>0</v>
      </c>
      <c r="T426" s="1335"/>
      <c r="U426" s="151"/>
      <c r="V426" s="3"/>
    </row>
    <row r="427" spans="1:22" ht="12.75">
      <c r="A427" s="487"/>
      <c r="B427" s="487"/>
      <c r="C427" s="487"/>
      <c r="D427" s="487"/>
      <c r="E427" s="487"/>
      <c r="F427" s="487"/>
      <c r="I427" s="351"/>
      <c r="J427" s="351"/>
      <c r="L427" s="165">
        <f t="shared" si="104"/>
        <v>1437</v>
      </c>
      <c r="M427" s="37" t="s">
        <v>554</v>
      </c>
      <c r="N427" s="701"/>
      <c r="O427" s="701"/>
      <c r="P427" s="38"/>
      <c r="Q427" s="718">
        <f>G195</f>
        <v>0</v>
      </c>
      <c r="R427" s="719">
        <v>60</v>
      </c>
      <c r="S427" s="1334">
        <f t="shared" si="105"/>
        <v>0</v>
      </c>
      <c r="T427" s="1335"/>
      <c r="U427" s="151"/>
      <c r="V427" s="3"/>
    </row>
    <row r="428" spans="1:22" ht="12.75">
      <c r="A428" s="29"/>
      <c r="B428" s="487" t="s">
        <v>2050</v>
      </c>
      <c r="C428" s="56"/>
      <c r="D428" s="56"/>
      <c r="E428" s="56"/>
      <c r="F428" s="487"/>
      <c r="I428" s="351"/>
      <c r="J428" s="351"/>
      <c r="L428" s="165">
        <f t="shared" si="104"/>
        <v>1438</v>
      </c>
      <c r="M428" s="37" t="s">
        <v>2215</v>
      </c>
      <c r="N428" s="701"/>
      <c r="O428" s="701"/>
      <c r="P428" s="38"/>
      <c r="Q428" s="718">
        <f>G196</f>
        <v>0</v>
      </c>
      <c r="R428" s="720">
        <v>140</v>
      </c>
      <c r="S428" s="1329">
        <f t="shared" si="105"/>
        <v>0</v>
      </c>
      <c r="T428" s="1330"/>
      <c r="U428" s="151"/>
      <c r="V428" s="3"/>
    </row>
    <row r="429" spans="1:22" ht="12.75">
      <c r="A429" s="489"/>
      <c r="B429" s="854" t="s">
        <v>2214</v>
      </c>
      <c r="C429" s="1323" t="s">
        <v>681</v>
      </c>
      <c r="D429" s="1274"/>
      <c r="E429" s="26" t="s">
        <v>2305</v>
      </c>
      <c r="F429" s="26" t="s">
        <v>2052</v>
      </c>
      <c r="G429" s="1338" t="s">
        <v>2053</v>
      </c>
      <c r="H429" s="1466"/>
      <c r="I429" s="351"/>
      <c r="J429" s="351"/>
      <c r="L429" s="165">
        <f t="shared" si="104"/>
        <v>1439</v>
      </c>
      <c r="M429" s="37" t="s">
        <v>2216</v>
      </c>
      <c r="N429" s="701"/>
      <c r="O429" s="701"/>
      <c r="P429" s="38"/>
      <c r="Q429" s="718">
        <f>G197</f>
        <v>0</v>
      </c>
      <c r="R429" s="720">
        <v>140</v>
      </c>
      <c r="S429" s="1329">
        <f t="shared" si="105"/>
        <v>0</v>
      </c>
      <c r="T429" s="1330"/>
      <c r="U429" s="151"/>
      <c r="V429" s="3"/>
    </row>
    <row r="430" spans="1:22" ht="12.75">
      <c r="A430" s="167"/>
      <c r="B430" s="857"/>
      <c r="C430" s="1301" t="s">
        <v>682</v>
      </c>
      <c r="D430" s="1324"/>
      <c r="E430" s="32" t="s">
        <v>2049</v>
      </c>
      <c r="F430" s="32" t="s">
        <v>2051</v>
      </c>
      <c r="G430" s="1521" t="s">
        <v>2054</v>
      </c>
      <c r="H430" s="1522"/>
      <c r="I430" s="351"/>
      <c r="J430" s="351"/>
      <c r="L430" s="165">
        <f t="shared" si="104"/>
        <v>1440</v>
      </c>
      <c r="M430" s="37" t="s">
        <v>2212</v>
      </c>
      <c r="N430" s="701"/>
      <c r="O430" s="701"/>
      <c r="P430" s="38"/>
      <c r="Q430" s="718">
        <f>G198</f>
        <v>0</v>
      </c>
      <c r="R430" s="719">
        <v>85</v>
      </c>
      <c r="S430" s="1334">
        <f t="shared" si="105"/>
        <v>0</v>
      </c>
      <c r="T430" s="1335"/>
      <c r="U430" s="151"/>
      <c r="V430" s="3"/>
    </row>
    <row r="431" spans="1:22" ht="12.75">
      <c r="A431" s="165">
        <f>A423+1</f>
        <v>1406</v>
      </c>
      <c r="B431" s="278" t="s">
        <v>906</v>
      </c>
      <c r="C431" s="1227">
        <f>Q421</f>
        <v>0</v>
      </c>
      <c r="D431" s="1293"/>
      <c r="E431" s="486">
        <f>ROUND(Q189,0)</f>
        <v>0</v>
      </c>
      <c r="F431" s="1107">
        <f>IF(C431&lt;=E431,0,ROUND((C431*365*0.983)-G17,0))</f>
        <v>0</v>
      </c>
      <c r="G431" s="1318">
        <f>IF(F431=0,0,F431*G474)</f>
        <v>0</v>
      </c>
      <c r="H431" s="1319"/>
      <c r="I431" s="351"/>
      <c r="J431" s="351"/>
      <c r="L431" s="165">
        <f t="shared" si="104"/>
        <v>1441</v>
      </c>
      <c r="M431" s="37" t="s">
        <v>2213</v>
      </c>
      <c r="N431" s="701"/>
      <c r="O431" s="701"/>
      <c r="P431" s="38"/>
      <c r="Q431" s="718">
        <f>G199</f>
        <v>0</v>
      </c>
      <c r="R431" s="719">
        <v>85</v>
      </c>
      <c r="S431" s="1334">
        <f t="shared" si="105"/>
        <v>0</v>
      </c>
      <c r="T431" s="1335"/>
      <c r="U431" s="151"/>
      <c r="V431" s="3"/>
    </row>
    <row r="432" spans="1:22" ht="12.75">
      <c r="A432" s="165">
        <f>A431+1</f>
        <v>1407</v>
      </c>
      <c r="B432" s="278" t="s">
        <v>2209</v>
      </c>
      <c r="C432" s="1321">
        <f>Q422</f>
        <v>0</v>
      </c>
      <c r="D432" s="1322"/>
      <c r="E432" s="1108"/>
      <c r="F432" s="1108"/>
      <c r="G432" s="1291"/>
      <c r="H432" s="1292"/>
      <c r="I432" s="351"/>
      <c r="J432" s="351"/>
      <c r="L432" s="165">
        <f t="shared" si="104"/>
        <v>1442</v>
      </c>
      <c r="M432" s="37" t="s">
        <v>1829</v>
      </c>
      <c r="N432" s="701"/>
      <c r="O432" s="701"/>
      <c r="P432" s="38"/>
      <c r="Q432" s="718">
        <f>G210</f>
        <v>0</v>
      </c>
      <c r="R432" s="721" t="s">
        <v>688</v>
      </c>
      <c r="S432" s="1346" t="s">
        <v>688</v>
      </c>
      <c r="T432" s="1347"/>
      <c r="U432" s="151"/>
      <c r="V432" s="3"/>
    </row>
    <row r="433" spans="1:22" ht="12.75">
      <c r="A433" s="165">
        <f aca="true" t="shared" si="106" ref="A433:A443">A432+1</f>
        <v>1408</v>
      </c>
      <c r="B433" s="278" t="s">
        <v>2210</v>
      </c>
      <c r="C433" s="1321">
        <f>Q423</f>
        <v>0</v>
      </c>
      <c r="D433" s="1322"/>
      <c r="E433" s="1108"/>
      <c r="F433" s="1108"/>
      <c r="G433" s="1291"/>
      <c r="H433" s="1292"/>
      <c r="I433" s="351"/>
      <c r="J433" s="351"/>
      <c r="K433" s="342"/>
      <c r="L433" s="165">
        <f t="shared" si="104"/>
        <v>1443</v>
      </c>
      <c r="M433" s="260" t="s">
        <v>223</v>
      </c>
      <c r="N433" s="493"/>
      <c r="O433" s="493"/>
      <c r="P433" s="799"/>
      <c r="Q433" s="862">
        <f>SUM(Q421:Q432)</f>
        <v>0</v>
      </c>
      <c r="R433" s="510"/>
      <c r="S433" s="510"/>
      <c r="T433" s="862">
        <f>SUM(S421:T431)</f>
        <v>0</v>
      </c>
      <c r="U433" s="151"/>
      <c r="V433" s="3"/>
    </row>
    <row r="434" spans="1:22" ht="12.75">
      <c r="A434" s="165">
        <f t="shared" si="106"/>
        <v>1409</v>
      </c>
      <c r="B434" s="278" t="s">
        <v>2208</v>
      </c>
      <c r="C434" s="1227">
        <f>Q424</f>
        <v>0</v>
      </c>
      <c r="D434" s="1293"/>
      <c r="E434" s="486">
        <f>ROUND(Q190,0)</f>
        <v>0</v>
      </c>
      <c r="F434" s="1107">
        <f>IF(C434&lt;=E434,0,ROUND((C434*365*0.981)-(G26-G25),0))</f>
        <v>0</v>
      </c>
      <c r="G434" s="1318">
        <f>IF(F434=0,0,F434*G486)</f>
        <v>0</v>
      </c>
      <c r="H434" s="1319"/>
      <c r="I434" s="351"/>
      <c r="J434" s="351"/>
      <c r="K434" s="342"/>
      <c r="L434" s="55"/>
      <c r="M434" s="55"/>
      <c r="N434" s="55"/>
      <c r="O434" s="55"/>
      <c r="P434" s="78"/>
      <c r="Q434" s="78"/>
      <c r="R434" s="135"/>
      <c r="S434" s="135"/>
      <c r="T434" s="135"/>
      <c r="U434" s="151"/>
      <c r="V434" s="3"/>
    </row>
    <row r="435" spans="1:22" ht="12.75">
      <c r="A435" s="165">
        <f t="shared" si="106"/>
        <v>1410</v>
      </c>
      <c r="B435" s="278" t="s">
        <v>1730</v>
      </c>
      <c r="C435" s="1227">
        <f aca="true" t="shared" si="107" ref="C435:C442">Q425</f>
        <v>0</v>
      </c>
      <c r="D435" s="1293"/>
      <c r="E435" s="486">
        <f>ROUND(Q193,0)</f>
        <v>0</v>
      </c>
      <c r="F435" s="1107">
        <f>IF(C435&lt;=E435,0,ROUND((C435*200*0.981)-G25,0))</f>
        <v>0</v>
      </c>
      <c r="G435" s="1318">
        <f>IF(F435=0,0,F435*K25)</f>
        <v>0</v>
      </c>
      <c r="H435" s="1319"/>
      <c r="I435" s="351"/>
      <c r="J435" s="351"/>
      <c r="K435" s="342"/>
      <c r="L435" s="55"/>
      <c r="M435" s="55"/>
      <c r="N435" s="55"/>
      <c r="O435" s="55"/>
      <c r="P435" s="78"/>
      <c r="Q435" s="78"/>
      <c r="R435" s="135"/>
      <c r="S435" s="135"/>
      <c r="T435" s="135"/>
      <c r="U435" s="151"/>
      <c r="V435" s="3"/>
    </row>
    <row r="436" spans="1:22" ht="12.75">
      <c r="A436" s="165">
        <f t="shared" si="106"/>
        <v>1411</v>
      </c>
      <c r="B436" s="278" t="s">
        <v>2211</v>
      </c>
      <c r="C436" s="1227">
        <f t="shared" si="107"/>
        <v>0</v>
      </c>
      <c r="D436" s="1293"/>
      <c r="E436" s="486">
        <f>ROUND(Q194,0)</f>
        <v>0</v>
      </c>
      <c r="F436" s="1107">
        <f>IF(C436&lt;=E436,0,ROUND((C436*365*0.97)-(G37-G31),0))</f>
        <v>0</v>
      </c>
      <c r="G436" s="1318">
        <f>IF(F436=0,0,F436*G500)</f>
        <v>0</v>
      </c>
      <c r="H436" s="1319"/>
      <c r="I436" s="351"/>
      <c r="J436" s="351"/>
      <c r="K436" s="342"/>
      <c r="L436" s="55"/>
      <c r="M436" s="55"/>
      <c r="N436" s="55"/>
      <c r="O436" s="55"/>
      <c r="P436" s="78"/>
      <c r="Q436" s="78"/>
      <c r="R436" s="135"/>
      <c r="S436" s="135"/>
      <c r="T436" s="135"/>
      <c r="U436" s="151"/>
      <c r="V436" s="3"/>
    </row>
    <row r="437" spans="1:22" ht="12.75">
      <c r="A437" s="165">
        <f t="shared" si="106"/>
        <v>1412</v>
      </c>
      <c r="B437" s="278" t="s">
        <v>554</v>
      </c>
      <c r="C437" s="1227">
        <f t="shared" si="107"/>
        <v>0</v>
      </c>
      <c r="D437" s="1293"/>
      <c r="E437" s="486">
        <f>ROUND(Q195,0)</f>
        <v>0</v>
      </c>
      <c r="F437" s="1107">
        <f>IF(C437&lt;=E437,0,ROUND((C437*365*0.97)-G31,0))</f>
        <v>0</v>
      </c>
      <c r="G437" s="1318">
        <f>IF(F437=0,0,F437*K31)</f>
        <v>0</v>
      </c>
      <c r="H437" s="1319"/>
      <c r="I437" s="351"/>
      <c r="J437" s="351"/>
      <c r="K437" s="342"/>
      <c r="L437" s="55"/>
      <c r="M437" s="55"/>
      <c r="N437" s="55"/>
      <c r="O437" s="55"/>
      <c r="P437" s="78"/>
      <c r="Q437" s="78"/>
      <c r="R437" s="135"/>
      <c r="S437" s="135"/>
      <c r="T437" s="135"/>
      <c r="U437" s="151"/>
      <c r="V437" s="3"/>
    </row>
    <row r="438" spans="1:22" ht="12.75">
      <c r="A438" s="165">
        <f t="shared" si="106"/>
        <v>1413</v>
      </c>
      <c r="B438" s="278" t="s">
        <v>2215</v>
      </c>
      <c r="C438" s="1523">
        <f>Q428+Q429</f>
        <v>0</v>
      </c>
      <c r="D438" s="1524"/>
      <c r="E438" s="1325">
        <f>ROUND(Q196,0)</f>
        <v>0</v>
      </c>
      <c r="F438" s="1327">
        <f>IF(C438&lt;=E438,0,ROUND((C438*365*1)-SUM(G41:H44),0))</f>
        <v>0</v>
      </c>
      <c r="G438" s="1287">
        <f>IF(F438=0,0,F438*G538)</f>
        <v>0</v>
      </c>
      <c r="H438" s="1288"/>
      <c r="I438" s="351"/>
      <c r="J438" s="351"/>
      <c r="K438" s="342"/>
      <c r="L438" s="55"/>
      <c r="M438" s="55"/>
      <c r="N438" s="55"/>
      <c r="O438" s="55"/>
      <c r="P438" s="78"/>
      <c r="Q438" s="78"/>
      <c r="R438" s="135"/>
      <c r="S438" s="135"/>
      <c r="T438" s="135"/>
      <c r="U438" s="151"/>
      <c r="V438" s="3"/>
    </row>
    <row r="439" spans="1:22" ht="12.75">
      <c r="A439" s="165">
        <f t="shared" si="106"/>
        <v>1414</v>
      </c>
      <c r="B439" s="278" t="s">
        <v>2216</v>
      </c>
      <c r="C439" s="1289"/>
      <c r="D439" s="1290"/>
      <c r="E439" s="1326"/>
      <c r="F439" s="1326"/>
      <c r="G439" s="1289"/>
      <c r="H439" s="1290"/>
      <c r="I439" s="351"/>
      <c r="J439" s="351"/>
      <c r="K439" s="342"/>
      <c r="L439" s="55"/>
      <c r="M439" s="55"/>
      <c r="N439" s="55"/>
      <c r="O439" s="55"/>
      <c r="P439" s="78"/>
      <c r="Q439" s="78"/>
      <c r="R439" s="135"/>
      <c r="S439" s="135"/>
      <c r="T439" s="135"/>
      <c r="U439" s="151"/>
      <c r="V439" s="3"/>
    </row>
    <row r="440" spans="1:22" ht="12.75">
      <c r="A440" s="165">
        <f t="shared" si="106"/>
        <v>1415</v>
      </c>
      <c r="B440" s="278" t="s">
        <v>2212</v>
      </c>
      <c r="C440" s="1227">
        <f t="shared" si="107"/>
        <v>0</v>
      </c>
      <c r="D440" s="1293"/>
      <c r="E440" s="486">
        <f>ROUND(Q198,0)</f>
        <v>0</v>
      </c>
      <c r="F440" s="1107">
        <f>IF(C440&lt;=E440,0,ROUND((C440*365*1)-(G39+G40),0))</f>
        <v>0</v>
      </c>
      <c r="G440" s="1318">
        <f>IF(F440=0,0,F440*G529)</f>
        <v>0</v>
      </c>
      <c r="H440" s="1319"/>
      <c r="I440" s="351"/>
      <c r="J440" s="351"/>
      <c r="K440" s="342"/>
      <c r="L440" s="55"/>
      <c r="M440" s="55"/>
      <c r="N440" s="55"/>
      <c r="O440" s="55"/>
      <c r="P440" s="78"/>
      <c r="Q440" s="78"/>
      <c r="R440" s="135"/>
      <c r="S440" s="135"/>
      <c r="T440" s="135"/>
      <c r="U440" s="151"/>
      <c r="V440" s="3"/>
    </row>
    <row r="441" spans="1:22" ht="12.75">
      <c r="A441" s="165">
        <f t="shared" si="106"/>
        <v>1416</v>
      </c>
      <c r="B441" s="278" t="s">
        <v>2213</v>
      </c>
      <c r="C441" s="1227">
        <f t="shared" si="107"/>
        <v>0</v>
      </c>
      <c r="D441" s="1293"/>
      <c r="E441" s="486">
        <f>ROUND(Q199,0)</f>
        <v>0</v>
      </c>
      <c r="F441" s="1107">
        <f>IF(C441&lt;=E441,0,ROUND((C441*365*1)-G51,0))</f>
        <v>0</v>
      </c>
      <c r="G441" s="1318">
        <f>IF(F441=0,0,F441*K51)</f>
        <v>0</v>
      </c>
      <c r="H441" s="1319"/>
      <c r="I441" s="351"/>
      <c r="J441" s="351"/>
      <c r="K441" s="342"/>
      <c r="L441" s="55"/>
      <c r="M441" s="55"/>
      <c r="N441" s="55"/>
      <c r="O441" s="55"/>
      <c r="P441" s="78"/>
      <c r="Q441" s="78"/>
      <c r="R441" s="135"/>
      <c r="S441" s="135"/>
      <c r="T441" s="135"/>
      <c r="U441" s="151"/>
      <c r="V441" s="3"/>
    </row>
    <row r="442" spans="1:22" ht="12.75">
      <c r="A442" s="165">
        <f t="shared" si="106"/>
        <v>1417</v>
      </c>
      <c r="B442" s="278" t="s">
        <v>1829</v>
      </c>
      <c r="C442" s="1227">
        <f t="shared" si="107"/>
        <v>0</v>
      </c>
      <c r="D442" s="1293"/>
      <c r="E442" s="486">
        <f>ROUND(Q206,0)</f>
        <v>0</v>
      </c>
      <c r="F442" s="1107">
        <f>IF(C442&lt;=E442,0,ROUND((C442*365*0.99)-G58,0))</f>
        <v>0</v>
      </c>
      <c r="G442" s="1318">
        <f>IF(F442=0,0,F442*G549)</f>
        <v>0</v>
      </c>
      <c r="H442" s="1319"/>
      <c r="I442" s="351"/>
      <c r="J442" s="351"/>
      <c r="K442" s="342"/>
      <c r="L442" s="55"/>
      <c r="M442" s="55"/>
      <c r="N442" s="55"/>
      <c r="O442" s="55"/>
      <c r="P442" s="78"/>
      <c r="Q442" s="78"/>
      <c r="R442" s="135"/>
      <c r="S442" s="135"/>
      <c r="T442" s="135"/>
      <c r="U442" s="151"/>
      <c r="V442" s="3"/>
    </row>
    <row r="443" spans="1:22" ht="12.75">
      <c r="A443" s="165">
        <f t="shared" si="106"/>
        <v>1418</v>
      </c>
      <c r="B443" s="260" t="s">
        <v>717</v>
      </c>
      <c r="C443" s="493"/>
      <c r="D443" s="493"/>
      <c r="E443" s="493"/>
      <c r="F443" s="799"/>
      <c r="G443" s="1489">
        <f>SUM(G431:H442)</f>
        <v>0</v>
      </c>
      <c r="H443" s="1490"/>
      <c r="I443" s="351"/>
      <c r="J443" s="351"/>
      <c r="K443" s="342"/>
      <c r="L443" s="55"/>
      <c r="M443" s="55"/>
      <c r="N443" s="55"/>
      <c r="O443" s="55"/>
      <c r="P443" s="78"/>
      <c r="Q443" s="78"/>
      <c r="R443" s="135"/>
      <c r="S443" s="135"/>
      <c r="T443" s="135"/>
      <c r="U443" s="151"/>
      <c r="V443" s="3"/>
    </row>
    <row r="444" spans="9:22" ht="12.75">
      <c r="I444" s="351"/>
      <c r="J444" s="351"/>
      <c r="K444" s="342"/>
      <c r="L444" s="342"/>
      <c r="M444" s="342"/>
      <c r="N444" s="342"/>
      <c r="O444" s="342"/>
      <c r="R444" s="342"/>
      <c r="S444" s="342"/>
      <c r="T444" s="342"/>
      <c r="U444" s="151"/>
      <c r="V444" s="3"/>
    </row>
    <row r="445" spans="1:22" ht="15" customHeight="1">
      <c r="A445" s="29" t="s">
        <v>567</v>
      </c>
      <c r="B445" s="487" t="s">
        <v>678</v>
      </c>
      <c r="I445" s="351"/>
      <c r="J445" s="351"/>
      <c r="K445"/>
      <c r="L445" s="342"/>
      <c r="M445" s="342"/>
      <c r="N445" s="342"/>
      <c r="O445" s="921" t="s">
        <v>1389</v>
      </c>
      <c r="P445" s="487" t="s">
        <v>860</v>
      </c>
      <c r="R445" s="342"/>
      <c r="S445" s="342"/>
      <c r="T445" s="342"/>
      <c r="U445" s="151"/>
      <c r="V445" s="3"/>
    </row>
    <row r="446" spans="3:22" ht="12.75">
      <c r="C446" s="1286">
        <v>1</v>
      </c>
      <c r="D446" s="1286"/>
      <c r="E446" s="505">
        <v>2</v>
      </c>
      <c r="F446" s="505">
        <v>3</v>
      </c>
      <c r="G446" s="1286">
        <v>4</v>
      </c>
      <c r="H446" s="1286"/>
      <c r="I446" s="351"/>
      <c r="J446" s="351"/>
      <c r="K446" s="505">
        <v>5</v>
      </c>
      <c r="L446" t="s">
        <v>1476</v>
      </c>
      <c r="O446" s="527"/>
      <c r="P446" s="527"/>
      <c r="Q446" s="527" t="s">
        <v>1702</v>
      </c>
      <c r="R446" s="527"/>
      <c r="U446" s="151"/>
      <c r="V446" s="3"/>
    </row>
    <row r="447" spans="3:22" ht="12.75">
      <c r="C447" s="1312" t="s">
        <v>672</v>
      </c>
      <c r="D447" s="1274"/>
      <c r="E447" s="506" t="s">
        <v>670</v>
      </c>
      <c r="F447" s="506" t="s">
        <v>1477</v>
      </c>
      <c r="G447" s="1312" t="s">
        <v>676</v>
      </c>
      <c r="H447" s="1313"/>
      <c r="I447" s="351"/>
      <c r="J447" s="351"/>
      <c r="K447" s="503" t="s">
        <v>674</v>
      </c>
      <c r="L447" s="1312" t="s">
        <v>1696</v>
      </c>
      <c r="M447" s="1313"/>
      <c r="O447" s="527"/>
      <c r="P447" s="860"/>
      <c r="Q447" s="752" t="s">
        <v>1703</v>
      </c>
      <c r="R447" s="825" t="s">
        <v>2332</v>
      </c>
      <c r="S447" s="1312" t="s">
        <v>2333</v>
      </c>
      <c r="T447" s="1313"/>
      <c r="U447" s="151"/>
      <c r="V447" s="3"/>
    </row>
    <row r="448" spans="3:22" ht="12.75">
      <c r="C448" s="499"/>
      <c r="D448" s="498"/>
      <c r="E448" s="507" t="s">
        <v>671</v>
      </c>
      <c r="F448" s="507" t="s">
        <v>256</v>
      </c>
      <c r="G448" s="1315" t="s">
        <v>673</v>
      </c>
      <c r="H448" s="1316"/>
      <c r="I448" s="351"/>
      <c r="J448" s="351"/>
      <c r="K448" s="504" t="s">
        <v>675</v>
      </c>
      <c r="L448" s="1315" t="s">
        <v>215</v>
      </c>
      <c r="M448" s="1317"/>
      <c r="O448" s="527"/>
      <c r="P448" s="860"/>
      <c r="Q448" s="507" t="s">
        <v>1704</v>
      </c>
      <c r="R448" s="507" t="s">
        <v>1704</v>
      </c>
      <c r="S448" s="1496"/>
      <c r="T448" s="1497"/>
      <c r="U448" s="151"/>
      <c r="V448" s="3"/>
    </row>
    <row r="449" spans="1:22" ht="12.75">
      <c r="A449" s="169">
        <f>A443+1</f>
        <v>1419</v>
      </c>
      <c r="B449" s="278" t="s">
        <v>906</v>
      </c>
      <c r="C449" s="1297">
        <f aca="true" t="shared" si="108" ref="C449:C459">K189</f>
        <v>19851.71</v>
      </c>
      <c r="D449" s="1298"/>
      <c r="E449" s="715">
        <f>L473</f>
        <v>120.12719999999999</v>
      </c>
      <c r="F449" s="716">
        <f>(P189/100)*365</f>
        <v>358.795</v>
      </c>
      <c r="G449" s="1314">
        <f>K83</f>
        <v>305.76</v>
      </c>
      <c r="H449" s="1298"/>
      <c r="I449" s="717"/>
      <c r="J449" s="717"/>
      <c r="K449" s="715">
        <v>8.14</v>
      </c>
      <c r="L449" s="1310">
        <f>C449+(E449*F449+G449*K449)</f>
        <v>65441.635124</v>
      </c>
      <c r="M449" s="1311"/>
      <c r="P449" s="165">
        <f>L433+1</f>
        <v>1444</v>
      </c>
      <c r="Q449" s="753">
        <f>L449*Q421</f>
        <v>0</v>
      </c>
      <c r="R449" s="826"/>
      <c r="S449" s="1494"/>
      <c r="T449" s="1495"/>
      <c r="U449" s="151"/>
      <c r="V449" s="3"/>
    </row>
    <row r="450" spans="1:22" ht="12.75">
      <c r="A450" s="36">
        <f>A449+1</f>
        <v>1420</v>
      </c>
      <c r="B450" s="37" t="s">
        <v>1513</v>
      </c>
      <c r="C450" s="1296">
        <f t="shared" si="108"/>
        <v>51849.89</v>
      </c>
      <c r="D450" s="1295"/>
      <c r="E450" s="715">
        <f>K24</f>
        <v>278.51</v>
      </c>
      <c r="F450" s="819">
        <f>($P$190/100)*365</f>
        <v>358.065</v>
      </c>
      <c r="G450" s="1294">
        <f>$K$83</f>
        <v>305.76</v>
      </c>
      <c r="H450" s="1295"/>
      <c r="I450" s="717"/>
      <c r="J450" s="717"/>
      <c r="K450" s="525">
        <v>3.8</v>
      </c>
      <c r="L450" s="1446">
        <f>C450+(E450*F450+G450*K450)</f>
        <v>152736.46115</v>
      </c>
      <c r="M450" s="1295"/>
      <c r="P450" s="165">
        <f aca="true" t="shared" si="109" ref="P450:P461">P449+1</f>
        <v>1445</v>
      </c>
      <c r="Q450" s="820">
        <f>L450*Q422</f>
        <v>0</v>
      </c>
      <c r="R450" s="827"/>
      <c r="S450" s="1485"/>
      <c r="T450" s="1486"/>
      <c r="U450" s="151"/>
      <c r="V450" s="3"/>
    </row>
    <row r="451" spans="1:22" ht="12.75">
      <c r="A451" s="36">
        <f aca="true" t="shared" si="110" ref="A451:A460">A450+1</f>
        <v>1421</v>
      </c>
      <c r="B451" s="37" t="s">
        <v>1726</v>
      </c>
      <c r="C451" s="1296">
        <f t="shared" si="108"/>
        <v>27794.370000000003</v>
      </c>
      <c r="D451" s="1295"/>
      <c r="E451" s="1071">
        <f>0.11*K19+0.19*K20+0.07*K22+0.04*K23+0.59*K24</f>
        <v>237.9144</v>
      </c>
      <c r="F451" s="819">
        <f>($P$190/100)*365</f>
        <v>358.065</v>
      </c>
      <c r="G451" s="1294">
        <f>$K$83</f>
        <v>305.76</v>
      </c>
      <c r="H451" s="1295"/>
      <c r="I451" s="717"/>
      <c r="J451" s="717"/>
      <c r="K451" s="823">
        <v>2.4</v>
      </c>
      <c r="L451" s="1446">
        <f>C451+(E451*F451+G451*K451)</f>
        <v>113717.01363599999</v>
      </c>
      <c r="M451" s="1295"/>
      <c r="P451" s="165">
        <f t="shared" si="109"/>
        <v>1446</v>
      </c>
      <c r="Q451" s="820">
        <f>L451*Q423</f>
        <v>0</v>
      </c>
      <c r="R451" s="828"/>
      <c r="S451" s="1485"/>
      <c r="T451" s="1486"/>
      <c r="U451" s="151"/>
      <c r="V451" s="3"/>
    </row>
    <row r="452" spans="1:22" ht="12.75">
      <c r="A452" s="36">
        <f t="shared" si="110"/>
        <v>1422</v>
      </c>
      <c r="B452" s="37" t="s">
        <v>907</v>
      </c>
      <c r="C452" s="1296">
        <f t="shared" si="108"/>
        <v>21306.81</v>
      </c>
      <c r="D452" s="1295"/>
      <c r="E452" s="818">
        <f>L485</f>
        <v>209.5981</v>
      </c>
      <c r="F452" s="819">
        <f>($P$190/100)*365</f>
        <v>358.065</v>
      </c>
      <c r="G452" s="1294">
        <f>$K$83</f>
        <v>305.76</v>
      </c>
      <c r="H452" s="1295"/>
      <c r="I452" s="717"/>
      <c r="J452" s="717"/>
      <c r="K452" s="818">
        <v>1.2</v>
      </c>
      <c r="L452" s="1446">
        <f>C452+(E452*F452+G452*K452)</f>
        <v>96723.4656765</v>
      </c>
      <c r="M452" s="1295"/>
      <c r="P452" s="165">
        <f t="shared" si="109"/>
        <v>1447</v>
      </c>
      <c r="Q452" s="820">
        <f>L452*Q424</f>
        <v>0</v>
      </c>
      <c r="R452" s="827"/>
      <c r="S452" s="1485"/>
      <c r="T452" s="1486"/>
      <c r="U452" s="151"/>
      <c r="V452" s="3"/>
    </row>
    <row r="453" spans="1:22" ht="12.75">
      <c r="A453" s="169">
        <f t="shared" si="110"/>
        <v>1423</v>
      </c>
      <c r="B453" s="278" t="s">
        <v>1730</v>
      </c>
      <c r="C453" s="1297">
        <f t="shared" si="108"/>
        <v>12065.59</v>
      </c>
      <c r="D453" s="1298"/>
      <c r="E453" s="715">
        <f>K25</f>
        <v>199.65</v>
      </c>
      <c r="F453" s="819">
        <f>($P$190/100)*200</f>
        <v>196.2</v>
      </c>
      <c r="G453" s="1356">
        <f>G452</f>
        <v>305.76</v>
      </c>
      <c r="H453" s="1357"/>
      <c r="I453" s="717"/>
      <c r="J453" s="717"/>
      <c r="K453" s="1004" t="s">
        <v>1478</v>
      </c>
      <c r="L453" s="1310">
        <f>C453+(E453*F453)</f>
        <v>51236.92</v>
      </c>
      <c r="M453" s="1311"/>
      <c r="P453" s="165">
        <f t="shared" si="109"/>
        <v>1448</v>
      </c>
      <c r="Q453" s="753">
        <f aca="true" t="shared" si="111" ref="Q453:Q460">L453*Q425</f>
        <v>0</v>
      </c>
      <c r="R453" s="829"/>
      <c r="S453" s="1485"/>
      <c r="T453" s="1486"/>
      <c r="U453" s="151"/>
      <c r="V453" s="3"/>
    </row>
    <row r="454" spans="1:22" ht="12.75">
      <c r="A454" s="169">
        <f t="shared" si="110"/>
        <v>1424</v>
      </c>
      <c r="B454" s="278" t="s">
        <v>920</v>
      </c>
      <c r="C454" s="1297">
        <f t="shared" si="108"/>
        <v>18456.47</v>
      </c>
      <c r="D454" s="1298"/>
      <c r="E454" s="715">
        <f>L499</f>
        <v>116.4437</v>
      </c>
      <c r="F454" s="716">
        <f>(P194/100)*365</f>
        <v>354.05</v>
      </c>
      <c r="G454" s="1314">
        <f>$K$84</f>
        <v>861.86</v>
      </c>
      <c r="H454" s="1298"/>
      <c r="I454" s="717"/>
      <c r="J454" s="717"/>
      <c r="K454" s="715">
        <v>1.2</v>
      </c>
      <c r="L454" s="1310">
        <f aca="true" t="shared" si="112" ref="L454:L459">C454+(E454*F454+G454*K454)</f>
        <v>60717.593985</v>
      </c>
      <c r="M454" s="1311"/>
      <c r="P454" s="165">
        <f t="shared" si="109"/>
        <v>1449</v>
      </c>
      <c r="Q454" s="485">
        <f t="shared" si="111"/>
        <v>0</v>
      </c>
      <c r="R454" s="830"/>
      <c r="S454" s="1485"/>
      <c r="T454" s="1486"/>
      <c r="U454" s="151"/>
      <c r="V454" s="3"/>
    </row>
    <row r="455" spans="1:22" ht="12.75">
      <c r="A455" s="169">
        <f t="shared" si="110"/>
        <v>1425</v>
      </c>
      <c r="B455" s="278" t="s">
        <v>1514</v>
      </c>
      <c r="C455" s="1297">
        <f t="shared" si="108"/>
        <v>17594.52</v>
      </c>
      <c r="D455" s="1298"/>
      <c r="E455" s="715">
        <f>K31</f>
        <v>38.300000000000004</v>
      </c>
      <c r="F455" s="716">
        <f>(P195/100)*365</f>
        <v>354.05</v>
      </c>
      <c r="G455" s="1314">
        <f>$K$84</f>
        <v>861.86</v>
      </c>
      <c r="H455" s="1298"/>
      <c r="I455" s="717"/>
      <c r="J455" s="717"/>
      <c r="K455" s="715">
        <v>1.2</v>
      </c>
      <c r="L455" s="1310">
        <f t="shared" si="112"/>
        <v>32188.867000000002</v>
      </c>
      <c r="M455" s="1311"/>
      <c r="P455" s="165">
        <f t="shared" si="109"/>
        <v>1450</v>
      </c>
      <c r="Q455" s="753">
        <f t="shared" si="111"/>
        <v>0</v>
      </c>
      <c r="R455" s="829"/>
      <c r="S455" s="1485"/>
      <c r="T455" s="1486"/>
      <c r="U455" s="151"/>
      <c r="V455" s="3"/>
    </row>
    <row r="456" spans="1:22" ht="12.75">
      <c r="A456" s="169">
        <f t="shared" si="110"/>
        <v>1426</v>
      </c>
      <c r="B456" s="278" t="s">
        <v>2166</v>
      </c>
      <c r="C456" s="1297">
        <f t="shared" si="108"/>
        <v>39362.939999999995</v>
      </c>
      <c r="D456" s="1298"/>
      <c r="E456" s="715">
        <f>L537</f>
        <v>301.53020000000004</v>
      </c>
      <c r="F456" s="716">
        <f>(P196/100)*365</f>
        <v>365</v>
      </c>
      <c r="G456" s="1314">
        <f>$K$85</f>
        <v>2493.63</v>
      </c>
      <c r="H456" s="1298"/>
      <c r="I456" s="717"/>
      <c r="J456" s="717"/>
      <c r="K456" s="715">
        <v>0.35</v>
      </c>
      <c r="L456" s="1310">
        <f t="shared" si="112"/>
        <v>150294.2335</v>
      </c>
      <c r="M456" s="1311"/>
      <c r="P456" s="165">
        <f t="shared" si="109"/>
        <v>1451</v>
      </c>
      <c r="Q456" s="753">
        <f t="shared" si="111"/>
        <v>0</v>
      </c>
      <c r="R456" s="829"/>
      <c r="S456" s="1485"/>
      <c r="T456" s="1486"/>
      <c r="U456" s="151"/>
      <c r="V456" s="3"/>
    </row>
    <row r="457" spans="1:22" ht="12.75">
      <c r="A457" s="169">
        <f t="shared" si="110"/>
        <v>1427</v>
      </c>
      <c r="B457" s="278" t="s">
        <v>2167</v>
      </c>
      <c r="C457" s="1297">
        <f t="shared" si="108"/>
        <v>27625.989999999998</v>
      </c>
      <c r="D457" s="1298"/>
      <c r="E457" s="715">
        <f>L537</f>
        <v>301.53020000000004</v>
      </c>
      <c r="F457" s="716">
        <f>(P196/100)*365</f>
        <v>365</v>
      </c>
      <c r="G457" s="1314">
        <f>$K$85</f>
        <v>2493.63</v>
      </c>
      <c r="H457" s="1298"/>
      <c r="I457" s="717"/>
      <c r="J457" s="717"/>
      <c r="K457" s="715">
        <v>0.35</v>
      </c>
      <c r="L457" s="1310">
        <f t="shared" si="112"/>
        <v>138557.28350000002</v>
      </c>
      <c r="M457" s="1311"/>
      <c r="P457" s="165">
        <f t="shared" si="109"/>
        <v>1452</v>
      </c>
      <c r="Q457" s="753">
        <f t="shared" si="111"/>
        <v>0</v>
      </c>
      <c r="R457" s="829"/>
      <c r="S457" s="1485"/>
      <c r="T457" s="1486"/>
      <c r="U457" s="151"/>
      <c r="V457" s="3"/>
    </row>
    <row r="458" spans="1:22" ht="12.75">
      <c r="A458" s="169">
        <f t="shared" si="110"/>
        <v>1428</v>
      </c>
      <c r="B458" s="278" t="s">
        <v>1515</v>
      </c>
      <c r="C458" s="1297">
        <f t="shared" si="108"/>
        <v>23802.35</v>
      </c>
      <c r="D458" s="1298"/>
      <c r="E458" s="715">
        <f>L528</f>
        <v>235.83319999999998</v>
      </c>
      <c r="F458" s="716">
        <f>(P198/100)*365</f>
        <v>365</v>
      </c>
      <c r="G458" s="1314">
        <f>$K$86</f>
        <v>1205.26</v>
      </c>
      <c r="H458" s="1298"/>
      <c r="I458" s="717"/>
      <c r="J458" s="717"/>
      <c r="K458" s="715">
        <v>1</v>
      </c>
      <c r="L458" s="1310">
        <f t="shared" si="112"/>
        <v>111086.72799999997</v>
      </c>
      <c r="M458" s="1311"/>
      <c r="P458" s="165">
        <f t="shared" si="109"/>
        <v>1453</v>
      </c>
      <c r="Q458" s="753">
        <f t="shared" si="111"/>
        <v>0</v>
      </c>
      <c r="R458" s="829"/>
      <c r="S458" s="1485"/>
      <c r="T458" s="1486"/>
      <c r="U458" s="151"/>
      <c r="V458" s="3"/>
    </row>
    <row r="459" spans="1:22" ht="12.75">
      <c r="A459" s="169">
        <f t="shared" si="110"/>
        <v>1429</v>
      </c>
      <c r="B459" s="278" t="s">
        <v>1516</v>
      </c>
      <c r="C459" s="1297">
        <f t="shared" si="108"/>
        <v>52730.91</v>
      </c>
      <c r="D459" s="1298"/>
      <c r="E459" s="715">
        <f>K51</f>
        <v>292.63</v>
      </c>
      <c r="F459" s="716">
        <f>(P199/100)*365</f>
        <v>365</v>
      </c>
      <c r="G459" s="1314">
        <f>$K$84</f>
        <v>861.86</v>
      </c>
      <c r="H459" s="1298"/>
      <c r="I459" s="717"/>
      <c r="J459" s="717"/>
      <c r="K459" s="715">
        <v>1</v>
      </c>
      <c r="L459" s="1310">
        <f t="shared" si="112"/>
        <v>160402.72</v>
      </c>
      <c r="M459" s="1311"/>
      <c r="P459" s="165">
        <f t="shared" si="109"/>
        <v>1454</v>
      </c>
      <c r="Q459" s="753">
        <f t="shared" si="111"/>
        <v>0</v>
      </c>
      <c r="R459" s="829"/>
      <c r="S459" s="1485"/>
      <c r="T459" s="1486"/>
      <c r="U459" s="151"/>
      <c r="V459" s="3"/>
    </row>
    <row r="460" spans="1:22" ht="12.75">
      <c r="A460" s="169">
        <f t="shared" si="110"/>
        <v>1430</v>
      </c>
      <c r="B460" s="278" t="s">
        <v>61</v>
      </c>
      <c r="C460" s="1297">
        <f>K206</f>
        <v>9309.97</v>
      </c>
      <c r="D460" s="1298"/>
      <c r="E460" s="715">
        <f>L548</f>
        <v>48.6649</v>
      </c>
      <c r="F460" s="716">
        <f>(P206/100)*365</f>
        <v>365</v>
      </c>
      <c r="G460" s="1443" t="s">
        <v>688</v>
      </c>
      <c r="H460" s="1357"/>
      <c r="I460" s="717"/>
      <c r="J460" s="717"/>
      <c r="K460" s="1004" t="s">
        <v>688</v>
      </c>
      <c r="L460" s="1310">
        <f>C460+(E460*F460)</f>
        <v>27072.658499999998</v>
      </c>
      <c r="M460" s="1311"/>
      <c r="P460" s="165">
        <f t="shared" si="109"/>
        <v>1455</v>
      </c>
      <c r="Q460" s="753">
        <f t="shared" si="111"/>
        <v>0</v>
      </c>
      <c r="R460" s="831"/>
      <c r="S460" s="1483"/>
      <c r="T460" s="1484"/>
      <c r="U460" s="151"/>
      <c r="V460" s="3"/>
    </row>
    <row r="461" spans="2:22" ht="12.75">
      <c r="B461" s="6" t="s">
        <v>978</v>
      </c>
      <c r="I461" s="351"/>
      <c r="J461" s="351"/>
      <c r="K461"/>
      <c r="P461" s="165">
        <f t="shared" si="109"/>
        <v>1456</v>
      </c>
      <c r="Q461" s="862">
        <f>SUM(Q449:Q460)</f>
        <v>0</v>
      </c>
      <c r="R461" s="965">
        <f>G318</f>
        <v>0</v>
      </c>
      <c r="S461" s="1489">
        <f>Q461-R461</f>
        <v>0</v>
      </c>
      <c r="T461" s="1490"/>
      <c r="U461" s="151"/>
      <c r="V461" s="3"/>
    </row>
    <row r="462" spans="1:22" ht="12.75">
      <c r="A462" s="279"/>
      <c r="B462" s="279"/>
      <c r="E462" s="280"/>
      <c r="F462" s="167"/>
      <c r="G462" s="7"/>
      <c r="H462" s="7"/>
      <c r="I462" s="351"/>
      <c r="J462" s="351"/>
      <c r="K462"/>
      <c r="U462" s="151"/>
      <c r="V462" s="3"/>
    </row>
    <row r="463" spans="1:22" ht="12.75">
      <c r="A463" s="322" t="s">
        <v>1390</v>
      </c>
      <c r="B463" s="78" t="s">
        <v>1241</v>
      </c>
      <c r="C463" s="280"/>
      <c r="D463" s="280"/>
      <c r="E463" s="280"/>
      <c r="F463" s="6"/>
      <c r="G463" s="5"/>
      <c r="H463" s="5"/>
      <c r="I463" s="351"/>
      <c r="J463" s="351"/>
      <c r="K463" s="299"/>
      <c r="L463" s="5"/>
      <c r="M463" s="10"/>
      <c r="P463" s="749"/>
      <c r="R463" s="754"/>
      <c r="S463" s="754"/>
      <c r="T463" s="754"/>
      <c r="U463" s="151"/>
      <c r="V463" s="3"/>
    </row>
    <row r="464" spans="1:22" ht="12.75">
      <c r="A464" s="11"/>
      <c r="B464" s="6" t="s">
        <v>861</v>
      </c>
      <c r="C464" s="6"/>
      <c r="D464" s="6"/>
      <c r="E464" s="331"/>
      <c r="F464" s="332"/>
      <c r="G464" s="333"/>
      <c r="H464" s="332"/>
      <c r="I464" s="351"/>
      <c r="J464" s="351"/>
      <c r="K464" s="334"/>
      <c r="L464" s="334"/>
      <c r="M464" s="10"/>
      <c r="N464" s="6"/>
      <c r="O464" s="8"/>
      <c r="P464" s="947"/>
      <c r="Q464" s="947" t="s">
        <v>702</v>
      </c>
      <c r="R464" s="948"/>
      <c r="S464" s="948"/>
      <c r="T464" s="947"/>
      <c r="U464" s="151"/>
      <c r="V464" s="3"/>
    </row>
    <row r="465" spans="1:22" ht="12.75">
      <c r="A465" s="11"/>
      <c r="B465" s="6"/>
      <c r="C465" s="6"/>
      <c r="D465" s="6"/>
      <c r="E465" s="1450" t="s">
        <v>227</v>
      </c>
      <c r="F465" s="1451"/>
      <c r="G465" s="1323" t="s">
        <v>226</v>
      </c>
      <c r="H465" s="1452"/>
      <c r="I465" s="1440"/>
      <c r="J465" s="1440"/>
      <c r="K465" s="1441" t="s">
        <v>924</v>
      </c>
      <c r="L465" s="1453" t="s">
        <v>701</v>
      </c>
      <c r="M465" s="1454"/>
      <c r="N465" s="6"/>
      <c r="O465" s="1493">
        <f>G466</f>
        <v>2006</v>
      </c>
      <c r="P465" s="1493"/>
      <c r="Q465" s="950">
        <f>E466</f>
        <v>2004</v>
      </c>
      <c r="R465" s="950">
        <f>F466</f>
        <v>2005</v>
      </c>
      <c r="S465" s="948"/>
      <c r="T465" s="948"/>
      <c r="U465" s="151"/>
      <c r="V465" s="3"/>
    </row>
    <row r="466" spans="1:22" ht="12.75">
      <c r="A466" s="22"/>
      <c r="B466" s="23" t="s">
        <v>1564</v>
      </c>
      <c r="C466" s="24"/>
      <c r="D466" s="23"/>
      <c r="E466" s="420">
        <f>$O$8</f>
        <v>2004</v>
      </c>
      <c r="F466" s="420">
        <f>$Q$8</f>
        <v>2005</v>
      </c>
      <c r="G466" s="1373">
        <f>$E$8</f>
        <v>2006</v>
      </c>
      <c r="H466" s="1374"/>
      <c r="I466" s="1440"/>
      <c r="J466" s="1440"/>
      <c r="K466" s="1442"/>
      <c r="L466" s="1455" t="s">
        <v>670</v>
      </c>
      <c r="M466" s="1456"/>
      <c r="N466" s="6"/>
      <c r="O466" s="1462" t="s">
        <v>591</v>
      </c>
      <c r="P466" s="1463"/>
      <c r="Q466" s="949" t="s">
        <v>670</v>
      </c>
      <c r="R466" s="949" t="s">
        <v>670</v>
      </c>
      <c r="S466" s="948"/>
      <c r="T466" s="948"/>
      <c r="U466" s="151"/>
      <c r="V466" s="3"/>
    </row>
    <row r="467" spans="1:22" ht="12.75">
      <c r="A467" s="36">
        <v>1501</v>
      </c>
      <c r="B467" s="37" t="s">
        <v>2202</v>
      </c>
      <c r="C467" s="37"/>
      <c r="D467" s="113" t="s">
        <v>2173</v>
      </c>
      <c r="E467" s="325" t="str">
        <f aca="true" t="shared" si="113" ref="E467:E472">IF(O$17=0," ",O11/$O$17)</f>
        <v> </v>
      </c>
      <c r="F467" s="321" t="str">
        <f aca="true" t="shared" si="114" ref="F467:F472">IF(Q$17=0," ",Q11/$Q$17)</f>
        <v> </v>
      </c>
      <c r="G467" s="1350" t="str">
        <f aca="true" t="shared" si="115" ref="G467:G472">IF(F$17=0," ",F11/$F$17)</f>
        <v> </v>
      </c>
      <c r="H467" s="1351"/>
      <c r="I467" s="323"/>
      <c r="J467" s="324"/>
      <c r="K467" s="412">
        <v>0.1</v>
      </c>
      <c r="L467" s="1448">
        <f aca="true" t="shared" si="116" ref="L467:L472">K467*K11</f>
        <v>6.678000000000001</v>
      </c>
      <c r="M467" s="1449"/>
      <c r="N467" s="6"/>
      <c r="O467" s="1244">
        <f aca="true" t="shared" si="117" ref="O467:O472">K11</f>
        <v>66.78</v>
      </c>
      <c r="P467" s="1245"/>
      <c r="Q467" s="952">
        <f aca="true" t="shared" si="118" ref="Q467:Q472">IF(E467=" ",0,E467*$O467)</f>
        <v>0</v>
      </c>
      <c r="R467" s="952">
        <f aca="true" t="shared" si="119" ref="R467:R472">IF(F467=" ",0,F467*$O467)</f>
        <v>0</v>
      </c>
      <c r="S467" s="948"/>
      <c r="T467" s="948"/>
      <c r="U467" s="151"/>
      <c r="V467" s="3"/>
    </row>
    <row r="468" spans="1:22" ht="12.75">
      <c r="A468" s="39">
        <f aca="true" t="shared" si="120" ref="A468:A476">A467+1</f>
        <v>1502</v>
      </c>
      <c r="B468" s="37" t="s">
        <v>2203</v>
      </c>
      <c r="C468" s="37"/>
      <c r="D468" s="113" t="s">
        <v>1294</v>
      </c>
      <c r="E468" s="325" t="str">
        <f t="shared" si="113"/>
        <v> </v>
      </c>
      <c r="F468" s="321" t="str">
        <f t="shared" si="114"/>
        <v> </v>
      </c>
      <c r="G468" s="1350" t="str">
        <f t="shared" si="115"/>
        <v> </v>
      </c>
      <c r="H468" s="1351"/>
      <c r="I468" s="323"/>
      <c r="J468" s="324"/>
      <c r="K468" s="412">
        <v>0.12</v>
      </c>
      <c r="L468" s="1448">
        <f t="shared" si="116"/>
        <v>9.7308</v>
      </c>
      <c r="M468" s="1449"/>
      <c r="O468" s="1244">
        <f t="shared" si="117"/>
        <v>81.09</v>
      </c>
      <c r="P468" s="1245"/>
      <c r="Q468" s="952">
        <f t="shared" si="118"/>
        <v>0</v>
      </c>
      <c r="R468" s="952">
        <f t="shared" si="119"/>
        <v>0</v>
      </c>
      <c r="S468" s="948"/>
      <c r="T468" s="948"/>
      <c r="U468" s="151"/>
      <c r="V468" s="3"/>
    </row>
    <row r="469" spans="1:22" ht="12.75">
      <c r="A469" s="39">
        <f t="shared" si="120"/>
        <v>1503</v>
      </c>
      <c r="B469" s="37" t="s">
        <v>2204</v>
      </c>
      <c r="C469" s="37"/>
      <c r="D469" s="113" t="s">
        <v>1295</v>
      </c>
      <c r="E469" s="325" t="str">
        <f t="shared" si="113"/>
        <v> </v>
      </c>
      <c r="F469" s="321" t="str">
        <f t="shared" si="114"/>
        <v> </v>
      </c>
      <c r="G469" s="1350" t="str">
        <f t="shared" si="115"/>
        <v> </v>
      </c>
      <c r="H469" s="1351"/>
      <c r="I469" s="323"/>
      <c r="J469" s="324"/>
      <c r="K469" s="412">
        <v>0.11</v>
      </c>
      <c r="L469" s="1448">
        <f t="shared" si="116"/>
        <v>11.561</v>
      </c>
      <c r="M469" s="1449"/>
      <c r="O469" s="1244">
        <f t="shared" si="117"/>
        <v>105.1</v>
      </c>
      <c r="P469" s="1245"/>
      <c r="Q469" s="952">
        <f t="shared" si="118"/>
        <v>0</v>
      </c>
      <c r="R469" s="952">
        <f t="shared" si="119"/>
        <v>0</v>
      </c>
      <c r="S469" s="948"/>
      <c r="T469" s="948"/>
      <c r="U469" s="151"/>
      <c r="V469" s="3"/>
    </row>
    <row r="470" spans="1:22" ht="12.75">
      <c r="A470" s="39">
        <f t="shared" si="120"/>
        <v>1504</v>
      </c>
      <c r="B470" s="37" t="s">
        <v>546</v>
      </c>
      <c r="C470" s="37"/>
      <c r="D470" s="113" t="s">
        <v>1296</v>
      </c>
      <c r="E470" s="325" t="str">
        <f t="shared" si="113"/>
        <v> </v>
      </c>
      <c r="F470" s="321" t="str">
        <f t="shared" si="114"/>
        <v> </v>
      </c>
      <c r="G470" s="1350" t="str">
        <f t="shared" si="115"/>
        <v> </v>
      </c>
      <c r="H470" s="1351"/>
      <c r="I470" s="323"/>
      <c r="J470" s="324"/>
      <c r="K470" s="412">
        <v>0.41</v>
      </c>
      <c r="L470" s="1448">
        <f t="shared" si="116"/>
        <v>46.666199999999996</v>
      </c>
      <c r="M470" s="1449"/>
      <c r="O470" s="1244">
        <f t="shared" si="117"/>
        <v>113.82</v>
      </c>
      <c r="P470" s="1245"/>
      <c r="Q470" s="952">
        <f t="shared" si="118"/>
        <v>0</v>
      </c>
      <c r="R470" s="952">
        <f t="shared" si="119"/>
        <v>0</v>
      </c>
      <c r="S470" s="948"/>
      <c r="T470" s="948"/>
      <c r="U470" s="151"/>
      <c r="V470" s="3"/>
    </row>
    <row r="471" spans="1:22" ht="12.75">
      <c r="A471" s="39">
        <f t="shared" si="120"/>
        <v>1505</v>
      </c>
      <c r="B471" s="37" t="s">
        <v>547</v>
      </c>
      <c r="C471" s="37"/>
      <c r="D471" s="113" t="s">
        <v>1297</v>
      </c>
      <c r="E471" s="325" t="str">
        <f t="shared" si="113"/>
        <v> </v>
      </c>
      <c r="F471" s="321" t="str">
        <f t="shared" si="114"/>
        <v> </v>
      </c>
      <c r="G471" s="1350" t="str">
        <f t="shared" si="115"/>
        <v> </v>
      </c>
      <c r="H471" s="1351"/>
      <c r="I471" s="323"/>
      <c r="J471" s="324"/>
      <c r="K471" s="412">
        <v>0.15</v>
      </c>
      <c r="L471" s="1448">
        <f t="shared" si="116"/>
        <v>22.851</v>
      </c>
      <c r="M471" s="1449"/>
      <c r="O471" s="1244">
        <f t="shared" si="117"/>
        <v>152.34</v>
      </c>
      <c r="P471" s="1245"/>
      <c r="Q471" s="952">
        <f t="shared" si="118"/>
        <v>0</v>
      </c>
      <c r="R471" s="952">
        <f t="shared" si="119"/>
        <v>0</v>
      </c>
      <c r="S471" s="948"/>
      <c r="T471" s="948"/>
      <c r="U471" s="151"/>
      <c r="V471" s="3"/>
    </row>
    <row r="472" spans="1:22" ht="12.75">
      <c r="A472" s="39">
        <f t="shared" si="120"/>
        <v>1506</v>
      </c>
      <c r="B472" s="40" t="s">
        <v>548</v>
      </c>
      <c r="C472" s="40"/>
      <c r="D472" s="113" t="s">
        <v>1298</v>
      </c>
      <c r="E472" s="325" t="str">
        <f t="shared" si="113"/>
        <v> </v>
      </c>
      <c r="F472" s="321" t="str">
        <f t="shared" si="114"/>
        <v> </v>
      </c>
      <c r="G472" s="1350" t="str">
        <f t="shared" si="115"/>
        <v> </v>
      </c>
      <c r="H472" s="1351"/>
      <c r="I472" s="323"/>
      <c r="J472" s="324"/>
      <c r="K472" s="413">
        <v>0.11</v>
      </c>
      <c r="L472" s="1448">
        <f t="shared" si="116"/>
        <v>22.6402</v>
      </c>
      <c r="M472" s="1449"/>
      <c r="O472" s="1244">
        <f t="shared" si="117"/>
        <v>205.82</v>
      </c>
      <c r="P472" s="1245"/>
      <c r="Q472" s="952">
        <f t="shared" si="118"/>
        <v>0</v>
      </c>
      <c r="R472" s="952">
        <f t="shared" si="119"/>
        <v>0</v>
      </c>
      <c r="S472" s="948"/>
      <c r="T472" s="948"/>
      <c r="U472" s="151"/>
      <c r="V472" s="3"/>
    </row>
    <row r="473" spans="1:22" ht="12.75">
      <c r="A473" s="36">
        <f t="shared" si="120"/>
        <v>1507</v>
      </c>
      <c r="B473" s="371" t="s">
        <v>946</v>
      </c>
      <c r="C473" s="371"/>
      <c r="D473" s="371"/>
      <c r="E473" s="426" t="str">
        <f>IF(O17=0," ",SUM(E467:E472))</f>
        <v> </v>
      </c>
      <c r="F473" s="426" t="str">
        <f>IF(Q17=0," ",SUM(F467:F472))</f>
        <v> </v>
      </c>
      <c r="G473" s="1367" t="str">
        <f>IF(F17=0," ",SUM(G467:G472))</f>
        <v> </v>
      </c>
      <c r="H473" s="1367"/>
      <c r="I473" s="323"/>
      <c r="J473" s="324"/>
      <c r="K473" s="426">
        <f>SUM(K467:K472)</f>
        <v>1</v>
      </c>
      <c r="L473" s="1457">
        <f>SUM(L467:M472)</f>
        <v>120.12719999999999</v>
      </c>
      <c r="M473" s="1458"/>
      <c r="O473" s="959"/>
      <c r="P473" s="960"/>
      <c r="Q473" s="952">
        <f>SUM(Q467:Q472)</f>
        <v>0</v>
      </c>
      <c r="R473" s="952">
        <f>SUM(R467:R472)</f>
        <v>0</v>
      </c>
      <c r="S473" s="18"/>
      <c r="T473" s="18"/>
      <c r="U473" s="151"/>
      <c r="V473" s="3"/>
    </row>
    <row r="474" spans="1:22" ht="12.75">
      <c r="A474" s="370">
        <f t="shared" si="120"/>
        <v>1508</v>
      </c>
      <c r="B474" s="327" t="s">
        <v>927</v>
      </c>
      <c r="C474" s="52"/>
      <c r="D474" s="119"/>
      <c r="E474" s="414" t="str">
        <f>IF(O$17=0," ",ROUND(Q473,2))</f>
        <v> </v>
      </c>
      <c r="F474" s="416" t="str">
        <f>IF(Q17=0," ",ROUND(R473,2))</f>
        <v> </v>
      </c>
      <c r="G474" s="1368" t="str">
        <f>IF(F17=0," ",ROUND(L17/F17,2))</f>
        <v> </v>
      </c>
      <c r="H474" s="1369"/>
      <c r="I474" s="376"/>
      <c r="J474" s="377"/>
      <c r="K474" s="378"/>
      <c r="L474" s="374"/>
      <c r="M474" s="21"/>
      <c r="O474" s="960"/>
      <c r="P474" s="960"/>
      <c r="Q474" s="18"/>
      <c r="R474" s="18"/>
      <c r="S474" s="18"/>
      <c r="T474" s="948"/>
      <c r="U474" s="151"/>
      <c r="V474" s="3"/>
    </row>
    <row r="475" spans="1:22" ht="12.75">
      <c r="A475" s="370">
        <f t="shared" si="120"/>
        <v>1509</v>
      </c>
      <c r="B475" s="328" t="s">
        <v>928</v>
      </c>
      <c r="C475" s="52"/>
      <c r="D475" s="119"/>
      <c r="E475" s="526">
        <f>$L$473</f>
        <v>120.12719999999999</v>
      </c>
      <c r="F475" s="526">
        <f>$L$473</f>
        <v>120.12719999999999</v>
      </c>
      <c r="G475" s="1372">
        <f>$L$473</f>
        <v>120.12719999999999</v>
      </c>
      <c r="H475" s="1144"/>
      <c r="I475" s="376"/>
      <c r="J475" s="377"/>
      <c r="K475" s="378"/>
      <c r="L475" s="374"/>
      <c r="M475" s="21"/>
      <c r="N475" s="17"/>
      <c r="O475" s="961"/>
      <c r="P475" s="948"/>
      <c r="Q475" s="948"/>
      <c r="R475" s="948"/>
      <c r="S475" s="948"/>
      <c r="T475" s="948"/>
      <c r="U475" s="151"/>
      <c r="V475" s="3"/>
    </row>
    <row r="476" spans="1:22" ht="12.75">
      <c r="A476" s="370">
        <f t="shared" si="120"/>
        <v>1510</v>
      </c>
      <c r="B476" s="418" t="s">
        <v>925</v>
      </c>
      <c r="C476" s="42"/>
      <c r="D476" s="45"/>
      <c r="E476" s="419" t="str">
        <f>IF(O17=0," ",E474/E475-1)</f>
        <v> </v>
      </c>
      <c r="F476" s="419" t="str">
        <f>IF(Q17=0," ",F474/F475-1)</f>
        <v> </v>
      </c>
      <c r="G476" s="1365" t="str">
        <f>IF(F17=0," ",G474/G475-1)</f>
        <v> </v>
      </c>
      <c r="H476" s="1366"/>
      <c r="I476" s="376"/>
      <c r="J476" s="377"/>
      <c r="K476" s="378"/>
      <c r="L476" s="374"/>
      <c r="M476" s="21"/>
      <c r="N476" s="17"/>
      <c r="O476" s="8"/>
      <c r="P476" s="947"/>
      <c r="Q476" s="947"/>
      <c r="R476" s="947"/>
      <c r="S476" s="947"/>
      <c r="T476" s="947"/>
      <c r="U476" s="151"/>
      <c r="V476" s="3"/>
    </row>
    <row r="477" spans="1:22" ht="12.75">
      <c r="A477" s="421"/>
      <c r="B477" s="422"/>
      <c r="C477" s="340"/>
      <c r="D477" s="340"/>
      <c r="E477" s="423"/>
      <c r="F477" s="423"/>
      <c r="G477" s="423"/>
      <c r="H477" s="423"/>
      <c r="I477" s="376"/>
      <c r="J477" s="377"/>
      <c r="K477" s="378"/>
      <c r="L477" s="374"/>
      <c r="M477" s="21"/>
      <c r="N477" s="17"/>
      <c r="O477" s="8"/>
      <c r="P477" s="947"/>
      <c r="Q477" s="947"/>
      <c r="R477" s="947"/>
      <c r="S477" s="947"/>
      <c r="T477" s="947"/>
      <c r="U477" s="151"/>
      <c r="V477" s="3"/>
    </row>
    <row r="478" spans="1:22" ht="12.75">
      <c r="A478" s="11"/>
      <c r="B478" s="24" t="s">
        <v>2206</v>
      </c>
      <c r="C478" s="24"/>
      <c r="D478" s="24"/>
      <c r="E478" s="364"/>
      <c r="F478" s="364"/>
      <c r="G478" s="1348"/>
      <c r="H478" s="1349"/>
      <c r="I478" s="323"/>
      <c r="J478" s="361"/>
      <c r="K478" s="365"/>
      <c r="L478" s="366"/>
      <c r="M478" s="21"/>
      <c r="N478" s="17"/>
      <c r="O478" s="8"/>
      <c r="P478" s="947"/>
      <c r="Q478" s="947"/>
      <c r="R478" s="947"/>
      <c r="S478" s="947"/>
      <c r="T478" s="947"/>
      <c r="U478" s="151"/>
      <c r="V478" s="3"/>
    </row>
    <row r="479" spans="1:22" ht="12.75">
      <c r="A479" s="36">
        <f>A476+1</f>
        <v>1511</v>
      </c>
      <c r="B479" s="37" t="s">
        <v>549</v>
      </c>
      <c r="C479" s="37"/>
      <c r="D479" s="113" t="s">
        <v>1299</v>
      </c>
      <c r="E479" s="325" t="str">
        <f aca="true" t="shared" si="121" ref="E479:E484">IF(O$26=0," ",O19/($O$26-$O$25))</f>
        <v> </v>
      </c>
      <c r="F479" s="321" t="str">
        <f aca="true" t="shared" si="122" ref="F479:F484">IF(Q$26=0," ",Q19/($Q$26-$Q$25))</f>
        <v> </v>
      </c>
      <c r="G479" s="1350" t="str">
        <f aca="true" t="shared" si="123" ref="G479:G484">IF(F$26=0," ",F19/($F$26-$F$25))</f>
        <v> </v>
      </c>
      <c r="H479" s="1375"/>
      <c r="I479" s="323"/>
      <c r="J479" s="324"/>
      <c r="K479" s="412">
        <v>0.32</v>
      </c>
      <c r="L479" s="1448">
        <f aca="true" t="shared" si="124" ref="L479:L484">K479*K19</f>
        <v>42.992</v>
      </c>
      <c r="M479" s="1449"/>
      <c r="N479" s="17"/>
      <c r="O479" s="1244">
        <f aca="true" t="shared" si="125" ref="O479:O484">K19</f>
        <v>134.35</v>
      </c>
      <c r="P479" s="1245"/>
      <c r="Q479" s="952">
        <f aca="true" t="shared" si="126" ref="Q479:R484">IF(E479=" ",0,E479*$O479)</f>
        <v>0</v>
      </c>
      <c r="R479" s="952">
        <f t="shared" si="126"/>
        <v>0</v>
      </c>
      <c r="S479" s="947"/>
      <c r="T479" s="947"/>
      <c r="U479" s="151"/>
      <c r="V479" s="3"/>
    </row>
    <row r="480" spans="1:22" ht="12.75">
      <c r="A480" s="39">
        <f aca="true" t="shared" si="127" ref="A480:A488">A479+1</f>
        <v>1512</v>
      </c>
      <c r="B480" s="37" t="s">
        <v>550</v>
      </c>
      <c r="C480" s="37"/>
      <c r="D480" s="113" t="s">
        <v>1300</v>
      </c>
      <c r="E480" s="325" t="str">
        <f t="shared" si="121"/>
        <v> </v>
      </c>
      <c r="F480" s="321" t="str">
        <f t="shared" si="122"/>
        <v> </v>
      </c>
      <c r="G480" s="1350" t="str">
        <f t="shared" si="123"/>
        <v> </v>
      </c>
      <c r="H480" s="1375"/>
      <c r="I480" s="323"/>
      <c r="J480" s="324"/>
      <c r="K480" s="412">
        <v>0.02</v>
      </c>
      <c r="L480" s="1448">
        <f t="shared" si="124"/>
        <v>3.6809999999999996</v>
      </c>
      <c r="M480" s="1449"/>
      <c r="O480" s="1244">
        <f t="shared" si="125"/>
        <v>184.04999999999998</v>
      </c>
      <c r="P480" s="1245"/>
      <c r="Q480" s="952">
        <f t="shared" si="126"/>
        <v>0</v>
      </c>
      <c r="R480" s="952">
        <f t="shared" si="126"/>
        <v>0</v>
      </c>
      <c r="S480" s="947"/>
      <c r="T480" s="947"/>
      <c r="U480" s="151"/>
      <c r="V480" s="3"/>
    </row>
    <row r="481" spans="1:22" ht="12.75">
      <c r="A481" s="39">
        <f t="shared" si="127"/>
        <v>1513</v>
      </c>
      <c r="B481" s="37" t="s">
        <v>551</v>
      </c>
      <c r="C481" s="37"/>
      <c r="D481" s="113" t="s">
        <v>1301</v>
      </c>
      <c r="E481" s="325" t="str">
        <f t="shared" si="121"/>
        <v> </v>
      </c>
      <c r="F481" s="321" t="str">
        <f t="shared" si="122"/>
        <v> </v>
      </c>
      <c r="G481" s="1350" t="str">
        <f t="shared" si="123"/>
        <v> </v>
      </c>
      <c r="H481" s="1375"/>
      <c r="I481" s="323"/>
      <c r="J481" s="324"/>
      <c r="K481" s="412">
        <v>0.01</v>
      </c>
      <c r="L481" s="1448">
        <f t="shared" si="124"/>
        <v>1.6606</v>
      </c>
      <c r="M481" s="1449"/>
      <c r="O481" s="1244">
        <f t="shared" si="125"/>
        <v>166.06</v>
      </c>
      <c r="P481" s="1245"/>
      <c r="Q481" s="952">
        <f t="shared" si="126"/>
        <v>0</v>
      </c>
      <c r="R481" s="952">
        <f t="shared" si="126"/>
        <v>0</v>
      </c>
      <c r="S481" s="947"/>
      <c r="T481" s="947"/>
      <c r="U481" s="151"/>
      <c r="V481" s="3"/>
    </row>
    <row r="482" spans="1:22" ht="12.75">
      <c r="A482" s="39">
        <f t="shared" si="127"/>
        <v>1514</v>
      </c>
      <c r="B482" s="37" t="s">
        <v>552</v>
      </c>
      <c r="C482" s="37"/>
      <c r="D482" s="113" t="s">
        <v>1302</v>
      </c>
      <c r="E482" s="325" t="str">
        <f t="shared" si="121"/>
        <v> </v>
      </c>
      <c r="F482" s="321" t="str">
        <f t="shared" si="122"/>
        <v> </v>
      </c>
      <c r="G482" s="1350" t="str">
        <f t="shared" si="123"/>
        <v> </v>
      </c>
      <c r="H482" s="1375"/>
      <c r="I482" s="323"/>
      <c r="J482" s="324"/>
      <c r="K482" s="412">
        <v>0</v>
      </c>
      <c r="L482" s="1448">
        <f t="shared" si="124"/>
        <v>0</v>
      </c>
      <c r="M482" s="1449"/>
      <c r="O482" s="1244">
        <f t="shared" si="125"/>
        <v>215.73</v>
      </c>
      <c r="P482" s="1245"/>
      <c r="Q482" s="952">
        <f t="shared" si="126"/>
        <v>0</v>
      </c>
      <c r="R482" s="952">
        <f t="shared" si="126"/>
        <v>0</v>
      </c>
      <c r="S482" s="947"/>
      <c r="T482" s="947"/>
      <c r="U482" s="151"/>
      <c r="V482" s="3"/>
    </row>
    <row r="483" spans="1:22" ht="12.75">
      <c r="A483" s="39">
        <f t="shared" si="127"/>
        <v>1515</v>
      </c>
      <c r="B483" s="37" t="s">
        <v>553</v>
      </c>
      <c r="C483" s="37"/>
      <c r="D483" s="113" t="s">
        <v>1303</v>
      </c>
      <c r="E483" s="325" t="str">
        <f t="shared" si="121"/>
        <v> </v>
      </c>
      <c r="F483" s="321" t="str">
        <f t="shared" si="122"/>
        <v> </v>
      </c>
      <c r="G483" s="1350" t="str">
        <f t="shared" si="123"/>
        <v> </v>
      </c>
      <c r="H483" s="1375"/>
      <c r="I483" s="323"/>
      <c r="J483" s="324"/>
      <c r="K483" s="412">
        <v>0.33</v>
      </c>
      <c r="L483" s="1448">
        <f t="shared" si="124"/>
        <v>72.1413</v>
      </c>
      <c r="M483" s="1449"/>
      <c r="O483" s="1244">
        <f t="shared" si="125"/>
        <v>218.60999999999999</v>
      </c>
      <c r="P483" s="1245"/>
      <c r="Q483" s="952">
        <f t="shared" si="126"/>
        <v>0</v>
      </c>
      <c r="R483" s="952">
        <f t="shared" si="126"/>
        <v>0</v>
      </c>
      <c r="S483" s="947"/>
      <c r="T483" s="947"/>
      <c r="U483" s="151"/>
      <c r="V483" s="3"/>
    </row>
    <row r="484" spans="1:22" ht="12.75">
      <c r="A484" s="39">
        <f t="shared" si="127"/>
        <v>1516</v>
      </c>
      <c r="B484" s="40" t="s">
        <v>1772</v>
      </c>
      <c r="C484" s="40"/>
      <c r="D484" s="113" t="s">
        <v>1304</v>
      </c>
      <c r="E484" s="325" t="str">
        <f t="shared" si="121"/>
        <v> </v>
      </c>
      <c r="F484" s="321" t="str">
        <f t="shared" si="122"/>
        <v> </v>
      </c>
      <c r="G484" s="1350" t="str">
        <f t="shared" si="123"/>
        <v> </v>
      </c>
      <c r="H484" s="1375"/>
      <c r="I484" s="323"/>
      <c r="J484" s="324"/>
      <c r="K484" s="413">
        <v>0.32</v>
      </c>
      <c r="L484" s="1448">
        <f t="shared" si="124"/>
        <v>89.1232</v>
      </c>
      <c r="M484" s="1449"/>
      <c r="O484" s="1244">
        <f t="shared" si="125"/>
        <v>278.51</v>
      </c>
      <c r="P484" s="1245"/>
      <c r="Q484" s="952">
        <f t="shared" si="126"/>
        <v>0</v>
      </c>
      <c r="R484" s="952">
        <f t="shared" si="126"/>
        <v>0</v>
      </c>
      <c r="S484" s="947"/>
      <c r="T484" s="947"/>
      <c r="U484" s="151"/>
      <c r="V484" s="3"/>
    </row>
    <row r="485" spans="1:22" ht="12.75">
      <c r="A485" s="39">
        <f t="shared" si="127"/>
        <v>1517</v>
      </c>
      <c r="B485" s="371" t="s">
        <v>947</v>
      </c>
      <c r="C485" s="42"/>
      <c r="D485" s="42"/>
      <c r="E485" s="426" t="str">
        <f>IF(O26=0," ",SUM(E479:E484))</f>
        <v> </v>
      </c>
      <c r="F485" s="426" t="str">
        <f>IF(Q26=0," ",SUM(F479:F484))</f>
        <v> </v>
      </c>
      <c r="G485" s="1367" t="str">
        <f>IF(F26=0," ",SUM(G479:G484))</f>
        <v> </v>
      </c>
      <c r="H485" s="1367">
        <f>SUM(H479:H484)</f>
        <v>0</v>
      </c>
      <c r="I485" s="323"/>
      <c r="J485" s="324"/>
      <c r="K485" s="426">
        <f>SUM(K479:K484)</f>
        <v>1</v>
      </c>
      <c r="L485" s="1457">
        <f>SUM(L479:M484)</f>
        <v>209.5981</v>
      </c>
      <c r="M485" s="1458"/>
      <c r="O485" s="18"/>
      <c r="P485" s="953"/>
      <c r="Q485" s="952">
        <f>SUM(Q479:Q484)</f>
        <v>0</v>
      </c>
      <c r="R485" s="952">
        <f>SUM(R479:R484)</f>
        <v>0</v>
      </c>
      <c r="S485" s="947"/>
      <c r="T485" s="947"/>
      <c r="U485" s="151"/>
      <c r="V485" s="3"/>
    </row>
    <row r="486" spans="1:22" ht="12.75">
      <c r="A486" s="39">
        <f t="shared" si="127"/>
        <v>1518</v>
      </c>
      <c r="B486" s="327" t="s">
        <v>927</v>
      </c>
      <c r="C486" s="52"/>
      <c r="D486" s="119"/>
      <c r="E486" s="416" t="str">
        <f>IF(O26=0," ",ROUND(Q485,2))</f>
        <v> </v>
      </c>
      <c r="F486" s="417" t="str">
        <f>IF(Q26=0," ",ROUND(R485,2))</f>
        <v> </v>
      </c>
      <c r="G486" s="1368" t="str">
        <f>IF(F26=0," ",ROUND((L26-L25)/(F26-F25),2))</f>
        <v> </v>
      </c>
      <c r="H486" s="1369"/>
      <c r="I486" s="323"/>
      <c r="J486" s="324"/>
      <c r="K486" s="363"/>
      <c r="L486" s="366"/>
      <c r="M486" s="21"/>
      <c r="O486" s="18"/>
      <c r="P486" s="21"/>
      <c r="Q486" s="18"/>
      <c r="R486" s="18"/>
      <c r="S486" s="947"/>
      <c r="T486" s="947"/>
      <c r="U486" s="151"/>
      <c r="V486" s="3"/>
    </row>
    <row r="487" spans="1:22" ht="12.75">
      <c r="A487" s="39">
        <f t="shared" si="127"/>
        <v>1519</v>
      </c>
      <c r="B487" s="328" t="s">
        <v>928</v>
      </c>
      <c r="C487" s="52"/>
      <c r="D487" s="119"/>
      <c r="E487" s="526">
        <f>$L$485</f>
        <v>209.5981</v>
      </c>
      <c r="F487" s="526">
        <f>$L$485</f>
        <v>209.5981</v>
      </c>
      <c r="G487" s="1372">
        <f>$L$485</f>
        <v>209.5981</v>
      </c>
      <c r="H487" s="1144"/>
      <c r="I487" s="323"/>
      <c r="J487" s="324"/>
      <c r="K487" s="366"/>
      <c r="L487" s="366"/>
      <c r="M487" s="21"/>
      <c r="N487" s="17"/>
      <c r="O487" s="8"/>
      <c r="P487" s="947"/>
      <c r="Q487" s="947"/>
      <c r="R487" s="947"/>
      <c r="S487" s="947"/>
      <c r="T487" s="947"/>
      <c r="U487" s="151"/>
      <c r="V487" s="3"/>
    </row>
    <row r="488" spans="1:22" ht="12.75">
      <c r="A488" s="36">
        <f t="shared" si="127"/>
        <v>1520</v>
      </c>
      <c r="B488" s="418" t="s">
        <v>925</v>
      </c>
      <c r="C488" s="42"/>
      <c r="D488" s="45"/>
      <c r="E488" s="419" t="str">
        <f>IF(O26=0," ",E486/E487-1)</f>
        <v> </v>
      </c>
      <c r="F488" s="419" t="str">
        <f>IF(Q26=0," ",F486/F487-1)</f>
        <v> </v>
      </c>
      <c r="G488" s="1365" t="str">
        <f>IF(F26=0," ",G486/G487-1)</f>
        <v> </v>
      </c>
      <c r="H488" s="1366"/>
      <c r="I488" s="323"/>
      <c r="J488" s="324"/>
      <c r="K488" s="366"/>
      <c r="L488" s="366"/>
      <c r="M488" s="21"/>
      <c r="N488" s="17"/>
      <c r="O488" s="8"/>
      <c r="P488" s="947"/>
      <c r="Q488" s="947"/>
      <c r="R488" s="947"/>
      <c r="S488" s="947"/>
      <c r="T488" s="947"/>
      <c r="U488" s="151"/>
      <c r="V488" s="3"/>
    </row>
    <row r="489" spans="1:22" ht="12.75">
      <c r="A489" s="379"/>
      <c r="B489" s="422"/>
      <c r="C489" s="340"/>
      <c r="D489" s="340"/>
      <c r="E489" s="423"/>
      <c r="F489" s="423"/>
      <c r="G489" s="423"/>
      <c r="H489" s="423"/>
      <c r="I489" s="323"/>
      <c r="J489" s="324"/>
      <c r="K489" s="366"/>
      <c r="L489" s="366"/>
      <c r="M489" s="21"/>
      <c r="N489" s="17"/>
      <c r="O489" s="8"/>
      <c r="P489" s="947"/>
      <c r="Q489" s="947"/>
      <c r="R489" s="947"/>
      <c r="S489" s="947"/>
      <c r="T489" s="947"/>
      <c r="U489" s="151"/>
      <c r="V489" s="3"/>
    </row>
    <row r="490" spans="1:22" ht="12.75">
      <c r="A490" s="11"/>
      <c r="B490" s="24" t="s">
        <v>588</v>
      </c>
      <c r="C490" s="24"/>
      <c r="D490" s="24"/>
      <c r="E490" s="373"/>
      <c r="F490" s="373"/>
      <c r="G490" s="373"/>
      <c r="H490" s="373"/>
      <c r="I490" s="323"/>
      <c r="J490" s="324"/>
      <c r="K490" s="366"/>
      <c r="L490" s="366"/>
      <c r="M490" s="21"/>
      <c r="N490" s="17"/>
      <c r="O490" s="8"/>
      <c r="P490" s="947"/>
      <c r="Q490" s="947"/>
      <c r="R490" s="947"/>
      <c r="S490" s="947"/>
      <c r="T490" s="947"/>
      <c r="U490" s="151"/>
      <c r="V490" s="3"/>
    </row>
    <row r="491" spans="1:22" ht="12.75">
      <c r="A491" s="36">
        <f>A488+1</f>
        <v>1521</v>
      </c>
      <c r="B491" s="37" t="s">
        <v>1571</v>
      </c>
      <c r="C491" s="37"/>
      <c r="D491" s="113" t="s">
        <v>1290</v>
      </c>
      <c r="E491" s="325" t="str">
        <f>IF(O$37=0," ",O28/($O$37-$O$31))</f>
        <v> </v>
      </c>
      <c r="F491" s="325" t="str">
        <f>IF(Q$37=0," ",Q28/($Q$37-$Q$31))</f>
        <v> </v>
      </c>
      <c r="G491" s="1350" t="str">
        <f>IF(F$37=0," ",F28/($F$37-$F$31))</f>
        <v> </v>
      </c>
      <c r="H491" s="1144"/>
      <c r="I491" s="323"/>
      <c r="J491" s="324"/>
      <c r="K491" s="412">
        <v>0.03</v>
      </c>
      <c r="L491" s="1448">
        <f>K491*K28</f>
        <v>2.4597</v>
      </c>
      <c r="M491" s="1449"/>
      <c r="N491" s="17"/>
      <c r="O491" s="1244">
        <f>K28</f>
        <v>81.99000000000001</v>
      </c>
      <c r="P491" s="1245"/>
      <c r="Q491" s="952">
        <f aca="true" t="shared" si="128" ref="Q491:R498">IF(E491=" ",0,E491*$O491)</f>
        <v>0</v>
      </c>
      <c r="R491" s="952">
        <f t="shared" si="128"/>
        <v>0</v>
      </c>
      <c r="S491" s="947"/>
      <c r="T491" s="947"/>
      <c r="U491" s="151"/>
      <c r="V491" s="3"/>
    </row>
    <row r="492" spans="1:22" ht="12.75">
      <c r="A492" s="36">
        <f aca="true" t="shared" si="129" ref="A492:A499">A491+1</f>
        <v>1522</v>
      </c>
      <c r="B492" s="37" t="s">
        <v>1771</v>
      </c>
      <c r="C492" s="37"/>
      <c r="D492" s="113" t="s">
        <v>1291</v>
      </c>
      <c r="E492" s="325" t="str">
        <f>IF(O$37=0," ",O29/($O$37-$O$31))</f>
        <v> </v>
      </c>
      <c r="F492" s="325" t="str">
        <f>IF(Q$37=0," ",Q29/($Q$37-$Q$31))</f>
        <v> </v>
      </c>
      <c r="G492" s="1350" t="str">
        <f>IF(F$37=0," ",F29/($F$37-$F$31))</f>
        <v> </v>
      </c>
      <c r="H492" s="1144"/>
      <c r="I492" s="323"/>
      <c r="J492" s="324"/>
      <c r="K492" s="412">
        <v>0.2</v>
      </c>
      <c r="L492" s="1448">
        <f>K492*K29</f>
        <v>22.445999999999998</v>
      </c>
      <c r="M492" s="1449"/>
      <c r="N492" s="17"/>
      <c r="O492" s="1244">
        <f>K29</f>
        <v>112.22999999999999</v>
      </c>
      <c r="P492" s="1245"/>
      <c r="Q492" s="952">
        <f t="shared" si="128"/>
        <v>0</v>
      </c>
      <c r="R492" s="952">
        <f t="shared" si="128"/>
        <v>0</v>
      </c>
      <c r="S492" s="947"/>
      <c r="T492" s="947"/>
      <c r="U492" s="151"/>
      <c r="V492" s="3"/>
    </row>
    <row r="493" spans="1:22" ht="12.75">
      <c r="A493" s="36">
        <f t="shared" si="129"/>
        <v>1523</v>
      </c>
      <c r="B493" s="37" t="s">
        <v>1770</v>
      </c>
      <c r="C493" s="37"/>
      <c r="D493" s="113" t="s">
        <v>1292</v>
      </c>
      <c r="E493" s="325" t="str">
        <f>IF(O$37=0," ",O30/($O$37-$O$31))</f>
        <v> </v>
      </c>
      <c r="F493" s="325" t="str">
        <f>IF(Q$37=0," ",Q30/($Q$37-$Q$31))</f>
        <v> </v>
      </c>
      <c r="G493" s="1350" t="str">
        <f>IF(F$37=0," ",F30/($F$37-$F$31))</f>
        <v> </v>
      </c>
      <c r="H493" s="1144"/>
      <c r="I493" s="323"/>
      <c r="J493" s="324"/>
      <c r="K493" s="412">
        <v>0.22</v>
      </c>
      <c r="L493" s="1448">
        <f>K493*K30</f>
        <v>38.1502</v>
      </c>
      <c r="M493" s="1449"/>
      <c r="N493" s="17"/>
      <c r="O493" s="1244">
        <f>K30</f>
        <v>173.41</v>
      </c>
      <c r="P493" s="1245"/>
      <c r="Q493" s="952">
        <f t="shared" si="128"/>
        <v>0</v>
      </c>
      <c r="R493" s="952">
        <f t="shared" si="128"/>
        <v>0</v>
      </c>
      <c r="S493" s="947"/>
      <c r="T493" s="947"/>
      <c r="U493" s="151"/>
      <c r="V493" s="3"/>
    </row>
    <row r="494" spans="1:22" ht="12.75">
      <c r="A494" s="36">
        <f t="shared" si="129"/>
        <v>1524</v>
      </c>
      <c r="B494" s="37" t="s">
        <v>1677</v>
      </c>
      <c r="C494" s="37"/>
      <c r="D494" s="113" t="s">
        <v>1305</v>
      </c>
      <c r="E494" s="325" t="str">
        <f>IF(O$37=0," ",O32/($O$37-$O$31))</f>
        <v> </v>
      </c>
      <c r="F494" s="325" t="str">
        <f>IF(Q$37=0," ",Q32/($Q$37-$Q$31))</f>
        <v> </v>
      </c>
      <c r="G494" s="1350" t="str">
        <f>IF(F$37=0," ",F32/($F$37-$F$31))</f>
        <v> </v>
      </c>
      <c r="H494" s="1144"/>
      <c r="I494" s="323"/>
      <c r="J494" s="324"/>
      <c r="K494" s="412">
        <v>0.06</v>
      </c>
      <c r="L494" s="1448">
        <f>K494*K32</f>
        <v>2.5505999999999998</v>
      </c>
      <c r="M494" s="1449"/>
      <c r="N494" s="17"/>
      <c r="O494" s="1244">
        <f>K32</f>
        <v>42.51</v>
      </c>
      <c r="P494" s="1245"/>
      <c r="Q494" s="952">
        <f t="shared" si="128"/>
        <v>0</v>
      </c>
      <c r="R494" s="952">
        <f t="shared" si="128"/>
        <v>0</v>
      </c>
      <c r="S494" s="947"/>
      <c r="T494" s="947"/>
      <c r="U494" s="151"/>
      <c r="V494" s="3"/>
    </row>
    <row r="495" spans="1:22" ht="12.75">
      <c r="A495" s="36">
        <f t="shared" si="129"/>
        <v>1525</v>
      </c>
      <c r="B495" s="37" t="s">
        <v>1771</v>
      </c>
      <c r="C495" s="37"/>
      <c r="D495" s="113" t="s">
        <v>1306</v>
      </c>
      <c r="E495" s="325" t="str">
        <f>IF(O$37=0," ",O33/($O$37-$O$31))</f>
        <v> </v>
      </c>
      <c r="F495" s="325" t="str">
        <f>IF(Q$37=0," ",Q33/($Q$37-$Q$31))</f>
        <v> </v>
      </c>
      <c r="G495" s="1350" t="str">
        <f>IF(F$37=0," ",F33/($F$37-$F$31))</f>
        <v> </v>
      </c>
      <c r="H495" s="1144"/>
      <c r="I495" s="323"/>
      <c r="J495" s="324"/>
      <c r="K495" s="412">
        <v>0.15</v>
      </c>
      <c r="L495" s="1448">
        <f>K495*K33</f>
        <v>14.2545</v>
      </c>
      <c r="M495" s="1449"/>
      <c r="N495" s="17"/>
      <c r="O495" s="1244">
        <f>K33</f>
        <v>95.03</v>
      </c>
      <c r="P495" s="1245"/>
      <c r="Q495" s="952">
        <f t="shared" si="128"/>
        <v>0</v>
      </c>
      <c r="R495" s="952">
        <f t="shared" si="128"/>
        <v>0</v>
      </c>
      <c r="S495" s="947"/>
      <c r="T495" s="947"/>
      <c r="U495" s="151"/>
      <c r="V495" s="3"/>
    </row>
    <row r="496" spans="1:22" ht="12.75">
      <c r="A496" s="36">
        <f t="shared" si="129"/>
        <v>1526</v>
      </c>
      <c r="B496" s="37" t="s">
        <v>1773</v>
      </c>
      <c r="C496" s="37"/>
      <c r="D496" s="113" t="s">
        <v>1307</v>
      </c>
      <c r="E496" s="325" t="str">
        <f>IF(O$37=0," ",O34/($O$37-$O$31))</f>
        <v> </v>
      </c>
      <c r="F496" s="325" t="str">
        <f>IF(Q$37=0," ",Q34/($Q$37-$Q$31))</f>
        <v> </v>
      </c>
      <c r="G496" s="1350" t="str">
        <f>IF(F$37=0," ",F34/($F$37-$F$31))</f>
        <v> </v>
      </c>
      <c r="H496" s="1144"/>
      <c r="I496" s="323"/>
      <c r="J496" s="324"/>
      <c r="K496" s="412">
        <v>0.07</v>
      </c>
      <c r="L496" s="1448">
        <f>K496*K34</f>
        <v>4.3127</v>
      </c>
      <c r="M496" s="1449"/>
      <c r="N496" s="17"/>
      <c r="O496" s="1244">
        <f>K34</f>
        <v>61.61</v>
      </c>
      <c r="P496" s="1245"/>
      <c r="Q496" s="952">
        <f t="shared" si="128"/>
        <v>0</v>
      </c>
      <c r="R496" s="952">
        <f t="shared" si="128"/>
        <v>0</v>
      </c>
      <c r="S496" s="947"/>
      <c r="T496" s="947"/>
      <c r="U496" s="151"/>
      <c r="V496" s="3"/>
    </row>
    <row r="497" spans="1:22" ht="12.75">
      <c r="A497" s="36">
        <f t="shared" si="129"/>
        <v>1527</v>
      </c>
      <c r="B497" s="37" t="s">
        <v>1771</v>
      </c>
      <c r="C497" s="37"/>
      <c r="D497" s="113" t="s">
        <v>1308</v>
      </c>
      <c r="E497" s="325" t="str">
        <f>IF(O$37=0," ",O35/($O$37-$O$31))</f>
        <v> </v>
      </c>
      <c r="F497" s="325" t="str">
        <f>IF(Q$37=0," ",Q35/($Q$37-$Q$31))</f>
        <v> </v>
      </c>
      <c r="G497" s="1350" t="str">
        <f>IF(F$37=0," ",F35/($F$37-$F$31))</f>
        <v> </v>
      </c>
      <c r="H497" s="1144"/>
      <c r="I497" s="323"/>
      <c r="J497" s="324"/>
      <c r="K497" s="412">
        <v>0.17</v>
      </c>
      <c r="L497" s="1448">
        <f>K497*K35</f>
        <v>17.68</v>
      </c>
      <c r="M497" s="1449"/>
      <c r="N497" s="17"/>
      <c r="O497" s="1244">
        <f>K35</f>
        <v>104</v>
      </c>
      <c r="P497" s="1245"/>
      <c r="Q497" s="952">
        <f t="shared" si="128"/>
        <v>0</v>
      </c>
      <c r="R497" s="952">
        <f t="shared" si="128"/>
        <v>0</v>
      </c>
      <c r="S497" s="947"/>
      <c r="T497" s="947"/>
      <c r="U497" s="151"/>
      <c r="V497" s="3"/>
    </row>
    <row r="498" spans="1:22" ht="12.75">
      <c r="A498" s="36">
        <f t="shared" si="129"/>
        <v>1528</v>
      </c>
      <c r="B498" s="40" t="s">
        <v>1774</v>
      </c>
      <c r="C498" s="40"/>
      <c r="D498" s="528" t="s">
        <v>1309</v>
      </c>
      <c r="E498" s="325" t="str">
        <f>IF(O$37=0," ",O36/($O$37-$O$31))</f>
        <v> </v>
      </c>
      <c r="F498" s="325" t="str">
        <f>IF(Q$37=0," ",Q36/($Q$37-$Q$31))</f>
        <v> </v>
      </c>
      <c r="G498" s="1350" t="str">
        <f>IF(F$37=0," ",F36/($F$37-$F$31))</f>
        <v> </v>
      </c>
      <c r="H498" s="1144"/>
      <c r="I498" s="323"/>
      <c r="J498" s="324"/>
      <c r="K498" s="412">
        <v>0.1</v>
      </c>
      <c r="L498" s="1448">
        <f>K498*K36</f>
        <v>14.590000000000002</v>
      </c>
      <c r="M498" s="1449"/>
      <c r="N498" s="17"/>
      <c r="O498" s="1244">
        <f>K36</f>
        <v>145.9</v>
      </c>
      <c r="P498" s="1245"/>
      <c r="Q498" s="952">
        <f t="shared" si="128"/>
        <v>0</v>
      </c>
      <c r="R498" s="952">
        <f t="shared" si="128"/>
        <v>0</v>
      </c>
      <c r="S498" s="947"/>
      <c r="T498" s="947"/>
      <c r="U498" s="151"/>
      <c r="V498" s="3"/>
    </row>
    <row r="499" spans="1:22" ht="12.75">
      <c r="A499" s="36">
        <f t="shared" si="129"/>
        <v>1529</v>
      </c>
      <c r="B499" s="44" t="s">
        <v>703</v>
      </c>
      <c r="C499" s="50"/>
      <c r="D499" s="529"/>
      <c r="E499" s="426" t="str">
        <f>IF(O37=0," ",SUM(E491:E498))</f>
        <v> </v>
      </c>
      <c r="F499" s="426" t="str">
        <f>IF(Q37=0," ",SUM(F491:F498))</f>
        <v> </v>
      </c>
      <c r="G499" s="1365" t="str">
        <f>IF(F37=0," ",SUM(G491:G498))</f>
        <v> </v>
      </c>
      <c r="H499" s="1144"/>
      <c r="I499" s="323"/>
      <c r="J499" s="324"/>
      <c r="K499" s="426">
        <f>SUM(K491:K498)</f>
        <v>1</v>
      </c>
      <c r="L499" s="1457">
        <f>SUM(L491:M498)</f>
        <v>116.4437</v>
      </c>
      <c r="M499" s="1458"/>
      <c r="N499" s="17"/>
      <c r="O499" s="8"/>
      <c r="P499" s="947"/>
      <c r="Q499" s="954">
        <f>SUM(Q491:Q498)</f>
        <v>0</v>
      </c>
      <c r="R499" s="954">
        <f>SUM(R491:R498)</f>
        <v>0</v>
      </c>
      <c r="S499" s="947"/>
      <c r="T499" s="947"/>
      <c r="U499" s="151"/>
      <c r="V499" s="3"/>
    </row>
    <row r="500" spans="1:22" ht="12.75">
      <c r="A500" s="39">
        <f>A499+1</f>
        <v>1530</v>
      </c>
      <c r="B500" s="327" t="s">
        <v>927</v>
      </c>
      <c r="C500" s="52"/>
      <c r="D500" s="119"/>
      <c r="E500" s="416" t="str">
        <f>IF(O37=0," ",ROUND(Q499,2))</f>
        <v> </v>
      </c>
      <c r="F500" s="417" t="str">
        <f>IF(Q37=0," ",ROUND(R499,2))</f>
        <v> </v>
      </c>
      <c r="G500" s="1368" t="str">
        <f>IF(F37=0," ",ROUND((L37-L31)/(F37-F31),2))</f>
        <v> </v>
      </c>
      <c r="H500" s="1369"/>
      <c r="I500" s="323"/>
      <c r="J500" s="324"/>
      <c r="K500" s="366"/>
      <c r="L500" s="366"/>
      <c r="M500" s="21"/>
      <c r="N500" s="17"/>
      <c r="O500" s="8"/>
      <c r="P500" s="947"/>
      <c r="Q500" s="18"/>
      <c r="R500" s="947"/>
      <c r="S500" s="947"/>
      <c r="T500" s="947"/>
      <c r="U500" s="151"/>
      <c r="V500" s="3"/>
    </row>
    <row r="501" spans="1:22" ht="12.75">
      <c r="A501" s="39">
        <f>A500+1</f>
        <v>1531</v>
      </c>
      <c r="B501" s="328" t="s">
        <v>928</v>
      </c>
      <c r="C501" s="52"/>
      <c r="D501" s="119"/>
      <c r="E501" s="526">
        <f>$L$499</f>
        <v>116.4437</v>
      </c>
      <c r="F501" s="526">
        <f>$L$499</f>
        <v>116.4437</v>
      </c>
      <c r="G501" s="1372">
        <f>$L$499</f>
        <v>116.4437</v>
      </c>
      <c r="H501" s="1144"/>
      <c r="I501" s="323"/>
      <c r="J501" s="324"/>
      <c r="K501" s="366"/>
      <c r="L501" s="366"/>
      <c r="M501" s="21"/>
      <c r="N501" s="17"/>
      <c r="O501" s="8"/>
      <c r="P501" s="947"/>
      <c r="Q501" s="947"/>
      <c r="R501" s="947"/>
      <c r="S501" s="947"/>
      <c r="T501" s="947"/>
      <c r="U501" s="151"/>
      <c r="V501" s="3"/>
    </row>
    <row r="502" spans="1:22" ht="12.75">
      <c r="A502" s="36">
        <f>A501+1</f>
        <v>1532</v>
      </c>
      <c r="B502" s="418" t="s">
        <v>925</v>
      </c>
      <c r="C502" s="42"/>
      <c r="D502" s="45"/>
      <c r="E502" s="419" t="str">
        <f>IF(O37=0," ",E500/E501-1)</f>
        <v> </v>
      </c>
      <c r="F502" s="419" t="str">
        <f>IF(Q37=0," ",F500/F501-1)</f>
        <v> </v>
      </c>
      <c r="G502" s="1365" t="str">
        <f>IF(F37=0," ",G500/G501-1)</f>
        <v> </v>
      </c>
      <c r="H502" s="1351" t="str">
        <f>IF(S37=0," ",H500/H501-1)</f>
        <v> </v>
      </c>
      <c r="I502" s="323"/>
      <c r="J502" s="324"/>
      <c r="K502" s="366"/>
      <c r="L502" s="366"/>
      <c r="M502" s="21"/>
      <c r="N502" s="17"/>
      <c r="O502" s="8"/>
      <c r="P502" s="947"/>
      <c r="Q502" s="947"/>
      <c r="R502" s="947"/>
      <c r="S502" s="947"/>
      <c r="T502" s="947"/>
      <c r="U502" s="151"/>
      <c r="V502" s="3"/>
    </row>
    <row r="503" spans="1:22" ht="12.75">
      <c r="A503" s="11"/>
      <c r="B503" s="400"/>
      <c r="C503" s="24"/>
      <c r="D503" s="24"/>
      <c r="E503" s="373"/>
      <c r="F503" s="373"/>
      <c r="G503" s="373"/>
      <c r="H503" s="373"/>
      <c r="I503" s="323"/>
      <c r="J503" s="324"/>
      <c r="K503" s="366"/>
      <c r="L503" s="366"/>
      <c r="M503" s="21"/>
      <c r="N503" s="17"/>
      <c r="O503" s="8"/>
      <c r="P503" s="947"/>
      <c r="Q503" s="947"/>
      <c r="R503" s="947"/>
      <c r="S503" s="947"/>
      <c r="T503" s="947"/>
      <c r="U503" s="151"/>
      <c r="V503" s="3"/>
    </row>
    <row r="504" spans="1:22" ht="12.75">
      <c r="A504" s="11"/>
      <c r="B504" s="78" t="s">
        <v>2292</v>
      </c>
      <c r="C504" s="24"/>
      <c r="D504" s="24"/>
      <c r="E504" s="373"/>
      <c r="F504" s="373"/>
      <c r="G504" s="373"/>
      <c r="H504" s="373"/>
      <c r="I504" s="323"/>
      <c r="J504" s="324"/>
      <c r="K504" s="366"/>
      <c r="L504" s="366"/>
      <c r="M504" s="21"/>
      <c r="N504" s="17"/>
      <c r="O504" s="8"/>
      <c r="P504" s="947"/>
      <c r="Q504" s="947" t="s">
        <v>702</v>
      </c>
      <c r="R504" s="947"/>
      <c r="S504" s="947"/>
      <c r="T504" s="947"/>
      <c r="U504" s="151"/>
      <c r="V504" s="3"/>
    </row>
    <row r="505" spans="1:22" ht="12.75">
      <c r="A505" s="11"/>
      <c r="B505" s="6"/>
      <c r="C505" s="24"/>
      <c r="D505" s="24"/>
      <c r="E505" s="1450" t="s">
        <v>227</v>
      </c>
      <c r="F505" s="1451"/>
      <c r="G505" s="1323" t="s">
        <v>226</v>
      </c>
      <c r="H505" s="1452"/>
      <c r="I505" s="1440"/>
      <c r="J505" s="1440"/>
      <c r="K505" s="1441" t="s">
        <v>924</v>
      </c>
      <c r="L505" s="1453" t="s">
        <v>701</v>
      </c>
      <c r="M505" s="1454"/>
      <c r="N505" s="17"/>
      <c r="O505" s="1493">
        <f>G506</f>
        <v>2006</v>
      </c>
      <c r="P505" s="1493"/>
      <c r="Q505" s="950">
        <f>E506</f>
        <v>2004</v>
      </c>
      <c r="R505" s="950">
        <f>F506</f>
        <v>2005</v>
      </c>
      <c r="S505" s="457"/>
      <c r="T505" s="457"/>
      <c r="U505" s="151"/>
      <c r="V505" s="3"/>
    </row>
    <row r="506" spans="1:22" ht="12.75">
      <c r="A506" s="11"/>
      <c r="B506" s="24" t="s">
        <v>948</v>
      </c>
      <c r="C506" s="24"/>
      <c r="D506" s="24"/>
      <c r="E506" s="420">
        <f>$O$8</f>
        <v>2004</v>
      </c>
      <c r="F506" s="420">
        <f>$Q$8</f>
        <v>2005</v>
      </c>
      <c r="G506" s="1373">
        <f>$E$8</f>
        <v>2006</v>
      </c>
      <c r="H506" s="1374"/>
      <c r="I506" s="1440"/>
      <c r="J506" s="1440"/>
      <c r="K506" s="1442"/>
      <c r="L506" s="1455" t="s">
        <v>670</v>
      </c>
      <c r="M506" s="1456"/>
      <c r="N506" s="17"/>
      <c r="O506" s="1462" t="s">
        <v>591</v>
      </c>
      <c r="P506" s="1463"/>
      <c r="Q506" s="949" t="s">
        <v>670</v>
      </c>
      <c r="R506" s="949" t="s">
        <v>670</v>
      </c>
      <c r="S506" s="457"/>
      <c r="T506" s="457"/>
      <c r="U506" s="151"/>
      <c r="V506" s="3"/>
    </row>
    <row r="507" spans="1:22" ht="12.75">
      <c r="A507" s="36">
        <v>1601</v>
      </c>
      <c r="B507" s="37" t="s">
        <v>1571</v>
      </c>
      <c r="C507" s="37"/>
      <c r="D507" s="113" t="s">
        <v>1290</v>
      </c>
      <c r="E507" s="325" t="str">
        <f>IF(O$37=0," ",O28/SUM($O$28:$O$30))</f>
        <v> </v>
      </c>
      <c r="F507" s="321" t="str">
        <f>IF(SUM($Q$28:$Q$30)=0," ",Q28/SUM($Q$28:$Q$30))</f>
        <v> </v>
      </c>
      <c r="G507" s="1370" t="str">
        <f>IF(SUM($F$28:$F$30)=0," ",F28/SUM($F$28:F$30))</f>
        <v> </v>
      </c>
      <c r="H507" s="1371"/>
      <c r="I507" s="323"/>
      <c r="J507" s="324"/>
      <c r="K507" s="412">
        <v>0.07</v>
      </c>
      <c r="L507" s="1448">
        <f>K507*K28</f>
        <v>5.739300000000001</v>
      </c>
      <c r="M507" s="1449"/>
      <c r="N507" s="17"/>
      <c r="O507" s="1244">
        <f>K28</f>
        <v>81.99000000000001</v>
      </c>
      <c r="P507" s="1245"/>
      <c r="Q507" s="952">
        <f aca="true" t="shared" si="130" ref="Q507:R509">IF(E507=" ",0,E507*$O507)</f>
        <v>0</v>
      </c>
      <c r="R507" s="952">
        <f t="shared" si="130"/>
        <v>0</v>
      </c>
      <c r="S507" s="457"/>
      <c r="T507" s="457"/>
      <c r="U507" s="151"/>
      <c r="V507" s="3"/>
    </row>
    <row r="508" spans="1:22" ht="12.75">
      <c r="A508" s="39">
        <f aca="true" t="shared" si="131" ref="A508:A523">A507+1</f>
        <v>1602</v>
      </c>
      <c r="B508" s="37" t="s">
        <v>1771</v>
      </c>
      <c r="C508" s="37"/>
      <c r="D508" s="113" t="s">
        <v>1291</v>
      </c>
      <c r="E508" s="325" t="str">
        <f>IF(O$37=0," ",O29/SUM($O$28:$O$30))</f>
        <v> </v>
      </c>
      <c r="F508" s="321" t="str">
        <f>IF(SUM($Q$28:$Q$30)=0," ",Q29/SUM($Q$28:$Q$30))</f>
        <v> </v>
      </c>
      <c r="G508" s="1370" t="str">
        <f>IF(SUM($F$28:$F$30)=0," ",F29/SUM($F$28:F$30))</f>
        <v> </v>
      </c>
      <c r="H508" s="1371"/>
      <c r="I508" s="323"/>
      <c r="J508" s="324"/>
      <c r="K508" s="412">
        <v>0.44</v>
      </c>
      <c r="L508" s="1448">
        <f>K508*K29</f>
        <v>49.38119999999999</v>
      </c>
      <c r="M508" s="1449"/>
      <c r="O508" s="1244">
        <f>K29</f>
        <v>112.22999999999999</v>
      </c>
      <c r="P508" s="1245"/>
      <c r="Q508" s="952">
        <f t="shared" si="130"/>
        <v>0</v>
      </c>
      <c r="R508" s="952">
        <f t="shared" si="130"/>
        <v>0</v>
      </c>
      <c r="S508" s="457"/>
      <c r="T508" s="457"/>
      <c r="U508" s="151"/>
      <c r="V508" s="3"/>
    </row>
    <row r="509" spans="1:22" ht="12.75">
      <c r="A509" s="39">
        <f t="shared" si="131"/>
        <v>1603</v>
      </c>
      <c r="B509" s="37" t="s">
        <v>1770</v>
      </c>
      <c r="C509" s="37"/>
      <c r="D509" s="113" t="s">
        <v>1292</v>
      </c>
      <c r="E509" s="325" t="str">
        <f>IF(O$37=0," ",O30/SUM($O$28:$O$30))</f>
        <v> </v>
      </c>
      <c r="F509" s="321" t="str">
        <f>IF(SUM($Q$28:$Q$30)=0," ",Q30/SUM($Q$28:$Q$30))</f>
        <v> </v>
      </c>
      <c r="G509" s="1370" t="str">
        <f>IF(SUM($F$28:$F$30)=0," ",F30/SUM($F$28:F$30))</f>
        <v> </v>
      </c>
      <c r="H509" s="1371"/>
      <c r="I509" s="323"/>
      <c r="J509" s="324"/>
      <c r="K509" s="413">
        <v>0.49</v>
      </c>
      <c r="L509" s="1448">
        <f>K509*K30</f>
        <v>84.9709</v>
      </c>
      <c r="M509" s="1449"/>
      <c r="N509" s="17"/>
      <c r="O509" s="1244">
        <f>K30</f>
        <v>173.41</v>
      </c>
      <c r="P509" s="1245"/>
      <c r="Q509" s="952">
        <f t="shared" si="130"/>
        <v>0</v>
      </c>
      <c r="R509" s="952">
        <f t="shared" si="130"/>
        <v>0</v>
      </c>
      <c r="S509" s="457"/>
      <c r="T509" s="457"/>
      <c r="U509" s="151"/>
      <c r="V509" s="3"/>
    </row>
    <row r="510" spans="1:22" ht="12.75">
      <c r="A510" s="39">
        <f t="shared" si="131"/>
        <v>1604</v>
      </c>
      <c r="B510" s="42" t="s">
        <v>2290</v>
      </c>
      <c r="C510" s="42"/>
      <c r="D510" s="42"/>
      <c r="E510" s="426" t="str">
        <f>IF(O37=0," ",SUM(E507:E509))</f>
        <v> </v>
      </c>
      <c r="F510" s="426" t="str">
        <f>IF(Q37=0," ",SUM(F507:F509))</f>
        <v> </v>
      </c>
      <c r="G510" s="1367" t="str">
        <f>IF(F37=0," ",SUM(G507:H509))</f>
        <v> </v>
      </c>
      <c r="H510" s="1367"/>
      <c r="I510" s="323"/>
      <c r="J510" s="324"/>
      <c r="K510" s="426">
        <f>SUM(K507:K509)</f>
        <v>1</v>
      </c>
      <c r="L510" s="1457">
        <f>SUM(L507:M509)</f>
        <v>140.0914</v>
      </c>
      <c r="M510" s="1458"/>
      <c r="N510" s="17"/>
      <c r="O510" s="8"/>
      <c r="P510" s="947"/>
      <c r="Q510" s="952">
        <f>SUM(Q507:Q509)</f>
        <v>0</v>
      </c>
      <c r="R510" s="952">
        <f>SUM(R507:R509)</f>
        <v>0</v>
      </c>
      <c r="S510" s="457"/>
      <c r="T510" s="457"/>
      <c r="U510" s="151"/>
      <c r="V510" s="3"/>
    </row>
    <row r="511" spans="1:22" ht="12.75">
      <c r="A511" s="39">
        <f>A510+1</f>
        <v>1605</v>
      </c>
      <c r="B511" s="327" t="s">
        <v>927</v>
      </c>
      <c r="C511" s="52"/>
      <c r="D511" s="119"/>
      <c r="E511" s="415" t="str">
        <f>IF(O$37=0," ",ROUND(Q510,2))</f>
        <v> </v>
      </c>
      <c r="F511" s="417" t="str">
        <f>IF(SUM(Q28:Q30)=0," ",ROUND(R510,2))</f>
        <v> </v>
      </c>
      <c r="G511" s="1439" t="str">
        <f>IF(SUM(F28:F30)=0," ",ROUND((SUM(L28:M30))/(SUM(F28:F30)),2))</f>
        <v> </v>
      </c>
      <c r="H511" s="1144"/>
      <c r="I511" s="323"/>
      <c r="J511" s="324"/>
      <c r="K511" s="366"/>
      <c r="L511" s="366"/>
      <c r="M511" s="21"/>
      <c r="N511" s="17"/>
      <c r="O511" s="8"/>
      <c r="P511" s="947"/>
      <c r="Q511" s="18"/>
      <c r="R511" s="18"/>
      <c r="S511" s="456"/>
      <c r="T511" s="456"/>
      <c r="U511" s="151"/>
      <c r="V511" s="3"/>
    </row>
    <row r="512" spans="1:22" ht="12.75">
      <c r="A512" s="39">
        <f>A511+1</f>
        <v>1606</v>
      </c>
      <c r="B512" s="328" t="s">
        <v>928</v>
      </c>
      <c r="C512" s="52"/>
      <c r="D512" s="119"/>
      <c r="E512" s="526">
        <f>$L$510</f>
        <v>140.0914</v>
      </c>
      <c r="F512" s="526">
        <f>$L$510</f>
        <v>140.0914</v>
      </c>
      <c r="G512" s="1372">
        <f>$L$510</f>
        <v>140.0914</v>
      </c>
      <c r="H512" s="1144"/>
      <c r="I512" s="323"/>
      <c r="J512" s="324"/>
      <c r="K512" s="366"/>
      <c r="L512" s="366"/>
      <c r="M512" s="21"/>
      <c r="N512" s="17"/>
      <c r="O512" s="8"/>
      <c r="P512" s="947"/>
      <c r="Q512" s="947"/>
      <c r="R512" s="947"/>
      <c r="S512" s="457"/>
      <c r="T512" s="457"/>
      <c r="U512" s="151"/>
      <c r="V512" s="3"/>
    </row>
    <row r="513" spans="1:22" ht="12.75">
      <c r="A513" s="36">
        <f>A512+1</f>
        <v>1607</v>
      </c>
      <c r="B513" s="418" t="s">
        <v>925</v>
      </c>
      <c r="C513" s="42"/>
      <c r="D513" s="45"/>
      <c r="E513" s="419" t="str">
        <f>IF(O37=0," ",E511/E512-1)</f>
        <v> </v>
      </c>
      <c r="F513" s="419" t="str">
        <f>IF(SUM(Q28:Q30)=0," ",F511/F512-1)</f>
        <v> </v>
      </c>
      <c r="G513" s="1365" t="str">
        <f>IF(SUM(F28:F30)=0," ",G511/G512-1)</f>
        <v> </v>
      </c>
      <c r="H513" s="1366"/>
      <c r="I513" s="323"/>
      <c r="J513" s="324"/>
      <c r="K513" s="366"/>
      <c r="L513" s="366"/>
      <c r="M513" s="21"/>
      <c r="N513" s="17"/>
      <c r="O513" s="8"/>
      <c r="P513" s="947"/>
      <c r="Q513" s="947"/>
      <c r="R513" s="947"/>
      <c r="S513" s="457"/>
      <c r="T513" s="457"/>
      <c r="U513" s="151"/>
      <c r="V513" s="3"/>
    </row>
    <row r="514" spans="1:22" ht="12.75">
      <c r="A514" s="11"/>
      <c r="B514" s="24" t="s">
        <v>2289</v>
      </c>
      <c r="C514" s="424"/>
      <c r="D514" s="425"/>
      <c r="E514" s="364"/>
      <c r="F514" s="364"/>
      <c r="G514" s="364"/>
      <c r="H514" s="411"/>
      <c r="I514" s="323"/>
      <c r="J514" s="324"/>
      <c r="K514"/>
      <c r="L514" s="366"/>
      <c r="M514" s="21"/>
      <c r="N514" s="17"/>
      <c r="O514" s="8"/>
      <c r="P514" s="947"/>
      <c r="Q514" s="947"/>
      <c r="R514" s="947"/>
      <c r="S514" s="457"/>
      <c r="T514" s="457"/>
      <c r="U514" s="151"/>
      <c r="V514" s="3"/>
    </row>
    <row r="515" spans="1:22" ht="12.75">
      <c r="A515" s="39">
        <f>A513+1</f>
        <v>1608</v>
      </c>
      <c r="B515" s="37" t="s">
        <v>1677</v>
      </c>
      <c r="C515" s="37"/>
      <c r="D515" s="113" t="s">
        <v>1305</v>
      </c>
      <c r="E515" s="325" t="str">
        <f>IF(SUM($O$32:$O$36)=0," ",O32/SUM($O$32:$O$36))</f>
        <v> </v>
      </c>
      <c r="F515" s="321" t="str">
        <f>IF(Q$37=0," ",Q32/SUM($Q$32:$Q$36))</f>
        <v> </v>
      </c>
      <c r="G515" s="1350" t="str">
        <f>IF(F$37=0," ",F32/SUM($F$32:$F$36))</f>
        <v> </v>
      </c>
      <c r="H515" s="1351"/>
      <c r="I515" s="323"/>
      <c r="J515" s="324"/>
      <c r="K515" s="412">
        <v>0.1</v>
      </c>
      <c r="L515" s="1448">
        <f>K515*K32</f>
        <v>4.251</v>
      </c>
      <c r="M515" s="1449"/>
      <c r="N515" s="17"/>
      <c r="O515" s="1244">
        <f>K32</f>
        <v>42.51</v>
      </c>
      <c r="P515" s="1245"/>
      <c r="Q515" s="952">
        <f aca="true" t="shared" si="132" ref="Q515:R519">IF(E515=" ",0,E515*$O515)</f>
        <v>0</v>
      </c>
      <c r="R515" s="952">
        <f t="shared" si="132"/>
        <v>0</v>
      </c>
      <c r="S515" s="457"/>
      <c r="T515" s="457"/>
      <c r="U515" s="151"/>
      <c r="V515" s="3"/>
    </row>
    <row r="516" spans="1:22" ht="12.75">
      <c r="A516" s="39">
        <f>A515+1</f>
        <v>1609</v>
      </c>
      <c r="B516" s="37" t="s">
        <v>1771</v>
      </c>
      <c r="C516" s="37"/>
      <c r="D516" s="113" t="s">
        <v>1306</v>
      </c>
      <c r="E516" s="325" t="str">
        <f>IF(SUM($O$32:$O$36)=0," ",O33/SUM($O$32:$O$36))</f>
        <v> </v>
      </c>
      <c r="F516" s="321" t="str">
        <f>IF(Q$37=0," ",Q33/SUM($Q$32:$Q$36))</f>
        <v> </v>
      </c>
      <c r="G516" s="1350" t="str">
        <f>IF(F$37=0," ",F33/SUM($F$32:$F$36))</f>
        <v> </v>
      </c>
      <c r="H516" s="1351"/>
      <c r="I516" s="323"/>
      <c r="J516" s="324"/>
      <c r="K516" s="412">
        <v>0.28</v>
      </c>
      <c r="L516" s="1448">
        <f>K516*K33</f>
        <v>26.608400000000003</v>
      </c>
      <c r="M516" s="1449"/>
      <c r="N516" s="17"/>
      <c r="O516" s="1244">
        <f>K33</f>
        <v>95.03</v>
      </c>
      <c r="P516" s="1245"/>
      <c r="Q516" s="952">
        <f t="shared" si="132"/>
        <v>0</v>
      </c>
      <c r="R516" s="952">
        <f t="shared" si="132"/>
        <v>0</v>
      </c>
      <c r="S516" s="457"/>
      <c r="T516" s="457"/>
      <c r="U516" s="151"/>
      <c r="V516" s="3"/>
    </row>
    <row r="517" spans="1:22" ht="12.75">
      <c r="A517" s="39">
        <f t="shared" si="131"/>
        <v>1610</v>
      </c>
      <c r="B517" s="37" t="s">
        <v>1773</v>
      </c>
      <c r="C517" s="37"/>
      <c r="D517" s="113" t="s">
        <v>1307</v>
      </c>
      <c r="E517" s="325" t="str">
        <f>IF(SUM($O$32:$O$36)=0," ",O34/SUM($O$32:$O$36))</f>
        <v> </v>
      </c>
      <c r="F517" s="321" t="str">
        <f>IF(Q$37=0," ",Q34/SUM($Q$32:$Q$36))</f>
        <v> </v>
      </c>
      <c r="G517" s="1350" t="str">
        <f>IF(F$37=0," ",F34/SUM($F$32:$F$36))</f>
        <v> </v>
      </c>
      <c r="H517" s="1351"/>
      <c r="I517" s="323"/>
      <c r="J517" s="324"/>
      <c r="K517" s="412">
        <v>0.13</v>
      </c>
      <c r="L517" s="1448">
        <f>K517*K34</f>
        <v>8.0093</v>
      </c>
      <c r="M517" s="1449"/>
      <c r="N517" s="17"/>
      <c r="O517" s="1244">
        <f>K34</f>
        <v>61.61</v>
      </c>
      <c r="P517" s="1245"/>
      <c r="Q517" s="952">
        <f t="shared" si="132"/>
        <v>0</v>
      </c>
      <c r="R517" s="952">
        <f t="shared" si="132"/>
        <v>0</v>
      </c>
      <c r="S517" s="457"/>
      <c r="T517" s="457"/>
      <c r="U517" s="151"/>
      <c r="V517" s="3"/>
    </row>
    <row r="518" spans="1:22" ht="12.75">
      <c r="A518" s="39">
        <f t="shared" si="131"/>
        <v>1611</v>
      </c>
      <c r="B518" s="37" t="s">
        <v>1771</v>
      </c>
      <c r="C518" s="37"/>
      <c r="D518" s="113" t="s">
        <v>1308</v>
      </c>
      <c r="E518" s="325" t="str">
        <f>IF(SUM($O$32:$O$36)=0," ",O35/SUM($O$32:$O$36))</f>
        <v> </v>
      </c>
      <c r="F518" s="321" t="str">
        <f>IF(Q$37=0," ",Q35/SUM($Q$32:$Q$36))</f>
        <v> </v>
      </c>
      <c r="G518" s="1350" t="str">
        <f>IF(F$37=0," ",F35/SUM($F$32:$F$36))</f>
        <v> </v>
      </c>
      <c r="H518" s="1351"/>
      <c r="I518" s="323"/>
      <c r="J518" s="324"/>
      <c r="K518" s="412">
        <v>0.3</v>
      </c>
      <c r="L518" s="1448">
        <f>K518*K35</f>
        <v>31.2</v>
      </c>
      <c r="M518" s="1449"/>
      <c r="N518" s="17"/>
      <c r="O518" s="1244">
        <f>K35</f>
        <v>104</v>
      </c>
      <c r="P518" s="1245"/>
      <c r="Q518" s="952">
        <f t="shared" si="132"/>
        <v>0</v>
      </c>
      <c r="R518" s="952">
        <f t="shared" si="132"/>
        <v>0</v>
      </c>
      <c r="S518" s="457"/>
      <c r="T518" s="457"/>
      <c r="U518" s="151"/>
      <c r="V518" s="3"/>
    </row>
    <row r="519" spans="1:22" ht="12.75">
      <c r="A519" s="39">
        <f t="shared" si="131"/>
        <v>1612</v>
      </c>
      <c r="B519" s="40" t="s">
        <v>1774</v>
      </c>
      <c r="C519" s="40"/>
      <c r="D519" s="113" t="s">
        <v>1309</v>
      </c>
      <c r="E519" s="325" t="str">
        <f>IF(SUM($O$32:$O$36)=0," ",O36/SUM($O$32:$O$36))</f>
        <v> </v>
      </c>
      <c r="F519" s="321" t="str">
        <f>IF(Q$37=0," ",Q36/SUM($Q$32:$Q$36))</f>
        <v> </v>
      </c>
      <c r="G519" s="1350" t="str">
        <f>IF(F$37=0," ",F36/SUM($F$32:$F$36))</f>
        <v> </v>
      </c>
      <c r="H519" s="1351"/>
      <c r="I519" s="323"/>
      <c r="J519" s="324"/>
      <c r="K519" s="413">
        <v>0.19</v>
      </c>
      <c r="L519" s="1448">
        <f>K519*K36</f>
        <v>27.721</v>
      </c>
      <c r="M519" s="1449"/>
      <c r="N519" s="17"/>
      <c r="O519" s="1244">
        <f>K36</f>
        <v>145.9</v>
      </c>
      <c r="P519" s="1245"/>
      <c r="Q519" s="952">
        <f t="shared" si="132"/>
        <v>0</v>
      </c>
      <c r="R519" s="952">
        <f t="shared" si="132"/>
        <v>0</v>
      </c>
      <c r="S519" s="457"/>
      <c r="T519" s="457"/>
      <c r="U519" s="151"/>
      <c r="V519" s="3"/>
    </row>
    <row r="520" spans="1:22" ht="12.75">
      <c r="A520" s="39">
        <f t="shared" si="131"/>
        <v>1613</v>
      </c>
      <c r="B520" s="42" t="s">
        <v>2291</v>
      </c>
      <c r="C520" s="42"/>
      <c r="D520" s="42"/>
      <c r="E520" s="426" t="str">
        <f>IF(O37=0," ",SUM(E515:E519))</f>
        <v> </v>
      </c>
      <c r="F520" s="426" t="str">
        <f>IF(Q37=0," ",SUM(F515:F519))</f>
        <v> </v>
      </c>
      <c r="G520" s="1367" t="str">
        <f>IF(F37=0," ",SUM(G515:G519))</f>
        <v> </v>
      </c>
      <c r="H520" s="1367">
        <f>SUM(H509:H519)</f>
        <v>0</v>
      </c>
      <c r="I520" s="323"/>
      <c r="J520" s="324"/>
      <c r="K520" s="426">
        <f>SUM(K515:K519)</f>
        <v>1</v>
      </c>
      <c r="L520" s="1457">
        <f>SUM(L515:M519)</f>
        <v>97.78970000000001</v>
      </c>
      <c r="M520" s="1458"/>
      <c r="N520" s="17"/>
      <c r="O520" s="8"/>
      <c r="P520" s="947"/>
      <c r="Q520" s="954">
        <f>SUM(Q515:Q519)</f>
        <v>0</v>
      </c>
      <c r="R520" s="954">
        <f>SUM(R515:R519)</f>
        <v>0</v>
      </c>
      <c r="S520" s="457"/>
      <c r="T520" s="457"/>
      <c r="U520" s="151"/>
      <c r="V520" s="3"/>
    </row>
    <row r="521" spans="1:22" ht="12.75">
      <c r="A521" s="39">
        <f t="shared" si="131"/>
        <v>1614</v>
      </c>
      <c r="B521" s="327" t="s">
        <v>927</v>
      </c>
      <c r="C521" s="52"/>
      <c r="D521" s="119"/>
      <c r="E521" s="415" t="str">
        <f>IF(O$37=0," ",ROUND(Q520,2))</f>
        <v> </v>
      </c>
      <c r="F521" s="417" t="str">
        <f>IF(Q$37=0," ",ROUND(R520,2))</f>
        <v> </v>
      </c>
      <c r="G521" s="1439" t="str">
        <f>IF(F$37=0," ",ROUND((SUM(L32:M36))/(SUM(F32:F36)),2))</f>
        <v> </v>
      </c>
      <c r="H521" s="1144"/>
      <c r="I521" s="323"/>
      <c r="J521" s="324"/>
      <c r="K521" s="366"/>
      <c r="L521" s="366"/>
      <c r="M521" s="10"/>
      <c r="N521" s="17"/>
      <c r="O521" s="8"/>
      <c r="P521" s="947"/>
      <c r="Q521" s="18"/>
      <c r="R521" s="947"/>
      <c r="S521" s="457"/>
      <c r="T521" s="457"/>
      <c r="U521" s="151"/>
      <c r="V521" s="3"/>
    </row>
    <row r="522" spans="1:22" ht="12.75">
      <c r="A522" s="39">
        <f t="shared" si="131"/>
        <v>1615</v>
      </c>
      <c r="B522" s="328" t="s">
        <v>928</v>
      </c>
      <c r="C522" s="52"/>
      <c r="D522" s="119"/>
      <c r="E522" s="526">
        <f>$L$520</f>
        <v>97.78970000000001</v>
      </c>
      <c r="F522" s="526">
        <f>$L$520</f>
        <v>97.78970000000001</v>
      </c>
      <c r="G522" s="1372">
        <f>$L$520</f>
        <v>97.78970000000001</v>
      </c>
      <c r="H522" s="1144"/>
      <c r="I522" s="323"/>
      <c r="J522" s="324"/>
      <c r="K522" s="366"/>
      <c r="L522" s="366"/>
      <c r="M522" s="10"/>
      <c r="N522" s="6"/>
      <c r="O522" s="8"/>
      <c r="P522" s="947"/>
      <c r="Q522" s="947"/>
      <c r="R522" s="947"/>
      <c r="S522" s="457"/>
      <c r="T522" s="457"/>
      <c r="U522" s="151"/>
      <c r="V522" s="3"/>
    </row>
    <row r="523" spans="1:22" ht="12.75">
      <c r="A523" s="36">
        <f t="shared" si="131"/>
        <v>1616</v>
      </c>
      <c r="B523" s="418" t="s">
        <v>925</v>
      </c>
      <c r="C523" s="42"/>
      <c r="D523" s="45"/>
      <c r="E523" s="419" t="str">
        <f>IF(O37=0," ",E521/E522-1)</f>
        <v> </v>
      </c>
      <c r="F523" s="419" t="str">
        <f>IF(Q37=0," ",F521/F522-1)</f>
        <v> </v>
      </c>
      <c r="G523" s="1365" t="str">
        <f>IF(F37=0," ",G521/G522-1)</f>
        <v> </v>
      </c>
      <c r="H523" s="1366"/>
      <c r="I523" s="323"/>
      <c r="J523" s="324"/>
      <c r="K523" s="366"/>
      <c r="L523" s="366"/>
      <c r="M523" s="10"/>
      <c r="N523" s="6"/>
      <c r="O523" s="8"/>
      <c r="P523" s="947"/>
      <c r="Q523" s="947"/>
      <c r="R523" s="947"/>
      <c r="S523" s="457"/>
      <c r="T523" s="457"/>
      <c r="U523" s="151"/>
      <c r="V523" s="3"/>
    </row>
    <row r="524" spans="1:25" s="369" customFormat="1" ht="4.5" customHeight="1">
      <c r="A524" s="11"/>
      <c r="B524" s="400"/>
      <c r="C524" s="24"/>
      <c r="D524" s="24"/>
      <c r="E524" s="373"/>
      <c r="F524" s="373"/>
      <c r="G524" s="373"/>
      <c r="H524" s="373"/>
      <c r="I524" s="323"/>
      <c r="J524" s="324"/>
      <c r="K524" s="374"/>
      <c r="L524" s="374"/>
      <c r="M524" s="16"/>
      <c r="N524" s="6"/>
      <c r="O524" s="8"/>
      <c r="P524" s="947"/>
      <c r="Q524" s="947"/>
      <c r="R524" s="947"/>
      <c r="S524" s="457"/>
      <c r="T524" s="457"/>
      <c r="U524" s="151"/>
      <c r="V524" s="3"/>
      <c r="X524" s="915"/>
      <c r="Y524" s="920"/>
    </row>
    <row r="525" spans="1:25" s="369" customFormat="1" ht="12.75">
      <c r="A525" s="11"/>
      <c r="B525" s="24" t="s">
        <v>1567</v>
      </c>
      <c r="C525" s="24"/>
      <c r="D525" s="24"/>
      <c r="E525" s="373"/>
      <c r="F525" s="373"/>
      <c r="G525" s="373"/>
      <c r="H525" s="373"/>
      <c r="I525" s="323"/>
      <c r="J525" s="324"/>
      <c r="K525" s="374"/>
      <c r="L525" s="374"/>
      <c r="M525" s="16"/>
      <c r="N525" s="6"/>
      <c r="O525" s="8"/>
      <c r="P525" s="947"/>
      <c r="Q525" s="947"/>
      <c r="R525" s="947"/>
      <c r="S525" s="457"/>
      <c r="T525" s="457"/>
      <c r="U525" s="151"/>
      <c r="V525" s="3"/>
      <c r="X525" s="915"/>
      <c r="Y525" s="920"/>
    </row>
    <row r="526" spans="1:25" s="369" customFormat="1" ht="12.75">
      <c r="A526" s="36">
        <f>A523+1</f>
        <v>1617</v>
      </c>
      <c r="B526" s="37" t="s">
        <v>555</v>
      </c>
      <c r="C526" s="37"/>
      <c r="D526" s="113" t="s">
        <v>1310</v>
      </c>
      <c r="E526" s="325" t="str">
        <f>IF((O$39+O$40)=0," ",O39/($O$39+$O$40))</f>
        <v> </v>
      </c>
      <c r="F526" s="321" t="str">
        <f>IF((Q$39+Q$40)=0," ",Q39/($Q$39+$Q$40))</f>
        <v> </v>
      </c>
      <c r="G526" s="1350" t="str">
        <f>IF((F$39+F$40)=0," ",F39/($F$39+$F$40))</f>
        <v> </v>
      </c>
      <c r="H526" s="1351"/>
      <c r="I526" s="323"/>
      <c r="J526" s="324"/>
      <c r="K526" s="412">
        <v>0.16</v>
      </c>
      <c r="L526" s="1448">
        <f>K526*K39</f>
        <v>29.84</v>
      </c>
      <c r="M526" s="1449"/>
      <c r="N526" s="6"/>
      <c r="O526" s="1244">
        <f>K39</f>
        <v>186.5</v>
      </c>
      <c r="P526" s="1245"/>
      <c r="Q526" s="952">
        <f>IF(E526=" ",0,E526*$O526)</f>
        <v>0</v>
      </c>
      <c r="R526" s="952">
        <f>IF(F526=" ",0,F526*$O526)</f>
        <v>0</v>
      </c>
      <c r="S526" s="457"/>
      <c r="T526" s="457"/>
      <c r="U526" s="151"/>
      <c r="V526" s="3"/>
      <c r="X526" s="915"/>
      <c r="Y526" s="920"/>
    </row>
    <row r="527" spans="1:25" s="369" customFormat="1" ht="12.75">
      <c r="A527" s="36">
        <f>A526+1</f>
        <v>1618</v>
      </c>
      <c r="B527" s="37" t="s">
        <v>556</v>
      </c>
      <c r="C527" s="37"/>
      <c r="D527" s="113" t="s">
        <v>1311</v>
      </c>
      <c r="E527" s="325" t="str">
        <f>IF((O$39+O$40)=0," ",O40/($O$39+$O$40))</f>
        <v> </v>
      </c>
      <c r="F527" s="321" t="str">
        <f>IF((Q$39+Q$40)=0," ",Q40/($Q$39+$Q$40))</f>
        <v> </v>
      </c>
      <c r="G527" s="1350" t="str">
        <f>IF((F$39+F$40)=0," ",F40/($F$39+$F$40))</f>
        <v> </v>
      </c>
      <c r="H527" s="1143"/>
      <c r="I527" s="323"/>
      <c r="J527" s="324"/>
      <c r="K527" s="413">
        <v>0.84</v>
      </c>
      <c r="L527" s="1448">
        <f>K527*K40</f>
        <v>205.99319999999997</v>
      </c>
      <c r="M527" s="1449"/>
      <c r="N527" s="6"/>
      <c r="O527" s="1244">
        <f>K40</f>
        <v>245.23</v>
      </c>
      <c r="P527" s="1245"/>
      <c r="Q527" s="952">
        <f>IF(E527=" ",0,E527*$O527)</f>
        <v>0</v>
      </c>
      <c r="R527" s="952">
        <f>IF(F527=" ",0,F527*$O527)</f>
        <v>0</v>
      </c>
      <c r="S527" s="457"/>
      <c r="T527" s="457"/>
      <c r="U527" s="151"/>
      <c r="V527" s="3"/>
      <c r="X527" s="915"/>
      <c r="Y527" s="920"/>
    </row>
    <row r="528" spans="1:25" s="369" customFormat="1" ht="12.75">
      <c r="A528" s="36">
        <f>A527+1</f>
        <v>1619</v>
      </c>
      <c r="B528" s="1364" t="s">
        <v>2293</v>
      </c>
      <c r="C528" s="1143"/>
      <c r="D528" s="1144"/>
      <c r="E528" s="426" t="str">
        <f>IF((O39+O40)=0," ",E526+E527)</f>
        <v> </v>
      </c>
      <c r="F528" s="426" t="str">
        <f>IF((Q39+Q40)=0," ",F526+F527)</f>
        <v> </v>
      </c>
      <c r="G528" s="1367" t="str">
        <f>IF((F39+F40)=0," ",G526+G527)</f>
        <v> </v>
      </c>
      <c r="H528" s="1367"/>
      <c r="I528" s="323"/>
      <c r="J528" s="324"/>
      <c r="K528" s="426">
        <f>K527+K526</f>
        <v>1</v>
      </c>
      <c r="L528" s="1457">
        <f>SUM(L526:M527)</f>
        <v>235.83319999999998</v>
      </c>
      <c r="M528" s="1458"/>
      <c r="N528" s="6"/>
      <c r="O528" s="8"/>
      <c r="P528" s="947"/>
      <c r="Q528" s="952">
        <f>SUM(Q526:Q527)</f>
        <v>0</v>
      </c>
      <c r="R528" s="952">
        <f>SUM(R526:R527)</f>
        <v>0</v>
      </c>
      <c r="S528" s="457"/>
      <c r="T528" s="457"/>
      <c r="U528" s="151"/>
      <c r="V528" s="3"/>
      <c r="X528" s="915"/>
      <c r="Y528" s="920"/>
    </row>
    <row r="529" spans="1:25" s="369" customFormat="1" ht="12.75">
      <c r="A529" s="36">
        <f>A528+1</f>
        <v>1620</v>
      </c>
      <c r="B529" s="327" t="s">
        <v>927</v>
      </c>
      <c r="C529" s="52"/>
      <c r="D529" s="119"/>
      <c r="E529" s="415" t="str">
        <f>IF((O$39+O$40)=0," ",ROUND(Q528,2))</f>
        <v> </v>
      </c>
      <c r="F529" s="375" t="str">
        <f>IF((Q$39+Q$40)=0," ",ROUND(R528,2))</f>
        <v> </v>
      </c>
      <c r="G529" s="1368" t="str">
        <f>IF((F$39+F40)=0," ",ROUND(SUM(L39:M40)/SUM(F39:F40),2))</f>
        <v> </v>
      </c>
      <c r="H529" s="1369"/>
      <c r="I529" s="323"/>
      <c r="J529" s="324"/>
      <c r="K529" s="374"/>
      <c r="L529" s="374"/>
      <c r="M529" s="16"/>
      <c r="N529" s="6"/>
      <c r="O529" s="8"/>
      <c r="P529" s="947"/>
      <c r="Q529" s="947"/>
      <c r="R529" s="947"/>
      <c r="S529" s="457"/>
      <c r="T529" s="457"/>
      <c r="U529" s="151"/>
      <c r="V529" s="3"/>
      <c r="X529" s="915"/>
      <c r="Y529" s="920"/>
    </row>
    <row r="530" spans="1:25" s="369" customFormat="1" ht="12.75">
      <c r="A530" s="36">
        <f>A529+1</f>
        <v>1621</v>
      </c>
      <c r="B530" s="328" t="s">
        <v>928</v>
      </c>
      <c r="C530" s="52"/>
      <c r="D530" s="119"/>
      <c r="E530" s="526">
        <f>$L$528</f>
        <v>235.83319999999998</v>
      </c>
      <c r="F530" s="526">
        <f>$L$528</f>
        <v>235.83319999999998</v>
      </c>
      <c r="G530" s="1372">
        <f>$L$528</f>
        <v>235.83319999999998</v>
      </c>
      <c r="H530" s="1144"/>
      <c r="I530" s="323"/>
      <c r="J530" s="324"/>
      <c r="K530" s="374"/>
      <c r="L530" s="374"/>
      <c r="M530" s="16"/>
      <c r="N530" s="6"/>
      <c r="O530" s="8"/>
      <c r="P530" s="947"/>
      <c r="Q530" s="947"/>
      <c r="R530" s="947"/>
      <c r="S530" s="457"/>
      <c r="T530" s="457"/>
      <c r="U530" s="151"/>
      <c r="V530" s="3"/>
      <c r="X530" s="915"/>
      <c r="Y530" s="920"/>
    </row>
    <row r="531" spans="1:25" s="369" customFormat="1" ht="12.75">
      <c r="A531" s="36">
        <f>A530+1</f>
        <v>1622</v>
      </c>
      <c r="B531" s="418" t="s">
        <v>925</v>
      </c>
      <c r="C531" s="42"/>
      <c r="D531" s="45"/>
      <c r="E531" s="419" t="str">
        <f>IF((O39+O40)=0," ",E529/E530-1)</f>
        <v> </v>
      </c>
      <c r="F531" s="419" t="str">
        <f>IF((Q39+Q40)=0," ",F529/F530-1)</f>
        <v> </v>
      </c>
      <c r="G531" s="1365" t="str">
        <f>IF((F39+F40)=0," ",G529/G530-1)</f>
        <v> </v>
      </c>
      <c r="H531" s="1366"/>
      <c r="I531" s="323"/>
      <c r="J531" s="324"/>
      <c r="K531" s="374"/>
      <c r="L531" s="374"/>
      <c r="M531" s="16"/>
      <c r="N531" s="6"/>
      <c r="O531" s="8"/>
      <c r="P531" s="947"/>
      <c r="Q531" s="947"/>
      <c r="R531" s="947"/>
      <c r="S531" s="457"/>
      <c r="T531" s="457"/>
      <c r="U531" s="151"/>
      <c r="V531" s="3"/>
      <c r="X531" s="915"/>
      <c r="Y531" s="920"/>
    </row>
    <row r="532" spans="1:25" s="369" customFormat="1" ht="5.25" customHeight="1">
      <c r="A532" s="11"/>
      <c r="B532" s="400"/>
      <c r="C532" s="24"/>
      <c r="D532" s="24"/>
      <c r="E532" s="373"/>
      <c r="F532" s="373"/>
      <c r="G532" s="373"/>
      <c r="H532" s="373"/>
      <c r="I532" s="323"/>
      <c r="J532" s="324"/>
      <c r="K532" s="374"/>
      <c r="L532" s="374"/>
      <c r="M532" s="16"/>
      <c r="N532" s="6"/>
      <c r="O532" s="8"/>
      <c r="P532" s="947"/>
      <c r="Q532" s="947"/>
      <c r="R532" s="947"/>
      <c r="S532" s="457"/>
      <c r="T532" s="457"/>
      <c r="U532" s="151"/>
      <c r="V532" s="3"/>
      <c r="X532" s="915"/>
      <c r="Y532" s="920"/>
    </row>
    <row r="533" spans="1:25" s="369" customFormat="1" ht="12.75">
      <c r="A533" s="39">
        <f>A531+1</f>
        <v>1623</v>
      </c>
      <c r="B533" s="37" t="s">
        <v>557</v>
      </c>
      <c r="C533" s="52"/>
      <c r="D533" s="113" t="s">
        <v>1312</v>
      </c>
      <c r="E533" s="325" t="str">
        <f>IF(SUM(O$41:O$44)=0," ",O41/SUM($O$41:$O$44))</f>
        <v> </v>
      </c>
      <c r="F533" s="321" t="str">
        <f>IF(SUM(Q$41:Q$44)=0," ",Q41/SUM($Q$41:$Q$44))</f>
        <v> </v>
      </c>
      <c r="G533" s="1350" t="str">
        <f>IF(SUM(F$41:F$44)=0," ",F41/SUM($F$41:$F$44))</f>
        <v> </v>
      </c>
      <c r="H533" s="1351"/>
      <c r="I533" s="323"/>
      <c r="J533" s="324"/>
      <c r="K533" s="412">
        <v>0</v>
      </c>
      <c r="L533" s="1448">
        <f>K533*K41</f>
        <v>0</v>
      </c>
      <c r="M533" s="1449"/>
      <c r="N533" s="6"/>
      <c r="O533" s="1244">
        <f>K41</f>
        <v>189.7</v>
      </c>
      <c r="P533" s="1245"/>
      <c r="Q533" s="952">
        <f aca="true" t="shared" si="133" ref="Q533:R536">IF(E533=" ",0,E533*$O533)</f>
        <v>0</v>
      </c>
      <c r="R533" s="952">
        <f t="shared" si="133"/>
        <v>0</v>
      </c>
      <c r="S533" s="824"/>
      <c r="T533" s="824"/>
      <c r="U533" s="151"/>
      <c r="V533" s="3"/>
      <c r="X533" s="915"/>
      <c r="Y533" s="920"/>
    </row>
    <row r="534" spans="1:25" s="369" customFormat="1" ht="12.75">
      <c r="A534" s="39">
        <f aca="true" t="shared" si="134" ref="A534:A540">A533+1</f>
        <v>1624</v>
      </c>
      <c r="B534" s="37" t="s">
        <v>558</v>
      </c>
      <c r="C534" s="52"/>
      <c r="D534" s="113" t="s">
        <v>1313</v>
      </c>
      <c r="E534" s="325" t="str">
        <f>IF(SUM(O$41:O$44)=0," ",O42/SUM($O$41:$O$44))</f>
        <v> </v>
      </c>
      <c r="F534" s="321" t="str">
        <f>IF(SUM(Q$41:Q$44)=0," ",Q42/SUM($Q$41:$Q$44))</f>
        <v> </v>
      </c>
      <c r="G534" s="1350" t="str">
        <f>IF(SUM(F$41:F$44)=0," ",F42/SUM($F$41:$F$44))</f>
        <v> </v>
      </c>
      <c r="H534" s="1351"/>
      <c r="I534" s="323"/>
      <c r="J534" s="324"/>
      <c r="K534" s="412">
        <v>0</v>
      </c>
      <c r="L534" s="1448">
        <f>K534*K42</f>
        <v>0</v>
      </c>
      <c r="M534" s="1449"/>
      <c r="N534" s="17"/>
      <c r="O534" s="1244">
        <f>K42</f>
        <v>283.35</v>
      </c>
      <c r="P534" s="1245"/>
      <c r="Q534" s="952">
        <f t="shared" si="133"/>
        <v>0</v>
      </c>
      <c r="R534" s="952">
        <f t="shared" si="133"/>
        <v>0</v>
      </c>
      <c r="S534" s="457"/>
      <c r="T534" s="457"/>
      <c r="U534" s="151"/>
      <c r="V534" s="3"/>
      <c r="X534" s="915"/>
      <c r="Y534" s="920"/>
    </row>
    <row r="535" spans="1:25" s="369" customFormat="1" ht="12.75">
      <c r="A535" s="39">
        <f t="shared" si="134"/>
        <v>1625</v>
      </c>
      <c r="B535" s="37" t="s">
        <v>559</v>
      </c>
      <c r="C535" s="52"/>
      <c r="D535" s="113" t="s">
        <v>1314</v>
      </c>
      <c r="E535" s="325" t="str">
        <f>IF(SUM(O$41:O$44)=0," ",O43/SUM($O$41:$O$44))</f>
        <v> </v>
      </c>
      <c r="F535" s="321" t="str">
        <f>IF(SUM(Q$41:Q$44)=0," ",Q43/SUM($Q$41:$Q$44))</f>
        <v> </v>
      </c>
      <c r="G535" s="1350" t="str">
        <f>IF(SUM(F$41:F$44)=0," ",F43/SUM($F$41:$F$44))</f>
        <v> </v>
      </c>
      <c r="H535" s="1351"/>
      <c r="I535" s="323"/>
      <c r="J535" s="324"/>
      <c r="K535" s="412">
        <v>0.07</v>
      </c>
      <c r="L535" s="1448">
        <f>K535*K43</f>
        <v>16.9967</v>
      </c>
      <c r="M535" s="1449"/>
      <c r="N535" s="17"/>
      <c r="O535" s="1244">
        <f>K43</f>
        <v>242.81</v>
      </c>
      <c r="P535" s="1245"/>
      <c r="Q535" s="952">
        <f t="shared" si="133"/>
        <v>0</v>
      </c>
      <c r="R535" s="952">
        <f t="shared" si="133"/>
        <v>0</v>
      </c>
      <c r="S535" s="457"/>
      <c r="T535" s="457"/>
      <c r="U535" s="151"/>
      <c r="V535" s="3"/>
      <c r="X535" s="915"/>
      <c r="Y535" s="920"/>
    </row>
    <row r="536" spans="1:25" s="369" customFormat="1" ht="12.75">
      <c r="A536" s="39">
        <f t="shared" si="134"/>
        <v>1626</v>
      </c>
      <c r="B536" s="40" t="s">
        <v>560</v>
      </c>
      <c r="C536" s="340"/>
      <c r="D536" s="113" t="s">
        <v>1315</v>
      </c>
      <c r="E536" s="325" t="str">
        <f>IF(SUM(O$41:O$44)=0," ",O44/SUM($O$41:$O$44))</f>
        <v> </v>
      </c>
      <c r="F536" s="321" t="str">
        <f>IF(SUM(Q$41:Q$44)=0," ",Q44/SUM($Q$41:$Q$44))</f>
        <v> </v>
      </c>
      <c r="G536" s="1350" t="str">
        <f>IF(SUM(F$41:F$44)=0," ",F44/SUM($F$41:$F$44))</f>
        <v> </v>
      </c>
      <c r="H536" s="1351"/>
      <c r="I536" s="323"/>
      <c r="J536" s="324"/>
      <c r="K536" s="413">
        <v>0.93</v>
      </c>
      <c r="L536" s="1448">
        <f>K536*K44</f>
        <v>284.53350000000006</v>
      </c>
      <c r="M536" s="1449"/>
      <c r="N536" s="17"/>
      <c r="O536" s="1244">
        <f>K44</f>
        <v>305.95000000000005</v>
      </c>
      <c r="P536" s="1245"/>
      <c r="Q536" s="952">
        <f t="shared" si="133"/>
        <v>0</v>
      </c>
      <c r="R536" s="952">
        <f t="shared" si="133"/>
        <v>0</v>
      </c>
      <c r="S536" s="457"/>
      <c r="T536" s="457"/>
      <c r="U536" s="151"/>
      <c r="V536" s="3"/>
      <c r="X536" s="915"/>
      <c r="Y536" s="920"/>
    </row>
    <row r="537" spans="1:25" s="369" customFormat="1" ht="12.75">
      <c r="A537" s="36">
        <f t="shared" si="134"/>
        <v>1627</v>
      </c>
      <c r="B537" s="42" t="s">
        <v>2294</v>
      </c>
      <c r="C537" s="42"/>
      <c r="D537" s="50"/>
      <c r="E537" s="426" t="str">
        <f>IF(SUM(O41:O44)=0," ",SUM(E533:E536))</f>
        <v> </v>
      </c>
      <c r="F537" s="426" t="str">
        <f>IF(SUM(Q41:Q44)=0," ",SUM(F533:F536))</f>
        <v> </v>
      </c>
      <c r="G537" s="1367" t="str">
        <f>IF(SUM(F41:F44)=0," ",SUM(G533:G536))</f>
        <v> </v>
      </c>
      <c r="H537" s="1367">
        <f>SUM(H542:H545)</f>
        <v>0</v>
      </c>
      <c r="I537" s="323"/>
      <c r="J537" s="324"/>
      <c r="K537" s="426">
        <f>SUM(K533:K536)</f>
        <v>1</v>
      </c>
      <c r="L537" s="1457">
        <f>SUM(L533:M536)</f>
        <v>301.53020000000004</v>
      </c>
      <c r="M537" s="1458"/>
      <c r="N537" s="17"/>
      <c r="O537" s="17"/>
      <c r="P537" s="955"/>
      <c r="Q537" s="956">
        <f>SUM(Q533:Q536)</f>
        <v>0</v>
      </c>
      <c r="R537" s="956">
        <f>SUM(R533:R536)</f>
        <v>0</v>
      </c>
      <c r="S537" s="457"/>
      <c r="T537" s="457"/>
      <c r="U537" s="151"/>
      <c r="V537" s="3"/>
      <c r="X537" s="915"/>
      <c r="Y537" s="920"/>
    </row>
    <row r="538" spans="1:25" s="369" customFormat="1" ht="12.75">
      <c r="A538" s="39">
        <f t="shared" si="134"/>
        <v>1628</v>
      </c>
      <c r="B538" s="327" t="s">
        <v>927</v>
      </c>
      <c r="C538" s="52"/>
      <c r="D538" s="119"/>
      <c r="E538" s="415" t="str">
        <f>IF(SUM(O$41:O$44)=0," ",ROUND(Q537,2))</f>
        <v> </v>
      </c>
      <c r="F538" s="375" t="str">
        <f>IF(SUM(Q41:Q$44)=0," ",ROUND(R537,2))</f>
        <v> </v>
      </c>
      <c r="G538" s="1368" t="str">
        <f>IF(SUM(F$41:F44)=0," ",ROUND(SUM(L41:M44)/SUM(F41:F44),2))</f>
        <v> </v>
      </c>
      <c r="H538" s="1369"/>
      <c r="I538" s="323"/>
      <c r="J538" s="324"/>
      <c r="K538" s="363"/>
      <c r="L538" s="366"/>
      <c r="M538" s="21"/>
      <c r="N538" s="17"/>
      <c r="O538" s="957"/>
      <c r="P538" s="956"/>
      <c r="Q538" s="955"/>
      <c r="R538" s="947"/>
      <c r="S538" s="457"/>
      <c r="T538" s="457"/>
      <c r="U538" s="151"/>
      <c r="V538" s="3"/>
      <c r="X538" s="915"/>
      <c r="Y538" s="920"/>
    </row>
    <row r="539" spans="1:25" s="369" customFormat="1" ht="12.75">
      <c r="A539" s="39">
        <f t="shared" si="134"/>
        <v>1629</v>
      </c>
      <c r="B539" s="328" t="s">
        <v>928</v>
      </c>
      <c r="C539" s="52"/>
      <c r="D539" s="119"/>
      <c r="E539" s="416">
        <f>$L$537</f>
        <v>301.53020000000004</v>
      </c>
      <c r="F539" s="416">
        <f>$L$537</f>
        <v>301.53020000000004</v>
      </c>
      <c r="G539" s="1459">
        <f>$L$537</f>
        <v>301.53020000000004</v>
      </c>
      <c r="H539" s="1144"/>
      <c r="I539" s="323"/>
      <c r="J539" s="324"/>
      <c r="K539" s="366"/>
      <c r="L539" s="366"/>
      <c r="M539" s="21"/>
      <c r="N539" s="17"/>
      <c r="O539" s="17"/>
      <c r="P539" s="955"/>
      <c r="Q539" s="955"/>
      <c r="R539" s="947"/>
      <c r="S539" s="457"/>
      <c r="T539" s="457"/>
      <c r="U539" s="151"/>
      <c r="V539" s="3"/>
      <c r="X539" s="915"/>
      <c r="Y539" s="920"/>
    </row>
    <row r="540" spans="1:25" s="369" customFormat="1" ht="12.75">
      <c r="A540" s="36">
        <f t="shared" si="134"/>
        <v>1630</v>
      </c>
      <c r="B540" s="418" t="s">
        <v>925</v>
      </c>
      <c r="C540" s="42"/>
      <c r="D540" s="45"/>
      <c r="E540" s="419" t="str">
        <f>IF(SUM(O41:O44)=0," ",E538/E539-1)</f>
        <v> </v>
      </c>
      <c r="F540" s="419" t="str">
        <f>IF(SUM(Q41:Q44)=0,"  ",F538/F539-1)</f>
        <v>  </v>
      </c>
      <c r="G540" s="1365" t="str">
        <f>IF(SUM(F41:F44)=0," ",G538/G539-1)</f>
        <v> </v>
      </c>
      <c r="H540" s="1366"/>
      <c r="I540" s="323"/>
      <c r="J540" s="361"/>
      <c r="K540" s="366"/>
      <c r="L540" s="366"/>
      <c r="M540" s="21"/>
      <c r="N540" s="17"/>
      <c r="O540" s="17"/>
      <c r="P540" s="955"/>
      <c r="Q540" s="955"/>
      <c r="R540" s="947"/>
      <c r="S540" s="457"/>
      <c r="T540" s="457"/>
      <c r="U540" s="151"/>
      <c r="V540" s="3"/>
      <c r="X540" s="915"/>
      <c r="Y540" s="920"/>
    </row>
    <row r="541" spans="1:25" s="369" customFormat="1" ht="4.5" customHeight="1">
      <c r="A541" s="11"/>
      <c r="B541" s="400"/>
      <c r="C541" s="24"/>
      <c r="D541" s="24"/>
      <c r="E541" s="373"/>
      <c r="F541" s="373"/>
      <c r="G541" s="373"/>
      <c r="H541" s="373"/>
      <c r="I541" s="323"/>
      <c r="J541" s="361"/>
      <c r="K541" s="366"/>
      <c r="L541" s="366"/>
      <c r="M541" s="21"/>
      <c r="N541" s="17"/>
      <c r="O541" s="17"/>
      <c r="P541" s="955"/>
      <c r="Q541" s="955"/>
      <c r="R541" s="947"/>
      <c r="S541" s="457"/>
      <c r="T541" s="457"/>
      <c r="U541" s="151"/>
      <c r="V541" s="3"/>
      <c r="X541" s="915"/>
      <c r="Y541" s="920"/>
    </row>
    <row r="542" spans="2:22" ht="12.75">
      <c r="B542" s="24" t="s">
        <v>589</v>
      </c>
      <c r="C542" s="133"/>
      <c r="D542" s="133"/>
      <c r="E542" s="133"/>
      <c r="F542" s="133"/>
      <c r="G542" s="133"/>
      <c r="H542" s="133"/>
      <c r="I542" s="323"/>
      <c r="J542" s="324"/>
      <c r="K542" s="530"/>
      <c r="L542" s="133"/>
      <c r="N542" s="17"/>
      <c r="O542" s="17"/>
      <c r="P542" s="955"/>
      <c r="Q542" s="18"/>
      <c r="R542" s="947"/>
      <c r="S542" s="457"/>
      <c r="T542" s="457"/>
      <c r="U542" s="151"/>
      <c r="V542" s="3"/>
    </row>
    <row r="543" spans="1:22" ht="12.75">
      <c r="A543" s="36">
        <f>A540+1</f>
        <v>1631</v>
      </c>
      <c r="B543" s="46" t="s">
        <v>73</v>
      </c>
      <c r="C543" s="339"/>
      <c r="D543" s="541" t="s">
        <v>612</v>
      </c>
      <c r="E543" s="325" t="str">
        <f>IF(O$58=0," ",O53/$O$58)</f>
        <v> </v>
      </c>
      <c r="F543" s="321" t="str">
        <f>IF(SUM(Q$53:Q$57)=0," ",Q53/SUM($Q$53:$Q$57))</f>
        <v> </v>
      </c>
      <c r="G543" s="1350" t="str">
        <f>IF(SUM(F$53:F$57)=0," ",F53/SUM($F$53:$F$57))</f>
        <v> </v>
      </c>
      <c r="H543" s="1351"/>
      <c r="I543" s="323"/>
      <c r="J543" s="324"/>
      <c r="K543" s="412">
        <v>0.38</v>
      </c>
      <c r="L543" s="1448">
        <f>K543*K53</f>
        <v>11.445599999999999</v>
      </c>
      <c r="M543" s="1449"/>
      <c r="O543" s="1244">
        <f>K53</f>
        <v>30.119999999999997</v>
      </c>
      <c r="P543" s="1245"/>
      <c r="Q543" s="952">
        <f aca="true" t="shared" si="135" ref="Q543:R547">IF(E543=" ",0,E543*$O543)</f>
        <v>0</v>
      </c>
      <c r="R543" s="952">
        <f t="shared" si="135"/>
        <v>0</v>
      </c>
      <c r="S543" s="456"/>
      <c r="T543" s="456"/>
      <c r="U543" s="151"/>
      <c r="V543" s="3"/>
    </row>
    <row r="544" spans="1:22" ht="12.75">
      <c r="A544" s="36">
        <f>A543+1</f>
        <v>1632</v>
      </c>
      <c r="B544" s="46" t="s">
        <v>75</v>
      </c>
      <c r="C544" s="339"/>
      <c r="D544" s="541" t="s">
        <v>613</v>
      </c>
      <c r="E544" s="325" t="str">
        <f>IF(O$58=0," ",O54/$O$58)</f>
        <v> </v>
      </c>
      <c r="F544" s="321" t="str">
        <f>IF(SUM(Q$53:Q$57)=0," ",Q54/SUM($Q$53:$Q$57))</f>
        <v> </v>
      </c>
      <c r="G544" s="1350" t="str">
        <f>IF(SUM(F$53:F$57)=0," ",F54/SUM($F$53:$F$57))</f>
        <v> </v>
      </c>
      <c r="H544" s="1351"/>
      <c r="I544" s="323"/>
      <c r="J544" s="324"/>
      <c r="K544" s="412">
        <v>0.21</v>
      </c>
      <c r="L544" s="1448">
        <f>K544*K54</f>
        <v>15.281699999999999</v>
      </c>
      <c r="M544" s="1449"/>
      <c r="O544" s="1244">
        <f>K54</f>
        <v>72.77</v>
      </c>
      <c r="P544" s="1245"/>
      <c r="Q544" s="952">
        <f t="shared" si="135"/>
        <v>0</v>
      </c>
      <c r="R544" s="952">
        <f t="shared" si="135"/>
        <v>0</v>
      </c>
      <c r="S544" s="456"/>
      <c r="T544" s="456"/>
      <c r="U544" s="151"/>
      <c r="V544" s="3"/>
    </row>
    <row r="545" spans="1:22" ht="12.75">
      <c r="A545" s="36">
        <f aca="true" t="shared" si="136" ref="A545:A551">A544+1</f>
        <v>1633</v>
      </c>
      <c r="B545" s="46" t="s">
        <v>77</v>
      </c>
      <c r="C545" s="339"/>
      <c r="D545" s="541" t="s">
        <v>614</v>
      </c>
      <c r="E545" s="325" t="str">
        <f>IF(O$58=0," ",O55/$O$58)</f>
        <v> </v>
      </c>
      <c r="F545" s="321" t="str">
        <f>IF(SUM(Q$53:Q$57)=0," ",Q55/SUM($Q$53:$Q$57))</f>
        <v> </v>
      </c>
      <c r="G545" s="1350" t="str">
        <f>IF(SUM(F$53:F$57)=0," ",F55/SUM($F$53:$F$57))</f>
        <v> </v>
      </c>
      <c r="H545" s="1351"/>
      <c r="I545" s="323"/>
      <c r="J545" s="324"/>
      <c r="K545" s="412">
        <v>0.28</v>
      </c>
      <c r="L545" s="1448">
        <f>K545*K55</f>
        <v>11.3764</v>
      </c>
      <c r="M545" s="1449"/>
      <c r="O545" s="1244">
        <f>K55</f>
        <v>40.629999999999995</v>
      </c>
      <c r="P545" s="1245"/>
      <c r="Q545" s="952">
        <f t="shared" si="135"/>
        <v>0</v>
      </c>
      <c r="R545" s="952">
        <f t="shared" si="135"/>
        <v>0</v>
      </c>
      <c r="S545" s="456"/>
      <c r="T545" s="456"/>
      <c r="U545" s="151"/>
      <c r="V545" s="3"/>
    </row>
    <row r="546" spans="1:22" ht="12.75">
      <c r="A546" s="36">
        <f t="shared" si="136"/>
        <v>1634</v>
      </c>
      <c r="B546" s="531" t="s">
        <v>1896</v>
      </c>
      <c r="C546" s="532"/>
      <c r="D546" s="542" t="s">
        <v>615</v>
      </c>
      <c r="E546" s="325" t="str">
        <f>IF(O$58=0," ",O56/$O$58)</f>
        <v> </v>
      </c>
      <c r="F546" s="321" t="str">
        <f>IF(SUM(Q$53:Q$57)=0," ",Q56/SUM($Q$53:$Q$57))</f>
        <v> </v>
      </c>
      <c r="G546" s="1350" t="str">
        <f>IF(SUM(F$53:F$57)=0," ",F56/SUM($F$53:$F$57))</f>
        <v> </v>
      </c>
      <c r="H546" s="1351"/>
      <c r="I546" s="323"/>
      <c r="J546" s="324"/>
      <c r="K546" s="412">
        <v>0.13</v>
      </c>
      <c r="L546" s="1448">
        <f>K546*K56</f>
        <v>10.5612</v>
      </c>
      <c r="M546" s="1449"/>
      <c r="O546" s="1244">
        <f>K56</f>
        <v>81.24</v>
      </c>
      <c r="P546" s="1245"/>
      <c r="Q546" s="952">
        <f t="shared" si="135"/>
        <v>0</v>
      </c>
      <c r="R546" s="952">
        <f t="shared" si="135"/>
        <v>0</v>
      </c>
      <c r="S546" s="456"/>
      <c r="T546" s="456"/>
      <c r="U546" s="151"/>
      <c r="V546" s="3"/>
    </row>
    <row r="547" spans="1:22" ht="12.75">
      <c r="A547" s="36">
        <f t="shared" si="136"/>
        <v>1635</v>
      </c>
      <c r="B547" s="40" t="s">
        <v>174</v>
      </c>
      <c r="C547" s="532"/>
      <c r="D547" s="542" t="s">
        <v>173</v>
      </c>
      <c r="E547" s="1068" t="str">
        <f>IF(O$58=0," ",O57/$O$58)</f>
        <v> </v>
      </c>
      <c r="F547" s="1069" t="str">
        <f>IF(SUM(Q$53:Q$57)=0," ",Q57/SUM($Q$53:$Q$57))</f>
        <v> </v>
      </c>
      <c r="G547" s="1350" t="str">
        <f>IF(SUM(F$53:F$57)=0," ",F57/SUM($F$53:$F$57))</f>
        <v> </v>
      </c>
      <c r="H547" s="1351"/>
      <c r="I547" s="323"/>
      <c r="J547" s="324"/>
      <c r="K547" s="1070">
        <v>0</v>
      </c>
      <c r="L547" s="1352">
        <f>K547*K57</f>
        <v>0</v>
      </c>
      <c r="M547" s="1353"/>
      <c r="O547" s="1244">
        <f>K57</f>
        <v>109.02</v>
      </c>
      <c r="P547" s="1245"/>
      <c r="Q547" s="952">
        <f t="shared" si="135"/>
        <v>0</v>
      </c>
      <c r="R547" s="952">
        <f t="shared" si="135"/>
        <v>0</v>
      </c>
      <c r="S547" s="456"/>
      <c r="T547" s="456"/>
      <c r="U547" s="151"/>
      <c r="V547" s="3"/>
    </row>
    <row r="548" spans="1:22" ht="12.75">
      <c r="A548" s="36">
        <f t="shared" si="136"/>
        <v>1636</v>
      </c>
      <c r="B548" s="44" t="s">
        <v>590</v>
      </c>
      <c r="C548" s="536"/>
      <c r="D548" s="388"/>
      <c r="E548" s="426" t="str">
        <f>IF(O58=0," ",SUM(E543:E547))</f>
        <v> </v>
      </c>
      <c r="F548" s="426" t="str">
        <f>IF(SUM(Q53:Q57)=0," ",SUM(F543:F547))</f>
        <v> </v>
      </c>
      <c r="G548" s="1367" t="str">
        <f>IF(SUM(F53:F57)=0," ",SUM(G543:H547))</f>
        <v> </v>
      </c>
      <c r="H548" s="1367">
        <f>SUM(H555:H563)</f>
        <v>0</v>
      </c>
      <c r="I548" s="323"/>
      <c r="J548" s="324"/>
      <c r="K548" s="426">
        <f>SUM(K543:K547)</f>
        <v>1</v>
      </c>
      <c r="L548" s="1457">
        <f>SUM(L543:M546)</f>
        <v>48.6649</v>
      </c>
      <c r="M548" s="1458"/>
      <c r="O548" s="18"/>
      <c r="P548" s="18"/>
      <c r="Q548" s="954">
        <f>SUM(Q543:Q547)</f>
        <v>0</v>
      </c>
      <c r="R548" s="954">
        <f>SUM(R543:R547)</f>
        <v>0</v>
      </c>
      <c r="S548" s="456"/>
      <c r="T548" s="456"/>
      <c r="U548" s="151"/>
      <c r="V548" s="3"/>
    </row>
    <row r="549" spans="1:22" ht="12.75">
      <c r="A549" s="36">
        <f t="shared" si="136"/>
        <v>1637</v>
      </c>
      <c r="B549" s="533" t="s">
        <v>927</v>
      </c>
      <c r="C549" s="534"/>
      <c r="D549" s="535"/>
      <c r="E549" s="415" t="str">
        <f>IF(O58=0," ",ROUND(Q548,2))</f>
        <v> </v>
      </c>
      <c r="F549" s="375" t="str">
        <f>IF(SUM(Q$53:Q57)=0," ",ROUND(R548,2))</f>
        <v> </v>
      </c>
      <c r="G549" s="1368" t="str">
        <f>IF(SUM(F$53:F57)=0," ",ROUND(SUM(L53:M57)/SUM(F53:F57),2))</f>
        <v> </v>
      </c>
      <c r="H549" s="1369"/>
      <c r="I549" s="323"/>
      <c r="J549" s="324"/>
      <c r="O549" s="456"/>
      <c r="P549" s="456"/>
      <c r="Q549" s="456"/>
      <c r="R549" s="456"/>
      <c r="S549" s="456"/>
      <c r="T549" s="456"/>
      <c r="U549" s="151"/>
      <c r="V549" s="3"/>
    </row>
    <row r="550" spans="1:22" ht="12.75">
      <c r="A550" s="36">
        <f t="shared" si="136"/>
        <v>1638</v>
      </c>
      <c r="B550" s="328" t="s">
        <v>928</v>
      </c>
      <c r="C550" s="339"/>
      <c r="D550" s="387"/>
      <c r="E550" s="526">
        <f>$L$548</f>
        <v>48.6649</v>
      </c>
      <c r="F550" s="526">
        <f>$L$548</f>
        <v>48.6649</v>
      </c>
      <c r="G550" s="1372">
        <f>$L$548</f>
        <v>48.6649</v>
      </c>
      <c r="H550" s="1144"/>
      <c r="I550" s="323"/>
      <c r="J550" s="324"/>
      <c r="O550" s="456"/>
      <c r="P550" s="456"/>
      <c r="Q550" s="456"/>
      <c r="R550" s="456"/>
      <c r="S550" s="456"/>
      <c r="T550" s="456"/>
      <c r="U550" s="151"/>
      <c r="V550" s="3"/>
    </row>
    <row r="551" spans="1:22" ht="12.75">
      <c r="A551" s="36">
        <f t="shared" si="136"/>
        <v>1639</v>
      </c>
      <c r="B551" s="418" t="s">
        <v>925</v>
      </c>
      <c r="C551" s="42"/>
      <c r="D551" s="45"/>
      <c r="E551" s="419" t="str">
        <f>IF(O58=0," ",E549/E550-1)</f>
        <v> </v>
      </c>
      <c r="F551" s="426" t="str">
        <f>IF(Q58=0," ",F549/F550-1)</f>
        <v> </v>
      </c>
      <c r="G551" s="1437" t="str">
        <f>IF(F58=0," ",G549/G550-1)</f>
        <v> </v>
      </c>
      <c r="H551" s="1438" t="str">
        <f>IF(S58=0," ",H549/H550-1)</f>
        <v> </v>
      </c>
      <c r="I551" s="323"/>
      <c r="J551" s="361"/>
      <c r="L551" s="366"/>
      <c r="O551" s="456"/>
      <c r="P551" s="456"/>
      <c r="Q551" s="456"/>
      <c r="R551" s="456"/>
      <c r="S551" s="456"/>
      <c r="T551" s="456"/>
      <c r="U551" s="151"/>
      <c r="V551" s="3"/>
    </row>
    <row r="552" spans="1:22" ht="12.75">
      <c r="A552" s="22"/>
      <c r="B552" s="400"/>
      <c r="C552" s="24"/>
      <c r="D552" s="24"/>
      <c r="E552" s="427"/>
      <c r="F552" s="427"/>
      <c r="G552" s="427"/>
      <c r="H552" s="497"/>
      <c r="I552" s="323"/>
      <c r="J552" s="361"/>
      <c r="K552" s="366"/>
      <c r="L552" s="366"/>
      <c r="M552" s="21"/>
      <c r="N552" s="17"/>
      <c r="O552" s="6"/>
      <c r="P552" s="6"/>
      <c r="Q552" s="6"/>
      <c r="R552" s="5"/>
      <c r="S552" s="5"/>
      <c r="T552" s="5"/>
      <c r="U552" s="151"/>
      <c r="V552" s="3"/>
    </row>
    <row r="553" spans="1:22" ht="12.75">
      <c r="A553" s="22"/>
      <c r="B553" s="78" t="s">
        <v>2292</v>
      </c>
      <c r="C553" s="24"/>
      <c r="D553" s="24"/>
      <c r="E553" s="427"/>
      <c r="F553" s="427"/>
      <c r="G553" s="427"/>
      <c r="H553" s="497"/>
      <c r="I553" s="323"/>
      <c r="J553" s="361"/>
      <c r="K553" s="366"/>
      <c r="L553" s="366"/>
      <c r="M553" s="21"/>
      <c r="N553" s="17"/>
      <c r="O553" s="955"/>
      <c r="P553" s="947" t="s">
        <v>702</v>
      </c>
      <c r="Q553" s="955"/>
      <c r="R553" s="947"/>
      <c r="S553" s="947"/>
      <c r="T553" s="947"/>
      <c r="U553" s="151"/>
      <c r="V553" s="3"/>
    </row>
    <row r="554" spans="1:22" ht="12.75">
      <c r="A554" s="22"/>
      <c r="B554" s="400"/>
      <c r="C554" s="24"/>
      <c r="D554" s="24"/>
      <c r="E554" s="1450" t="s">
        <v>227</v>
      </c>
      <c r="F554" s="1451"/>
      <c r="G554" s="1323" t="s">
        <v>226</v>
      </c>
      <c r="H554" s="1452"/>
      <c r="I554" s="1440"/>
      <c r="J554" s="1440"/>
      <c r="K554" s="1441" t="s">
        <v>924</v>
      </c>
      <c r="L554" s="1453" t="s">
        <v>701</v>
      </c>
      <c r="M554" s="1454"/>
      <c r="N554" s="17"/>
      <c r="O554" s="1493">
        <f>G555</f>
        <v>2006</v>
      </c>
      <c r="P554" s="1493"/>
      <c r="Q554" s="950">
        <f>E555</f>
        <v>2004</v>
      </c>
      <c r="R554" s="950">
        <f>F555</f>
        <v>2005</v>
      </c>
      <c r="S554" s="947"/>
      <c r="T554" s="947"/>
      <c r="U554" s="151"/>
      <c r="V554" s="3"/>
    </row>
    <row r="555" spans="1:22" ht="12.75">
      <c r="A555" s="22"/>
      <c r="B555" s="23" t="s">
        <v>1510</v>
      </c>
      <c r="C555" s="24"/>
      <c r="D555" s="24"/>
      <c r="E555" s="420">
        <f>$O$8</f>
        <v>2004</v>
      </c>
      <c r="F555" s="420">
        <f>$Q$8</f>
        <v>2005</v>
      </c>
      <c r="G555" s="1358">
        <f>$E$8</f>
        <v>2006</v>
      </c>
      <c r="H555" s="1359"/>
      <c r="I555" s="1440"/>
      <c r="J555" s="1440"/>
      <c r="K555" s="1442"/>
      <c r="L555" s="1455" t="s">
        <v>670</v>
      </c>
      <c r="M555" s="1456"/>
      <c r="N555" s="17"/>
      <c r="O555" s="1462" t="s">
        <v>591</v>
      </c>
      <c r="P555" s="1463"/>
      <c r="Q555" s="949" t="s">
        <v>670</v>
      </c>
      <c r="R555" s="949" t="s">
        <v>670</v>
      </c>
      <c r="S555" s="947"/>
      <c r="T555" s="947"/>
      <c r="U555" s="151"/>
      <c r="V555" s="3"/>
    </row>
    <row r="556" spans="1:22" ht="12.75">
      <c r="A556" s="36">
        <v>1701</v>
      </c>
      <c r="B556" s="37" t="s">
        <v>561</v>
      </c>
      <c r="C556" s="37"/>
      <c r="D556" s="113" t="s">
        <v>616</v>
      </c>
      <c r="E556" s="325" t="str">
        <f>IF(O$64=0," ",O62/$O$64)</f>
        <v> </v>
      </c>
      <c r="F556" s="321" t="str">
        <f>IF(Q$64=0," ",Q62/$Q$64)</f>
        <v> </v>
      </c>
      <c r="G556" s="1350" t="str">
        <f>IF(F$64=0," ",F62/$F$64)</f>
        <v> </v>
      </c>
      <c r="H556" s="1351"/>
      <c r="I556" s="323"/>
      <c r="J556" s="324"/>
      <c r="K556" s="412">
        <v>0.6</v>
      </c>
      <c r="L556" s="1448">
        <f>K556*K62</f>
        <v>64.63199999999999</v>
      </c>
      <c r="M556" s="1449"/>
      <c r="N556" s="17"/>
      <c r="O556" s="1244">
        <f>K62</f>
        <v>107.72</v>
      </c>
      <c r="P556" s="1460"/>
      <c r="Q556" s="952">
        <f>IF(E556=" ",0,E556*$O556)</f>
        <v>0</v>
      </c>
      <c r="R556" s="952">
        <f>IF(F556=" ",0,F556*$O556)</f>
        <v>0</v>
      </c>
      <c r="S556" s="947"/>
      <c r="T556" s="947"/>
      <c r="U556" s="151"/>
      <c r="V556" s="3"/>
    </row>
    <row r="557" spans="1:22" ht="12.75">
      <c r="A557" s="39">
        <f>A556+1</f>
        <v>1702</v>
      </c>
      <c r="B557" s="37" t="s">
        <v>1287</v>
      </c>
      <c r="C557" s="37"/>
      <c r="D557" s="113" t="s">
        <v>617</v>
      </c>
      <c r="E557" s="325" t="str">
        <f>IF(O$64=0," ",O63/$O$64)</f>
        <v> </v>
      </c>
      <c r="F557" s="321" t="str">
        <f>IF(Q$64=0," ",Q63/$Q$64)</f>
        <v> </v>
      </c>
      <c r="G557" s="1350" t="str">
        <f>IF(F$64=0," ",F63/$F$64)</f>
        <v> </v>
      </c>
      <c r="H557" s="1351"/>
      <c r="I557" s="323"/>
      <c r="J557" s="324"/>
      <c r="K557" s="413">
        <v>0.4</v>
      </c>
      <c r="L557" s="1448">
        <f>K557*K63</f>
        <v>53.032</v>
      </c>
      <c r="M557" s="1449"/>
      <c r="N557" s="6"/>
      <c r="O557" s="1244">
        <f>K63</f>
        <v>132.57999999999998</v>
      </c>
      <c r="P557" s="1460"/>
      <c r="Q557" s="952">
        <f>IF(E557=" ",0,E557*$O557)</f>
        <v>0</v>
      </c>
      <c r="R557" s="952">
        <f>IF(F557=" ",0,F557*$O557)</f>
        <v>0</v>
      </c>
      <c r="S557" s="947"/>
      <c r="T557" s="947"/>
      <c r="U557" s="151"/>
      <c r="V557" s="3"/>
    </row>
    <row r="558" spans="1:22" ht="12.75">
      <c r="A558" s="36">
        <f>A557+1</f>
        <v>1703</v>
      </c>
      <c r="B558" s="42" t="s">
        <v>2295</v>
      </c>
      <c r="C558" s="42"/>
      <c r="D558" s="42"/>
      <c r="E558" s="426" t="str">
        <f>IF(O64=0," ",SUM(E556:E557))</f>
        <v> </v>
      </c>
      <c r="F558" s="426" t="str">
        <f>IF(Q64=0," ",SUM(F556:F557))</f>
        <v> </v>
      </c>
      <c r="G558" s="1367" t="str">
        <f>IF(F64=0," ",SUM(G556:G557))</f>
        <v> </v>
      </c>
      <c r="H558" s="1367">
        <f>SUM(H551:H557)</f>
        <v>0</v>
      </c>
      <c r="I558" s="323"/>
      <c r="J558" s="324"/>
      <c r="K558" s="426">
        <f>SUM(K556:K557)</f>
        <v>1</v>
      </c>
      <c r="L558" s="1457">
        <f>SUM(L556:M557)</f>
        <v>117.66399999999999</v>
      </c>
      <c r="M558" s="1458"/>
      <c r="N558" s="6"/>
      <c r="O558" s="951"/>
      <c r="P558" s="951"/>
      <c r="Q558" s="952">
        <f>SUM(Q556:Q557)</f>
        <v>0</v>
      </c>
      <c r="R558" s="952">
        <f>SUM(R556:R557)</f>
        <v>0</v>
      </c>
      <c r="S558" s="947"/>
      <c r="T558" s="947"/>
      <c r="U558" s="151"/>
      <c r="V558" s="3"/>
    </row>
    <row r="559" spans="1:22" ht="12.75">
      <c r="A559" s="39">
        <f>A558+1</f>
        <v>1704</v>
      </c>
      <c r="B559" s="327" t="s">
        <v>929</v>
      </c>
      <c r="C559" s="52"/>
      <c r="D559" s="119"/>
      <c r="E559" s="375" t="str">
        <f>IF(O64=0," ",ROUND(Q558,2))</f>
        <v> </v>
      </c>
      <c r="F559" s="375" t="str">
        <f>IF(Q64=0," ",ROUND(R558,2))</f>
        <v> </v>
      </c>
      <c r="G559" s="1435" t="str">
        <f>IF(F64=0," ",ROUND(SUM(L62:M63)/SUM(F62:F63),2))</f>
        <v> </v>
      </c>
      <c r="H559" s="1436"/>
      <c r="I559" s="323"/>
      <c r="J559" s="324"/>
      <c r="K559" s="380"/>
      <c r="L559" s="366"/>
      <c r="M559" s="538"/>
      <c r="N559" s="6"/>
      <c r="O559" s="958"/>
      <c r="P559" s="958"/>
      <c r="Q559" s="955"/>
      <c r="R559" s="947"/>
      <c r="S559" s="947"/>
      <c r="T559" s="947"/>
      <c r="U559" s="151"/>
      <c r="V559" s="3"/>
    </row>
    <row r="560" spans="1:22" ht="12.75">
      <c r="A560" s="39">
        <f>A559+1</f>
        <v>1705</v>
      </c>
      <c r="B560" s="328" t="s">
        <v>930</v>
      </c>
      <c r="C560" s="52"/>
      <c r="D560" s="119"/>
      <c r="E560" s="526">
        <f>$L$558</f>
        <v>117.66399999999999</v>
      </c>
      <c r="F560" s="526">
        <f>$L$558</f>
        <v>117.66399999999999</v>
      </c>
      <c r="G560" s="1372">
        <f>$L$558</f>
        <v>117.66399999999999</v>
      </c>
      <c r="H560" s="1144"/>
      <c r="I560" s="323"/>
      <c r="J560" s="324"/>
      <c r="K560" s="372"/>
      <c r="L560" s="366"/>
      <c r="M560" s="538"/>
      <c r="N560" s="6"/>
      <c r="O560" s="958"/>
      <c r="P560" s="958"/>
      <c r="Q560" s="955"/>
      <c r="R560" s="947"/>
      <c r="S560" s="947"/>
      <c r="T560" s="947"/>
      <c r="U560" s="151"/>
      <c r="V560" s="3"/>
    </row>
    <row r="561" spans="1:22" ht="12.75">
      <c r="A561" s="36">
        <f>A560+1</f>
        <v>1706</v>
      </c>
      <c r="B561" s="418" t="s">
        <v>925</v>
      </c>
      <c r="C561" s="42"/>
      <c r="D561" s="45"/>
      <c r="E561" s="419" t="str">
        <f>IF(O64=0," ",E559/E560-1)</f>
        <v> </v>
      </c>
      <c r="F561" s="419" t="str">
        <f>IF(Q64=0," ",F559/F560-1)</f>
        <v> </v>
      </c>
      <c r="G561" s="1365" t="str">
        <f>IF(F64=0," ",G559/G560-1)</f>
        <v> </v>
      </c>
      <c r="H561" s="1366"/>
      <c r="I561" s="323"/>
      <c r="J561" s="324"/>
      <c r="K561" s="372"/>
      <c r="L561" s="366"/>
      <c r="M561" s="538"/>
      <c r="N561" s="6"/>
      <c r="O561" s="958"/>
      <c r="P561" s="958"/>
      <c r="Q561" s="955"/>
      <c r="R561" s="947"/>
      <c r="S561" s="947"/>
      <c r="T561" s="947"/>
      <c r="U561" s="151"/>
      <c r="V561" s="3"/>
    </row>
    <row r="562" spans="9:22" ht="12.75">
      <c r="I562" s="323"/>
      <c r="J562" s="324"/>
      <c r="K562" s="372"/>
      <c r="L562" s="366"/>
      <c r="M562" s="538"/>
      <c r="N562" s="6"/>
      <c r="O562" s="958"/>
      <c r="P562" s="958"/>
      <c r="Q562" s="955"/>
      <c r="R562" s="947"/>
      <c r="S562" s="947"/>
      <c r="T562" s="947"/>
      <c r="U562" s="151"/>
      <c r="V562" s="3"/>
    </row>
    <row r="563" spans="1:22" ht="12.75">
      <c r="A563" s="11"/>
      <c r="B563" s="24" t="s">
        <v>2255</v>
      </c>
      <c r="C563" s="24"/>
      <c r="D563" s="24"/>
      <c r="E563" s="364"/>
      <c r="F563" s="364"/>
      <c r="G563" s="1348"/>
      <c r="H563" s="1349"/>
      <c r="I563" s="323"/>
      <c r="J563" s="361"/>
      <c r="K563" s="365"/>
      <c r="L563" s="366"/>
      <c r="M563" s="538"/>
      <c r="N563" s="6"/>
      <c r="O563" s="958"/>
      <c r="P563" s="958"/>
      <c r="Q563" s="955"/>
      <c r="R563" s="947"/>
      <c r="S563" s="947"/>
      <c r="T563" s="947"/>
      <c r="U563" s="151"/>
      <c r="V563" s="3"/>
    </row>
    <row r="564" spans="1:22" ht="12.75">
      <c r="A564" s="36">
        <f>A561+1</f>
        <v>1707</v>
      </c>
      <c r="B564" s="37" t="s">
        <v>2201</v>
      </c>
      <c r="C564" s="37"/>
      <c r="D564" s="113" t="s">
        <v>618</v>
      </c>
      <c r="E564" s="325" t="str">
        <f>IF(O$69=0," ",O66/$O$69)</f>
        <v> </v>
      </c>
      <c r="F564" s="321" t="str">
        <f>IF(Q$69=0," ",(Q66/$Q$69))</f>
        <v> </v>
      </c>
      <c r="G564" s="1350" t="str">
        <f>IF(F$69=0," ",F66/$F$69)</f>
        <v> </v>
      </c>
      <c r="H564" s="1351"/>
      <c r="I564" s="323"/>
      <c r="J564" s="324"/>
      <c r="K564" s="412">
        <v>0.34</v>
      </c>
      <c r="L564" s="1448">
        <f>K564*K66</f>
        <v>74.20840000000001</v>
      </c>
      <c r="M564" s="1449"/>
      <c r="N564" s="6"/>
      <c r="O564" s="1244">
        <f>K66</f>
        <v>218.26000000000002</v>
      </c>
      <c r="P564" s="1460"/>
      <c r="Q564" s="952">
        <f aca="true" t="shared" si="137" ref="Q564:R566">IF(E564=" ",0,E564*$O564)</f>
        <v>0</v>
      </c>
      <c r="R564" s="952">
        <f t="shared" si="137"/>
        <v>0</v>
      </c>
      <c r="S564" s="947"/>
      <c r="T564" s="947"/>
      <c r="U564" s="151"/>
      <c r="V564" s="3"/>
    </row>
    <row r="565" spans="1:22" ht="12.75">
      <c r="A565" s="39">
        <f aca="true" t="shared" si="138" ref="A565:A570">A564+1</f>
        <v>1708</v>
      </c>
      <c r="B565" s="37" t="s">
        <v>1676</v>
      </c>
      <c r="C565" s="37"/>
      <c r="D565" s="113" t="s">
        <v>619</v>
      </c>
      <c r="E565" s="325" t="str">
        <f>IF(O$69=0," ",O67/$O$69)</f>
        <v> </v>
      </c>
      <c r="F565" s="321" t="str">
        <f>IF(Q$69=0," ",(Q67/$Q$69))</f>
        <v> </v>
      </c>
      <c r="G565" s="1350" t="str">
        <f>IF(F$69=0," ",F67/$F$69)</f>
        <v> </v>
      </c>
      <c r="H565" s="1351"/>
      <c r="I565" s="323"/>
      <c r="J565" s="324"/>
      <c r="K565" s="412">
        <v>0.35</v>
      </c>
      <c r="L565" s="1448">
        <f>K565*K67</f>
        <v>54.992</v>
      </c>
      <c r="M565" s="1449"/>
      <c r="N565" s="6"/>
      <c r="O565" s="1244">
        <f>K67</f>
        <v>157.12</v>
      </c>
      <c r="P565" s="1460"/>
      <c r="Q565" s="952">
        <f t="shared" si="137"/>
        <v>0</v>
      </c>
      <c r="R565" s="952">
        <f t="shared" si="137"/>
        <v>0</v>
      </c>
      <c r="S565" s="947"/>
      <c r="T565" s="947"/>
      <c r="U565" s="151"/>
      <c r="V565" s="3"/>
    </row>
    <row r="566" spans="1:22" ht="12.75">
      <c r="A566" s="39">
        <f t="shared" si="138"/>
        <v>1709</v>
      </c>
      <c r="B566" s="37" t="s">
        <v>1288</v>
      </c>
      <c r="C566" s="37"/>
      <c r="D566" s="113" t="s">
        <v>620</v>
      </c>
      <c r="E566" s="325" t="str">
        <f>IF(O$69=0," ",O68/$O$69)</f>
        <v> </v>
      </c>
      <c r="F566" s="321" t="str">
        <f>IF(Q$69=0," ",(Q68/$Q$69))</f>
        <v> </v>
      </c>
      <c r="G566" s="1350" t="str">
        <f>IF(F$69=0," ",F68/$F$69)</f>
        <v> </v>
      </c>
      <c r="H566" s="1351"/>
      <c r="I566" s="323"/>
      <c r="J566" s="324"/>
      <c r="K566" s="413">
        <v>0.31</v>
      </c>
      <c r="L566" s="1448">
        <f>K566*K68</f>
        <v>55.6729</v>
      </c>
      <c r="M566" s="1449"/>
      <c r="N566" s="6"/>
      <c r="O566" s="1244">
        <f>K68</f>
        <v>179.59</v>
      </c>
      <c r="P566" s="1460"/>
      <c r="Q566" s="952">
        <f t="shared" si="137"/>
        <v>0</v>
      </c>
      <c r="R566" s="952">
        <f t="shared" si="137"/>
        <v>0</v>
      </c>
      <c r="S566" s="947"/>
      <c r="T566" s="947"/>
      <c r="U566" s="151"/>
      <c r="V566" s="3"/>
    </row>
    <row r="567" spans="1:22" ht="12.75">
      <c r="A567" s="36">
        <f t="shared" si="138"/>
        <v>1710</v>
      </c>
      <c r="B567" s="42" t="s">
        <v>2296</v>
      </c>
      <c r="C567" s="42"/>
      <c r="D567" s="42"/>
      <c r="E567" s="426" t="str">
        <f>IF(O69=0," ",SUM(E564:E566))</f>
        <v> </v>
      </c>
      <c r="F567" s="426" t="str">
        <f>IF(Q69=0," ",SUM(F564:F566))</f>
        <v> </v>
      </c>
      <c r="G567" s="1367" t="str">
        <f>IF(F69=0," ",SUM(G564:G566))</f>
        <v> </v>
      </c>
      <c r="H567" s="1367">
        <f>SUM(H556:H566)</f>
        <v>0</v>
      </c>
      <c r="I567" s="323"/>
      <c r="J567" s="324"/>
      <c r="K567" s="426">
        <f>SUM(K564:K566)</f>
        <v>1</v>
      </c>
      <c r="L567" s="1457">
        <f>SUM(L564:M566)</f>
        <v>184.8733</v>
      </c>
      <c r="M567" s="1458"/>
      <c r="N567" s="6"/>
      <c r="O567" s="951"/>
      <c r="P567" s="951"/>
      <c r="Q567" s="952">
        <f>SUM(Q564:Q566)</f>
        <v>0</v>
      </c>
      <c r="R567" s="952">
        <f>SUM(R564:R566)</f>
        <v>0</v>
      </c>
      <c r="S567" s="947"/>
      <c r="T567" s="947"/>
      <c r="U567" s="151"/>
      <c r="V567" s="3"/>
    </row>
    <row r="568" spans="1:22" ht="12.75">
      <c r="A568" s="39">
        <f t="shared" si="138"/>
        <v>1711</v>
      </c>
      <c r="B568" s="327" t="s">
        <v>929</v>
      </c>
      <c r="C568" s="52"/>
      <c r="D568" s="119"/>
      <c r="E568" s="375" t="str">
        <f>IF(O69=0," ",ROUND(Q567,2))</f>
        <v> </v>
      </c>
      <c r="F568" s="416" t="str">
        <f>IF(Q69=0," ",ROUND(R567,2))</f>
        <v> </v>
      </c>
      <c r="G568" s="1435" t="str">
        <f>IF(F69=0," ",ROUND(SUM(L66:M68)/SUM(F66:F68),2))</f>
        <v> </v>
      </c>
      <c r="H568" s="1436"/>
      <c r="I568" s="323"/>
      <c r="J568" s="324"/>
      <c r="K568" s="363"/>
      <c r="L568" s="366"/>
      <c r="M568" s="538"/>
      <c r="N568" s="6"/>
      <c r="O568" s="958"/>
      <c r="P568" s="958"/>
      <c r="Q568" s="955"/>
      <c r="R568" s="947"/>
      <c r="S568" s="947"/>
      <c r="T568" s="947"/>
      <c r="U568" s="151"/>
      <c r="V568" s="3"/>
    </row>
    <row r="569" spans="1:22" ht="12.75">
      <c r="A569" s="39">
        <f t="shared" si="138"/>
        <v>1712</v>
      </c>
      <c r="B569" s="328" t="s">
        <v>930</v>
      </c>
      <c r="C569" s="52"/>
      <c r="D569" s="119"/>
      <c r="E569" s="526">
        <f>$L$567</f>
        <v>184.8733</v>
      </c>
      <c r="F569" s="526">
        <f>$L$567</f>
        <v>184.8733</v>
      </c>
      <c r="G569" s="1372">
        <f>$L$567</f>
        <v>184.8733</v>
      </c>
      <c r="H569" s="1144"/>
      <c r="I569" s="323"/>
      <c r="J569" s="324"/>
      <c r="K569" s="366"/>
      <c r="L569" s="366"/>
      <c r="M569" s="538"/>
      <c r="N569" s="6"/>
      <c r="O569" s="958"/>
      <c r="P569" s="958"/>
      <c r="Q569" s="955"/>
      <c r="R569" s="947"/>
      <c r="S569" s="947"/>
      <c r="T569" s="947"/>
      <c r="U569" s="151"/>
      <c r="V569" s="3"/>
    </row>
    <row r="570" spans="1:22" ht="12.75">
      <c r="A570" s="36">
        <f t="shared" si="138"/>
        <v>1713</v>
      </c>
      <c r="B570" s="418" t="s">
        <v>925</v>
      </c>
      <c r="C570" s="42"/>
      <c r="D570" s="45"/>
      <c r="E570" s="419" t="str">
        <f>IF(O69=0," ",E568/E569-1)</f>
        <v> </v>
      </c>
      <c r="F570" s="419" t="str">
        <f>IF(Q69=0," ",F568/F569-1)</f>
        <v> </v>
      </c>
      <c r="G570" s="1365" t="str">
        <f>IF(F69=0," ",G568/G569-1)</f>
        <v> </v>
      </c>
      <c r="H570" s="1366"/>
      <c r="I570" s="323"/>
      <c r="J570" s="324"/>
      <c r="K570" s="366"/>
      <c r="L570" s="366"/>
      <c r="M570" s="538"/>
      <c r="N570" s="6"/>
      <c r="O570" s="958"/>
      <c r="P570" s="958"/>
      <c r="Q570" s="955"/>
      <c r="R570" s="947"/>
      <c r="S570" s="947"/>
      <c r="T570" s="947"/>
      <c r="U570" s="151"/>
      <c r="V570" s="3"/>
    </row>
    <row r="571" spans="1:22" ht="12.75">
      <c r="A571" s="379"/>
      <c r="B571" s="422"/>
      <c r="C571" s="340"/>
      <c r="D571" s="340"/>
      <c r="E571" s="423"/>
      <c r="F571" s="423"/>
      <c r="G571" s="423"/>
      <c r="H571" s="423"/>
      <c r="I571" s="323"/>
      <c r="J571" s="324"/>
      <c r="K571" s="366"/>
      <c r="L571" s="366"/>
      <c r="M571" s="538"/>
      <c r="N571" s="6"/>
      <c r="O571" s="958"/>
      <c r="P571" s="958"/>
      <c r="Q571" s="955"/>
      <c r="R571" s="947"/>
      <c r="S571" s="947"/>
      <c r="T571" s="947"/>
      <c r="U571" s="151"/>
      <c r="V571" s="3"/>
    </row>
    <row r="572" spans="1:22" ht="12.75">
      <c r="A572" s="22"/>
      <c r="B572" s="24" t="s">
        <v>2297</v>
      </c>
      <c r="C572" s="24"/>
      <c r="D572" s="24"/>
      <c r="E572" s="364"/>
      <c r="F572" s="364"/>
      <c r="G572" s="1348"/>
      <c r="H572" s="1349"/>
      <c r="I572" s="323"/>
      <c r="J572" s="361"/>
      <c r="K572" s="365"/>
      <c r="L572" s="366"/>
      <c r="M572" s="538"/>
      <c r="N572" s="6"/>
      <c r="O572" s="958"/>
      <c r="P572" s="958"/>
      <c r="Q572" s="955"/>
      <c r="R572" s="947"/>
      <c r="S572" s="947"/>
      <c r="T572" s="947"/>
      <c r="U572" s="151"/>
      <c r="V572" s="3"/>
    </row>
    <row r="573" spans="1:22" ht="12.75">
      <c r="A573" s="36">
        <f>A570+1</f>
        <v>1714</v>
      </c>
      <c r="B573" s="37" t="s">
        <v>1740</v>
      </c>
      <c r="C573" s="37"/>
      <c r="D573" s="113" t="s">
        <v>621</v>
      </c>
      <c r="E573" s="325" t="str">
        <f>IF(O$77=0," ",O71/SUM($O$71:$O$74))</f>
        <v> </v>
      </c>
      <c r="F573" s="321" t="str">
        <f>IF(Q$77=0," ",Q71/SUM($Q$71:$Q$74))</f>
        <v> </v>
      </c>
      <c r="G573" s="1350" t="str">
        <f>IF(F$77=0," ",F71/SUM($F$71:$F$74))</f>
        <v> </v>
      </c>
      <c r="H573" s="1351"/>
      <c r="I573" s="323"/>
      <c r="J573" s="324"/>
      <c r="K573" s="412">
        <v>0.13</v>
      </c>
      <c r="L573" s="1448">
        <f>K573*K71</f>
        <v>14.1089</v>
      </c>
      <c r="M573" s="1449"/>
      <c r="N573" s="6"/>
      <c r="O573" s="1244">
        <f>K71</f>
        <v>108.53</v>
      </c>
      <c r="P573" s="1245"/>
      <c r="Q573" s="952">
        <f aca="true" t="shared" si="139" ref="Q573:R576">IF(E573=" ",0,E573*$O573)</f>
        <v>0</v>
      </c>
      <c r="R573" s="952">
        <f t="shared" si="139"/>
        <v>0</v>
      </c>
      <c r="S573" s="947"/>
      <c r="T573" s="947"/>
      <c r="U573" s="151"/>
      <c r="V573" s="3"/>
    </row>
    <row r="574" spans="1:22" ht="12.75">
      <c r="A574" s="39">
        <f aca="true" t="shared" si="140" ref="A574:A580">A573+1</f>
        <v>1715</v>
      </c>
      <c r="B574" s="37" t="s">
        <v>1289</v>
      </c>
      <c r="C574" s="37"/>
      <c r="D574" s="113" t="s">
        <v>622</v>
      </c>
      <c r="E574" s="325" t="str">
        <f>IF(O$77=0," ",O72/SUM($O$71:$O$74))</f>
        <v> </v>
      </c>
      <c r="F574" s="321" t="str">
        <f>IF(Q$77=0," ",Q72/SUM($Q$71:$Q$74))</f>
        <v> </v>
      </c>
      <c r="G574" s="1350" t="str">
        <f>IF(F$77=0," ",F72/SUM($F$71:$F$74))</f>
        <v> </v>
      </c>
      <c r="H574" s="1351"/>
      <c r="I574" s="323"/>
      <c r="J574" s="324"/>
      <c r="K574" s="412">
        <v>0.44</v>
      </c>
      <c r="L574" s="1448">
        <f>K574*K72</f>
        <v>60.055600000000005</v>
      </c>
      <c r="M574" s="1449"/>
      <c r="N574" s="6"/>
      <c r="O574" s="1244">
        <f>K72</f>
        <v>136.49</v>
      </c>
      <c r="P574" s="1245"/>
      <c r="Q574" s="952">
        <f t="shared" si="139"/>
        <v>0</v>
      </c>
      <c r="R574" s="952">
        <f t="shared" si="139"/>
        <v>0</v>
      </c>
      <c r="S574" s="947"/>
      <c r="T574" s="947"/>
      <c r="U574" s="151"/>
      <c r="V574" s="3"/>
    </row>
    <row r="575" spans="1:22" ht="12.75">
      <c r="A575" s="39">
        <f t="shared" si="140"/>
        <v>1716</v>
      </c>
      <c r="B575" s="37" t="s">
        <v>1570</v>
      </c>
      <c r="C575" s="37"/>
      <c r="D575" s="113" t="s">
        <v>623</v>
      </c>
      <c r="E575" s="325" t="str">
        <f>IF(O$77=0," ",O73/SUM($O$71:$O$74))</f>
        <v> </v>
      </c>
      <c r="F575" s="321" t="str">
        <f>IF(Q$77=0," ",Q73/SUM($Q$71:$Q$74))</f>
        <v> </v>
      </c>
      <c r="G575" s="1350" t="str">
        <f>IF(F$77=0," ",F73/SUM($F$71:$F$74))</f>
        <v> </v>
      </c>
      <c r="H575" s="1351"/>
      <c r="I575" s="323"/>
      <c r="J575" s="324"/>
      <c r="K575" s="412">
        <v>0.15</v>
      </c>
      <c r="L575" s="1448">
        <f>K575*K73</f>
        <v>18.3915</v>
      </c>
      <c r="M575" s="1449"/>
      <c r="N575" s="6"/>
      <c r="O575" s="1244">
        <f>K73</f>
        <v>122.61</v>
      </c>
      <c r="P575" s="1245"/>
      <c r="Q575" s="952">
        <f t="shared" si="139"/>
        <v>0</v>
      </c>
      <c r="R575" s="952">
        <f t="shared" si="139"/>
        <v>0</v>
      </c>
      <c r="S575" s="947"/>
      <c r="T575" s="947"/>
      <c r="U575" s="151"/>
      <c r="V575" s="3"/>
    </row>
    <row r="576" spans="1:22" ht="12.75">
      <c r="A576" s="39">
        <f t="shared" si="140"/>
        <v>1717</v>
      </c>
      <c r="B576" s="37" t="s">
        <v>1289</v>
      </c>
      <c r="C576" s="37"/>
      <c r="D576" s="113" t="s">
        <v>624</v>
      </c>
      <c r="E576" s="325" t="str">
        <f>IF(O$77=0," ",O74/SUM($O$71:$O$74))</f>
        <v> </v>
      </c>
      <c r="F576" s="321" t="str">
        <f>IF(Q$77=0," ",Q74/SUM($Q$71:$Q$74))</f>
        <v> </v>
      </c>
      <c r="G576" s="1350" t="str">
        <f>IF(F$77=0," ",F74/SUM($F$71:$F$74))</f>
        <v> </v>
      </c>
      <c r="H576" s="1351"/>
      <c r="I576" s="323"/>
      <c r="J576" s="324"/>
      <c r="K576" s="413">
        <v>0.28</v>
      </c>
      <c r="L576" s="1448">
        <f>K576*K74</f>
        <v>43.08080000000001</v>
      </c>
      <c r="M576" s="1449"/>
      <c r="N576" s="6"/>
      <c r="O576" s="1244">
        <f>K74</f>
        <v>153.86</v>
      </c>
      <c r="P576" s="1245"/>
      <c r="Q576" s="952">
        <f t="shared" si="139"/>
        <v>0</v>
      </c>
      <c r="R576" s="952">
        <f t="shared" si="139"/>
        <v>0</v>
      </c>
      <c r="S576" s="947"/>
      <c r="T576" s="947"/>
      <c r="U576" s="151"/>
      <c r="V576" s="3"/>
    </row>
    <row r="577" spans="1:22" ht="12.75">
      <c r="A577" s="36">
        <f t="shared" si="140"/>
        <v>1718</v>
      </c>
      <c r="B577" s="42" t="s">
        <v>2298</v>
      </c>
      <c r="C577" s="42"/>
      <c r="D577" s="42"/>
      <c r="E577" s="426" t="str">
        <f>IF(O77=0," ",SUM(E573:E576))</f>
        <v> </v>
      </c>
      <c r="F577" s="426" t="str">
        <f>IF(Q77=0," ",SUM(F573:F576))</f>
        <v> </v>
      </c>
      <c r="G577" s="1367" t="str">
        <f>IF(F77=0," ",SUM(G573:H576))</f>
        <v> </v>
      </c>
      <c r="H577" s="1367"/>
      <c r="I577" s="323"/>
      <c r="J577" s="324"/>
      <c r="K577" s="426">
        <f>SUM(K573:K576)</f>
        <v>1</v>
      </c>
      <c r="L577" s="1457">
        <f>SUM(L573:M576)</f>
        <v>135.63680000000002</v>
      </c>
      <c r="M577" s="1458"/>
      <c r="N577" s="6"/>
      <c r="O577" s="958"/>
      <c r="P577" s="958"/>
      <c r="Q577" s="952">
        <f>SUM(Q573:Q576)</f>
        <v>0</v>
      </c>
      <c r="R577" s="952">
        <f>SUM(R573:R576)</f>
        <v>0</v>
      </c>
      <c r="S577" s="947"/>
      <c r="T577" s="947"/>
      <c r="U577" s="151"/>
      <c r="V577" s="3"/>
    </row>
    <row r="578" spans="1:22" ht="12.75">
      <c r="A578" s="39">
        <f t="shared" si="140"/>
        <v>1719</v>
      </c>
      <c r="B578" s="327" t="s">
        <v>929</v>
      </c>
      <c r="C578" s="52"/>
      <c r="D578" s="119"/>
      <c r="E578" s="375" t="str">
        <f>IF(O77=0," ",ROUND(Q577,2))</f>
        <v> </v>
      </c>
      <c r="F578" s="375" t="str">
        <f>IF(Q77=0," ",ROUND(R577,2))</f>
        <v> </v>
      </c>
      <c r="G578" s="1368" t="str">
        <f>IF(F77=0," ",ROUND(SUM(L71:M74)/SUM(F71:F74),2))</f>
        <v> </v>
      </c>
      <c r="H578" s="1369"/>
      <c r="I578" s="323"/>
      <c r="J578" s="324"/>
      <c r="K578" s="366"/>
      <c r="L578" s="366"/>
      <c r="M578" s="538"/>
      <c r="N578" s="6"/>
      <c r="O578" s="958"/>
      <c r="P578" s="958"/>
      <c r="Q578" s="955"/>
      <c r="R578" s="947"/>
      <c r="S578" s="947"/>
      <c r="T578" s="947"/>
      <c r="U578" s="151"/>
      <c r="V578" s="3"/>
    </row>
    <row r="579" spans="1:22" ht="12.75">
      <c r="A579" s="39">
        <f t="shared" si="140"/>
        <v>1720</v>
      </c>
      <c r="B579" s="328" t="s">
        <v>930</v>
      </c>
      <c r="C579" s="52"/>
      <c r="D579" s="119"/>
      <c r="E579" s="526">
        <f>$L$577</f>
        <v>135.63680000000002</v>
      </c>
      <c r="F579" s="526">
        <f>$L$577</f>
        <v>135.63680000000002</v>
      </c>
      <c r="G579" s="1372">
        <f>$L$577</f>
        <v>135.63680000000002</v>
      </c>
      <c r="H579" s="1144"/>
      <c r="I579" s="323"/>
      <c r="J579" s="324"/>
      <c r="K579" s="366"/>
      <c r="L579" s="366"/>
      <c r="M579" s="538"/>
      <c r="N579" s="6"/>
      <c r="O579" s="958"/>
      <c r="P579" s="958"/>
      <c r="Q579" s="955"/>
      <c r="R579" s="947"/>
      <c r="S579" s="947"/>
      <c r="T579" s="947"/>
      <c r="U579" s="151"/>
      <c r="V579" s="3"/>
    </row>
    <row r="580" spans="1:22" ht="12.75">
      <c r="A580" s="36">
        <f t="shared" si="140"/>
        <v>1721</v>
      </c>
      <c r="B580" s="418" t="s">
        <v>925</v>
      </c>
      <c r="C580" s="42"/>
      <c r="D580" s="45"/>
      <c r="E580" s="419" t="str">
        <f>IF(O77=0," ",E578/E579-1)</f>
        <v> </v>
      </c>
      <c r="F580" s="419" t="str">
        <f>IF(Q77=0," ",F578/F579-1)</f>
        <v> </v>
      </c>
      <c r="G580" s="1365" t="str">
        <f>IF(F77=0," ",G578/G579-1)</f>
        <v> </v>
      </c>
      <c r="H580" s="1366"/>
      <c r="I580" s="323"/>
      <c r="J580" s="324"/>
      <c r="K580"/>
      <c r="L580" s="366"/>
      <c r="M580" s="538"/>
      <c r="N580" s="6"/>
      <c r="O580" s="958"/>
      <c r="P580" s="958"/>
      <c r="Q580" s="955"/>
      <c r="R580" s="947"/>
      <c r="S580" s="947"/>
      <c r="T580" s="947"/>
      <c r="U580" s="151"/>
      <c r="V580" s="3"/>
    </row>
    <row r="581" spans="1:22" ht="12.75">
      <c r="A581" s="11"/>
      <c r="B581" s="400"/>
      <c r="C581" s="24"/>
      <c r="D581" s="24"/>
      <c r="E581" s="423"/>
      <c r="F581" s="423"/>
      <c r="G581" s="423"/>
      <c r="H581" s="423"/>
      <c r="I581" s="323"/>
      <c r="J581" s="324"/>
      <c r="K581"/>
      <c r="L581" s="366"/>
      <c r="M581" s="538"/>
      <c r="N581" s="6"/>
      <c r="O581" s="958"/>
      <c r="P581" s="958"/>
      <c r="Q581" s="955"/>
      <c r="R581" s="947"/>
      <c r="S581" s="947"/>
      <c r="T581" s="947"/>
      <c r="U581" s="151"/>
      <c r="V581" s="3"/>
    </row>
    <row r="582" spans="2:22" ht="12.75" customHeight="1">
      <c r="B582" s="24" t="s">
        <v>2299</v>
      </c>
      <c r="C582" s="24"/>
      <c r="D582" s="24"/>
      <c r="I582" s="323"/>
      <c r="J582" s="324"/>
      <c r="L582" s="366"/>
      <c r="M582" s="538"/>
      <c r="N582" s="6"/>
      <c r="O582" s="958"/>
      <c r="P582" s="958"/>
      <c r="Q582" s="955"/>
      <c r="R582" s="947"/>
      <c r="S582" s="947"/>
      <c r="T582" s="947"/>
      <c r="U582" s="151"/>
      <c r="V582" s="3"/>
    </row>
    <row r="583" spans="1:22" ht="12.75">
      <c r="A583" s="39">
        <f>A580+1</f>
        <v>1722</v>
      </c>
      <c r="B583" s="37" t="s">
        <v>1316</v>
      </c>
      <c r="C583" s="37"/>
      <c r="D583" s="113" t="s">
        <v>625</v>
      </c>
      <c r="E583" s="325" t="str">
        <f>IF(($O$75+$O$76)=0," ",O75/SUM($O$75:$O$76))</f>
        <v> </v>
      </c>
      <c r="F583" s="321" t="str">
        <f>IF(($Q$75+$Q$76)=0," ",Q75/($Q$75+$Q$76))</f>
        <v> </v>
      </c>
      <c r="G583" s="1350" t="str">
        <f>IF(($F$75+$F$76)=0," ",F75/($F$75+$F$76))</f>
        <v> </v>
      </c>
      <c r="H583" s="1351"/>
      <c r="I583" s="323"/>
      <c r="J583" s="324"/>
      <c r="K583" s="412">
        <v>0.36</v>
      </c>
      <c r="L583" s="1448">
        <f>K583*K75</f>
        <v>22.2012</v>
      </c>
      <c r="M583" s="1449"/>
      <c r="N583" s="6"/>
      <c r="O583" s="1244">
        <f>K75</f>
        <v>61.67</v>
      </c>
      <c r="P583" s="1245"/>
      <c r="Q583" s="952">
        <f>IF(E583=" ",0,E583*$O583)</f>
        <v>0</v>
      </c>
      <c r="R583" s="952">
        <f>IF(F583=" ",0,F583*$O583)</f>
        <v>0</v>
      </c>
      <c r="S583" s="947"/>
      <c r="T583" s="947"/>
      <c r="U583" s="151"/>
      <c r="V583" s="3"/>
    </row>
    <row r="584" spans="1:22" ht="12.75">
      <c r="A584" s="39">
        <f>A583+1</f>
        <v>1723</v>
      </c>
      <c r="B584" s="37" t="s">
        <v>217</v>
      </c>
      <c r="C584" s="37"/>
      <c r="D584" s="113" t="s">
        <v>626</v>
      </c>
      <c r="E584" s="325" t="str">
        <f>IF(($O$75+$O$76)=0," ",O76/SUM($O$75:$O$76))</f>
        <v> </v>
      </c>
      <c r="F584" s="321" t="str">
        <f>IF(($Q$75+$Q$76)=0," ",Q76/($Q$75+$Q$76))</f>
        <v> </v>
      </c>
      <c r="G584" s="1350" t="str">
        <f>IF(($F$75+$F$76)=0," ",F76/($F$75+$F$76))</f>
        <v> </v>
      </c>
      <c r="H584" s="1351"/>
      <c r="I584" s="323"/>
      <c r="J584" s="324"/>
      <c r="K584" s="413">
        <v>0.64</v>
      </c>
      <c r="L584" s="1448">
        <f>K584*K76</f>
        <v>54.976000000000006</v>
      </c>
      <c r="M584" s="1449"/>
      <c r="N584" s="6"/>
      <c r="O584" s="1244">
        <f>K76</f>
        <v>85.9</v>
      </c>
      <c r="P584" s="1245"/>
      <c r="Q584" s="952">
        <f>IF(E584=" ",0,E584*$O584)</f>
        <v>0</v>
      </c>
      <c r="R584" s="952">
        <f>IF(F584=" ",0,F584*$O584)</f>
        <v>0</v>
      </c>
      <c r="S584" s="947"/>
      <c r="T584" s="947"/>
      <c r="U584" s="151"/>
      <c r="V584" s="3"/>
    </row>
    <row r="585" spans="1:22" ht="12.75">
      <c r="A585" s="36">
        <f>A584+1</f>
        <v>1724</v>
      </c>
      <c r="B585" s="42" t="s">
        <v>2300</v>
      </c>
      <c r="C585" s="42"/>
      <c r="D585" s="42"/>
      <c r="E585" s="426" t="str">
        <f>IF(O77=0," ",SUM(E583:E584))</f>
        <v> </v>
      </c>
      <c r="F585" s="426" t="str">
        <f>IF(Q77=0," ",SUM(F583:F584))</f>
        <v> </v>
      </c>
      <c r="G585" s="1367" t="str">
        <f>IF(F77=0," ",SUM(G583:G584))</f>
        <v> </v>
      </c>
      <c r="H585" s="1367">
        <f>SUM(H572:H584)</f>
        <v>0</v>
      </c>
      <c r="I585" s="323"/>
      <c r="J585" s="324"/>
      <c r="K585" s="426">
        <f>SUM(K583:K584)</f>
        <v>1</v>
      </c>
      <c r="L585" s="1457">
        <f>SUM(L583:M584)</f>
        <v>77.1772</v>
      </c>
      <c r="M585" s="1458"/>
      <c r="N585" s="6"/>
      <c r="O585" s="1461"/>
      <c r="P585" s="1461"/>
      <c r="Q585" s="952">
        <f>SUM(Q583:Q584)</f>
        <v>0</v>
      </c>
      <c r="R585" s="952">
        <f>SUM(R583:R584)</f>
        <v>0</v>
      </c>
      <c r="S585" s="947"/>
      <c r="T585" s="947"/>
      <c r="U585" s="151"/>
      <c r="V585" s="3"/>
    </row>
    <row r="586" spans="1:22" ht="12.75">
      <c r="A586" s="39">
        <f>A585+1</f>
        <v>1725</v>
      </c>
      <c r="B586" s="327" t="s">
        <v>929</v>
      </c>
      <c r="C586" s="52"/>
      <c r="D586" s="119"/>
      <c r="E586" s="375" t="str">
        <f>IF(($O$75+$O$76)=0," ",ROUND(Q585,2))</f>
        <v> </v>
      </c>
      <c r="F586" s="375" t="str">
        <f>IF(($Q$75+$Q$76)=0," ",ROUND(R585,2))</f>
        <v> </v>
      </c>
      <c r="G586" s="1368" t="str">
        <f>IF(($F$75+$F$76)=0," ",ROUND(SUM(L75:M76)/SUM(F75:F76),2))</f>
        <v> </v>
      </c>
      <c r="H586" s="1369"/>
      <c r="I586" s="323"/>
      <c r="J586" s="324"/>
      <c r="K586" s="363"/>
      <c r="L586" s="366"/>
      <c r="M586" s="538"/>
      <c r="N586" s="6"/>
      <c r="O586" s="456"/>
      <c r="P586" s="456"/>
      <c r="Q586" s="456"/>
      <c r="R586" s="456"/>
      <c r="S586" s="457"/>
      <c r="T586" s="457"/>
      <c r="U586" s="151"/>
      <c r="V586" s="3"/>
    </row>
    <row r="587" spans="1:22" ht="12.75">
      <c r="A587" s="39">
        <f>A586+1</f>
        <v>1726</v>
      </c>
      <c r="B587" s="328" t="s">
        <v>930</v>
      </c>
      <c r="C587" s="52"/>
      <c r="D587" s="119"/>
      <c r="E587" s="526">
        <f>$L$585</f>
        <v>77.1772</v>
      </c>
      <c r="F587" s="526">
        <f>$L$585</f>
        <v>77.1772</v>
      </c>
      <c r="G587" s="1372">
        <f>$L$585</f>
        <v>77.1772</v>
      </c>
      <c r="H587" s="1144"/>
      <c r="I587" s="323"/>
      <c r="J587" s="324"/>
      <c r="K587" s="366"/>
      <c r="L587" s="366"/>
      <c r="M587" s="538"/>
      <c r="N587" s="6"/>
      <c r="O587" s="824"/>
      <c r="P587" s="824"/>
      <c r="Q587" s="824"/>
      <c r="R587" s="457"/>
      <c r="S587" s="457"/>
      <c r="T587" s="457"/>
      <c r="U587" s="151"/>
      <c r="V587" s="3"/>
    </row>
    <row r="588" spans="1:22" ht="12.75">
      <c r="A588" s="36">
        <f>A587+1</f>
        <v>1727</v>
      </c>
      <c r="B588" s="329" t="s">
        <v>925</v>
      </c>
      <c r="C588" s="52"/>
      <c r="D588" s="119"/>
      <c r="E588" s="330" t="str">
        <f>IF(($O$75+$O$76)=0," ",E586/E587-1)</f>
        <v> </v>
      </c>
      <c r="F588" s="330" t="str">
        <f>IF(($Q$75+$Q$76)=0," ",F586/F587-1)</f>
        <v> </v>
      </c>
      <c r="G588" s="1519" t="str">
        <f>IF(($F$75+$F$76)=0," ",G586/G587-1)</f>
        <v> </v>
      </c>
      <c r="H588" s="1520"/>
      <c r="I588" s="323"/>
      <c r="J588" s="324"/>
      <c r="K588" s="366"/>
      <c r="L588" s="366"/>
      <c r="M588" s="538"/>
      <c r="N588" s="6"/>
      <c r="O588" s="6"/>
      <c r="P588" s="6"/>
      <c r="Q588" s="6"/>
      <c r="R588" s="5"/>
      <c r="S588" s="5"/>
      <c r="T588" s="5"/>
      <c r="U588" s="151"/>
      <c r="V588" s="3"/>
    </row>
    <row r="589" spans="1:22" ht="12.75">
      <c r="A589" s="11"/>
      <c r="B589" s="400"/>
      <c r="C589" s="24"/>
      <c r="D589" s="24"/>
      <c r="E589" s="373"/>
      <c r="F589" s="373"/>
      <c r="G589" s="373"/>
      <c r="H589" s="373"/>
      <c r="I589" s="323"/>
      <c r="J589" s="324"/>
      <c r="K589" s="366"/>
      <c r="L589" s="366"/>
      <c r="M589" s="21"/>
      <c r="N589" s="6"/>
      <c r="O589" s="6"/>
      <c r="P589" s="6"/>
      <c r="Q589" s="6"/>
      <c r="R589" s="5"/>
      <c r="S589" s="5"/>
      <c r="T589" s="5"/>
      <c r="U589" s="151"/>
      <c r="V589" s="3"/>
    </row>
    <row r="590" spans="1:22" ht="12.75">
      <c r="A590" s="11"/>
      <c r="B590" s="78" t="s">
        <v>2292</v>
      </c>
      <c r="C590" s="24"/>
      <c r="D590" s="24"/>
      <c r="E590" s="373"/>
      <c r="F590" s="373"/>
      <c r="G590" s="373"/>
      <c r="H590" s="373"/>
      <c r="I590" s="323"/>
      <c r="J590" s="324"/>
      <c r="K590" s="366"/>
      <c r="L590" s="366"/>
      <c r="M590" s="21"/>
      <c r="N590" s="17"/>
      <c r="O590" s="6"/>
      <c r="P590" s="6"/>
      <c r="Q590" s="6"/>
      <c r="R590" s="5"/>
      <c r="S590" s="5"/>
      <c r="T590" s="5"/>
      <c r="U590" s="151"/>
      <c r="V590" s="3"/>
    </row>
    <row r="591" spans="1:22" ht="12.75">
      <c r="A591" s="11"/>
      <c r="C591" s="24"/>
      <c r="D591" s="24"/>
      <c r="E591" s="373"/>
      <c r="F591" s="373"/>
      <c r="G591" s="373"/>
      <c r="H591" s="373"/>
      <c r="I591" s="323"/>
      <c r="J591" s="324"/>
      <c r="K591" s="366"/>
      <c r="L591" s="366"/>
      <c r="M591" s="21"/>
      <c r="N591" s="17"/>
      <c r="O591" s="6"/>
      <c r="P591" s="6"/>
      <c r="Q591" s="6"/>
      <c r="R591" s="5"/>
      <c r="S591" s="5"/>
      <c r="T591" s="5"/>
      <c r="U591" s="151"/>
      <c r="V591" s="3"/>
    </row>
    <row r="592" spans="1:22" ht="12.75">
      <c r="A592" s="11"/>
      <c r="B592" s="78" t="s">
        <v>2301</v>
      </c>
      <c r="C592" s="24"/>
      <c r="D592" s="24"/>
      <c r="E592" s="373"/>
      <c r="F592" s="373"/>
      <c r="G592" s="373"/>
      <c r="H592" s="373"/>
      <c r="I592" s="323"/>
      <c r="J592" s="324"/>
      <c r="K592" s="366"/>
      <c r="L592" s="366"/>
      <c r="M592" s="21"/>
      <c r="N592" s="17"/>
      <c r="O592" s="6"/>
      <c r="P592" s="6"/>
      <c r="Q592" s="6"/>
      <c r="R592" s="5"/>
      <c r="S592" s="5"/>
      <c r="T592" s="5"/>
      <c r="U592" s="151"/>
      <c r="V592" s="3"/>
    </row>
    <row r="593" spans="1:22" ht="12.75">
      <c r="A593" s="22"/>
      <c r="C593" s="24"/>
      <c r="D593" s="23"/>
      <c r="E593" s="1450" t="s">
        <v>227</v>
      </c>
      <c r="F593" s="1451"/>
      <c r="G593" s="1323" t="s">
        <v>226</v>
      </c>
      <c r="H593" s="1452"/>
      <c r="I593" s="323"/>
      <c r="J593" s="324"/>
      <c r="K593" s="1354" t="s">
        <v>924</v>
      </c>
      <c r="L593" s="366"/>
      <c r="M593" s="538"/>
      <c r="N593" s="17"/>
      <c r="O593" s="6"/>
      <c r="P593" s="6"/>
      <c r="Q593" s="6"/>
      <c r="R593" s="5"/>
      <c r="S593" s="5"/>
      <c r="T593" s="5"/>
      <c r="U593" s="151"/>
      <c r="V593" s="3"/>
    </row>
    <row r="594" spans="1:22" ht="12.75">
      <c r="A594" s="22"/>
      <c r="B594" s="23" t="s">
        <v>2258</v>
      </c>
      <c r="C594" s="24"/>
      <c r="D594" s="27"/>
      <c r="E594" s="420" t="str">
        <f>CONCATENATE($O$8," *)")</f>
        <v>2004 *)</v>
      </c>
      <c r="F594" s="420">
        <f>$Q$8</f>
        <v>2005</v>
      </c>
      <c r="G594" s="1358">
        <f>$E$8</f>
        <v>2006</v>
      </c>
      <c r="H594" s="1359"/>
      <c r="I594" s="323"/>
      <c r="J594" s="324"/>
      <c r="K594" s="1355"/>
      <c r="L594" s="366"/>
      <c r="M594" s="538"/>
      <c r="N594" s="6"/>
      <c r="O594" s="6"/>
      <c r="P594" s="6"/>
      <c r="Q594" s="6"/>
      <c r="R594" s="5"/>
      <c r="S594" s="5"/>
      <c r="T594" s="5"/>
      <c r="U594" s="151"/>
      <c r="V594" s="3"/>
    </row>
    <row r="595" spans="1:22" ht="12.75">
      <c r="A595" s="36">
        <v>1801</v>
      </c>
      <c r="B595" s="93" t="s">
        <v>2158</v>
      </c>
      <c r="C595" s="94"/>
      <c r="D595" s="267" t="s">
        <v>866</v>
      </c>
      <c r="E595" s="430" t="str">
        <f aca="true" t="shared" si="141" ref="E595:E601">IF(O$98=0," ",ROUND(O98/$O$98,1))</f>
        <v> </v>
      </c>
      <c r="F595" s="431" t="str">
        <f>IF(Q$98=0," ",ROUND(Q98/$Q$98,1))</f>
        <v> </v>
      </c>
      <c r="G595" s="1343" t="str">
        <f aca="true" t="shared" si="142" ref="G595:G600">IF(F$98=0," ",ROUND(F98/$F$98,1))</f>
        <v> </v>
      </c>
      <c r="H595" s="1344"/>
      <c r="I595" s="432"/>
      <c r="J595" s="433"/>
      <c r="K595" s="431">
        <v>1</v>
      </c>
      <c r="L595" s="428"/>
      <c r="M595" s="538"/>
      <c r="N595" s="6"/>
      <c r="O595" s="6"/>
      <c r="P595" s="6"/>
      <c r="Q595" s="6"/>
      <c r="R595" s="5"/>
      <c r="S595" s="5"/>
      <c r="T595" s="5"/>
      <c r="U595" s="151"/>
      <c r="V595" s="3"/>
    </row>
    <row r="596" spans="1:22" ht="12.75">
      <c r="A596" s="39">
        <f aca="true" t="shared" si="143" ref="A596:A606">A595+1</f>
        <v>1802</v>
      </c>
      <c r="B596" s="93" t="s">
        <v>2159</v>
      </c>
      <c r="C596" s="94"/>
      <c r="D596" s="267" t="s">
        <v>867</v>
      </c>
      <c r="E596" s="430" t="str">
        <f t="shared" si="141"/>
        <v> </v>
      </c>
      <c r="F596" s="431" t="str">
        <f aca="true" t="shared" si="144" ref="F596:F605">IF(Q$98=0," ",ROUND(Q99/$Q$98,1))</f>
        <v> </v>
      </c>
      <c r="G596" s="1343" t="str">
        <f t="shared" si="142"/>
        <v> </v>
      </c>
      <c r="H596" s="1344"/>
      <c r="I596" s="432"/>
      <c r="J596" s="433"/>
      <c r="K596" s="431">
        <v>2.1</v>
      </c>
      <c r="L596" s="428"/>
      <c r="M596" s="538"/>
      <c r="N596" s="6"/>
      <c r="O596" s="6"/>
      <c r="P596" s="6"/>
      <c r="Q596" s="6"/>
      <c r="R596" s="5"/>
      <c r="S596" s="5"/>
      <c r="T596" s="5"/>
      <c r="U596" s="151"/>
      <c r="V596" s="3"/>
    </row>
    <row r="597" spans="1:22" ht="12.75">
      <c r="A597" s="39">
        <f t="shared" si="143"/>
        <v>1803</v>
      </c>
      <c r="B597" s="93" t="s">
        <v>2160</v>
      </c>
      <c r="C597" s="94"/>
      <c r="D597" s="267" t="s">
        <v>868</v>
      </c>
      <c r="E597" s="430" t="str">
        <f t="shared" si="141"/>
        <v> </v>
      </c>
      <c r="F597" s="431" t="str">
        <f t="shared" si="144"/>
        <v> </v>
      </c>
      <c r="G597" s="1343" t="str">
        <f t="shared" si="142"/>
        <v> </v>
      </c>
      <c r="H597" s="1344"/>
      <c r="I597" s="432"/>
      <c r="J597" s="433"/>
      <c r="K597" s="431">
        <v>1.5</v>
      </c>
      <c r="L597" s="428"/>
      <c r="M597" s="538"/>
      <c r="N597" s="6"/>
      <c r="O597" s="6"/>
      <c r="P597" s="6"/>
      <c r="Q597" s="6"/>
      <c r="R597" s="5"/>
      <c r="S597" s="5"/>
      <c r="T597" s="5"/>
      <c r="U597" s="151"/>
      <c r="V597" s="3"/>
    </row>
    <row r="598" spans="1:22" ht="12.75">
      <c r="A598" s="39">
        <f t="shared" si="143"/>
        <v>1804</v>
      </c>
      <c r="B598" s="93" t="s">
        <v>2161</v>
      </c>
      <c r="C598" s="94"/>
      <c r="D598" s="267" t="s">
        <v>869</v>
      </c>
      <c r="E598" s="430" t="str">
        <f t="shared" si="141"/>
        <v> </v>
      </c>
      <c r="F598" s="431" t="str">
        <f t="shared" si="144"/>
        <v> </v>
      </c>
      <c r="G598" s="1343" t="str">
        <f t="shared" si="142"/>
        <v> </v>
      </c>
      <c r="H598" s="1344"/>
      <c r="I598" s="432"/>
      <c r="J598" s="433"/>
      <c r="K598" s="431">
        <v>1.1</v>
      </c>
      <c r="L598" s="428"/>
      <c r="M598" s="538"/>
      <c r="N598" s="6"/>
      <c r="O598" s="6"/>
      <c r="P598" s="6"/>
      <c r="Q598" s="6"/>
      <c r="R598" s="5"/>
      <c r="S598" s="5"/>
      <c r="T598" s="5"/>
      <c r="U598" s="151"/>
      <c r="V598" s="3"/>
    </row>
    <row r="599" spans="1:22" ht="12.75">
      <c r="A599" s="39">
        <f t="shared" si="143"/>
        <v>1805</v>
      </c>
      <c r="B599" s="93" t="s">
        <v>2162</v>
      </c>
      <c r="C599" s="94"/>
      <c r="D599" s="267" t="s">
        <v>870</v>
      </c>
      <c r="E599" s="430" t="str">
        <f t="shared" si="141"/>
        <v> </v>
      </c>
      <c r="F599" s="431" t="str">
        <f t="shared" si="144"/>
        <v> </v>
      </c>
      <c r="G599" s="1343" t="str">
        <f t="shared" si="142"/>
        <v> </v>
      </c>
      <c r="H599" s="1344"/>
      <c r="I599" s="432"/>
      <c r="J599" s="433"/>
      <c r="K599" s="431">
        <v>0.2</v>
      </c>
      <c r="L599" s="428"/>
      <c r="M599" s="538"/>
      <c r="N599" s="6"/>
      <c r="O599" s="6"/>
      <c r="P599" s="6"/>
      <c r="Q599" s="6"/>
      <c r="R599" s="5"/>
      <c r="S599" s="5"/>
      <c r="T599" s="5"/>
      <c r="U599" s="151"/>
      <c r="V599" s="3"/>
    </row>
    <row r="600" spans="1:22" ht="12.75">
      <c r="A600" s="39">
        <f t="shared" si="143"/>
        <v>1806</v>
      </c>
      <c r="B600" s="93" t="s">
        <v>893</v>
      </c>
      <c r="C600" s="94"/>
      <c r="D600" s="267" t="s">
        <v>871</v>
      </c>
      <c r="E600" s="430" t="str">
        <f t="shared" si="141"/>
        <v> </v>
      </c>
      <c r="F600" s="431" t="str">
        <f t="shared" si="144"/>
        <v> </v>
      </c>
      <c r="G600" s="1343" t="str">
        <f t="shared" si="142"/>
        <v> </v>
      </c>
      <c r="H600" s="1344"/>
      <c r="I600" s="432"/>
      <c r="J600" s="433"/>
      <c r="K600" s="431">
        <v>4.5</v>
      </c>
      <c r="L600" s="428"/>
      <c r="M600" s="538"/>
      <c r="N600" s="6"/>
      <c r="O600" s="6"/>
      <c r="P600" s="6"/>
      <c r="Q600" s="6"/>
      <c r="R600" s="5"/>
      <c r="S600" s="5"/>
      <c r="T600" s="5"/>
      <c r="U600" s="151"/>
      <c r="V600" s="3"/>
    </row>
    <row r="601" spans="1:22" ht="12.75">
      <c r="A601" s="39">
        <f t="shared" si="143"/>
        <v>1807</v>
      </c>
      <c r="B601" s="93" t="s">
        <v>1437</v>
      </c>
      <c r="C601" s="94"/>
      <c r="D601" s="267" t="s">
        <v>1438</v>
      </c>
      <c r="E601" s="430" t="str">
        <f t="shared" si="141"/>
        <v> </v>
      </c>
      <c r="F601" s="431" t="str">
        <f t="shared" si="144"/>
        <v> </v>
      </c>
      <c r="G601" s="1343" t="str">
        <f>IF(F$98=0," ",ROUND(F104/$F$98,1))</f>
        <v> </v>
      </c>
      <c r="H601" s="1344"/>
      <c r="I601" s="432"/>
      <c r="J601" s="433"/>
      <c r="K601" s="431">
        <v>0.6</v>
      </c>
      <c r="L601" s="428"/>
      <c r="M601" s="538"/>
      <c r="N601" s="6"/>
      <c r="O601" s="6"/>
      <c r="P601" s="6"/>
      <c r="Q601" s="6"/>
      <c r="R601" s="5"/>
      <c r="S601" s="5"/>
      <c r="T601" s="5"/>
      <c r="U601" s="151"/>
      <c r="V601" s="3"/>
    </row>
    <row r="602" spans="1:22" ht="12.75">
      <c r="A602" s="39">
        <f t="shared" si="143"/>
        <v>1808</v>
      </c>
      <c r="B602" s="93" t="s">
        <v>2163</v>
      </c>
      <c r="C602" s="94"/>
      <c r="D602" s="267" t="s">
        <v>872</v>
      </c>
      <c r="E602" s="430" t="str">
        <f>IF(O$98=0," ",ROUND(O105/$O$98,1))</f>
        <v> </v>
      </c>
      <c r="F602" s="431" t="str">
        <f t="shared" si="144"/>
        <v> </v>
      </c>
      <c r="G602" s="1343" t="str">
        <f>IF(F$98=0," ",ROUND(F105/$F$98,1))</f>
        <v> </v>
      </c>
      <c r="H602" s="1344"/>
      <c r="I602" s="432"/>
      <c r="J602" s="433"/>
      <c r="K602" s="431">
        <v>2.1</v>
      </c>
      <c r="L602" s="428"/>
      <c r="M602" s="538"/>
      <c r="N602" s="6"/>
      <c r="O602" s="6"/>
      <c r="P602" s="6"/>
      <c r="Q602" s="6"/>
      <c r="R602" s="5"/>
      <c r="S602" s="5"/>
      <c r="T602" s="5"/>
      <c r="U602" s="151"/>
      <c r="V602" s="3"/>
    </row>
    <row r="603" spans="1:22" ht="12.75">
      <c r="A603" s="39">
        <f t="shared" si="143"/>
        <v>1809</v>
      </c>
      <c r="B603" s="93" t="s">
        <v>894</v>
      </c>
      <c r="C603" s="94"/>
      <c r="D603" s="267" t="s">
        <v>887</v>
      </c>
      <c r="E603" s="430" t="str">
        <f>IF(O$98=0," ",ROUND(O106/$O$98,1))</f>
        <v> </v>
      </c>
      <c r="F603" s="431" t="str">
        <f t="shared" si="144"/>
        <v> </v>
      </c>
      <c r="G603" s="1343" t="str">
        <f>IF(F$98=0," ",ROUND(F106/$F$98,1))</f>
        <v> </v>
      </c>
      <c r="H603" s="1344"/>
      <c r="I603" s="432"/>
      <c r="J603" s="433"/>
      <c r="K603" s="431">
        <v>0.1</v>
      </c>
      <c r="L603" s="428"/>
      <c r="M603" s="538"/>
      <c r="N603" s="6"/>
      <c r="O603" s="6"/>
      <c r="P603" s="6"/>
      <c r="Q603" s="6"/>
      <c r="R603" s="5"/>
      <c r="S603" s="5"/>
      <c r="T603" s="5"/>
      <c r="U603" s="151"/>
      <c r="V603" s="3"/>
    </row>
    <row r="604" spans="1:22" ht="12.75">
      <c r="A604" s="39">
        <f t="shared" si="143"/>
        <v>1810</v>
      </c>
      <c r="B604" s="93" t="s">
        <v>902</v>
      </c>
      <c r="C604" s="94"/>
      <c r="D604" s="267" t="s">
        <v>888</v>
      </c>
      <c r="E604" s="430" t="str">
        <f>IF(O$98=0," ",ROUND(O107/$O$98,1))</f>
        <v> </v>
      </c>
      <c r="F604" s="431" t="str">
        <f t="shared" si="144"/>
        <v> </v>
      </c>
      <c r="G604" s="1343" t="str">
        <f>IF(F$98=0," ",ROUND(F107/$F$98,1))</f>
        <v> </v>
      </c>
      <c r="H604" s="1344"/>
      <c r="I604" s="432"/>
      <c r="J604" s="433"/>
      <c r="K604" s="431">
        <v>0</v>
      </c>
      <c r="L604" s="428"/>
      <c r="M604" s="538"/>
      <c r="N604" s="6"/>
      <c r="O604" s="6"/>
      <c r="P604" s="6"/>
      <c r="Q604" s="6"/>
      <c r="R604" s="5"/>
      <c r="S604" s="5"/>
      <c r="T604" s="5"/>
      <c r="U604" s="151"/>
      <c r="V604" s="3"/>
    </row>
    <row r="605" spans="1:22" ht="12.75">
      <c r="A605" s="39">
        <f t="shared" si="143"/>
        <v>1811</v>
      </c>
      <c r="B605" s="93" t="s">
        <v>2303</v>
      </c>
      <c r="C605" s="94"/>
      <c r="D605" s="267" t="s">
        <v>889</v>
      </c>
      <c r="E605" s="438" t="str">
        <f>IF(O$98=0," ",ROUND(O108/$O$98,1))</f>
        <v> </v>
      </c>
      <c r="F605" s="431" t="str">
        <f t="shared" si="144"/>
        <v> </v>
      </c>
      <c r="G605" s="1360" t="str">
        <f>IF(F$98=0," ",ROUND(F108/$F$98,1))</f>
        <v> </v>
      </c>
      <c r="H605" s="1361"/>
      <c r="I605" s="432"/>
      <c r="J605" s="433"/>
      <c r="K605" s="434">
        <v>1.1</v>
      </c>
      <c r="L605" s="428"/>
      <c r="M605" s="538"/>
      <c r="N605" s="6"/>
      <c r="O605" s="6"/>
      <c r="P605" s="6"/>
      <c r="Q605" s="6"/>
      <c r="R605" s="5"/>
      <c r="S605" s="5"/>
      <c r="T605" s="5"/>
      <c r="U605" s="151"/>
      <c r="V605" s="3"/>
    </row>
    <row r="606" spans="1:22" ht="12.75">
      <c r="A606" s="39">
        <f t="shared" si="143"/>
        <v>1812</v>
      </c>
      <c r="B606" s="42" t="s">
        <v>661</v>
      </c>
      <c r="C606" s="42"/>
      <c r="D606" s="42"/>
      <c r="E606" s="439" t="str">
        <f>IF(O98=0," ",SUM(E596:E604))</f>
        <v> </v>
      </c>
      <c r="F606" s="439" t="str">
        <f>IF(Q98=0," ",SUM(F596:F604))</f>
        <v> </v>
      </c>
      <c r="G606" s="1345" t="str">
        <f>IF(F98=0," ",SUM(G596:H604))</f>
        <v> </v>
      </c>
      <c r="H606" s="1345">
        <f>SUM(H598:H605)</f>
        <v>0</v>
      </c>
      <c r="I606" s="432"/>
      <c r="J606" s="433"/>
      <c r="K606" s="439">
        <f>SUM(K596:K604)</f>
        <v>12.2</v>
      </c>
      <c r="L606" s="429"/>
      <c r="M606" s="538"/>
      <c r="N606" s="538"/>
      <c r="O606" s="538"/>
      <c r="P606" s="538"/>
      <c r="Q606" s="538"/>
      <c r="R606" s="537"/>
      <c r="S606" s="537"/>
      <c r="T606" s="537"/>
      <c r="U606" s="151"/>
      <c r="V606" s="3"/>
    </row>
    <row r="607" spans="1:22" ht="12.75">
      <c r="A607" s="379"/>
      <c r="B607" s="340"/>
      <c r="C607" s="340"/>
      <c r="D607" s="340"/>
      <c r="E607" s="435"/>
      <c r="F607" s="435"/>
      <c r="G607" s="436"/>
      <c r="H607" s="436"/>
      <c r="I607" s="432"/>
      <c r="J607" s="433"/>
      <c r="K607" s="437"/>
      <c r="L607" s="372"/>
      <c r="M607" s="538"/>
      <c r="N607" s="538"/>
      <c r="O607" s="538"/>
      <c r="P607" s="538"/>
      <c r="Q607" s="538"/>
      <c r="R607" s="537"/>
      <c r="S607" s="537"/>
      <c r="T607" s="537"/>
      <c r="U607" s="151"/>
      <c r="V607" s="3"/>
    </row>
    <row r="608" spans="1:22" ht="12.75">
      <c r="A608" s="11"/>
      <c r="B608" s="24" t="s">
        <v>2259</v>
      </c>
      <c r="C608" s="24"/>
      <c r="D608" s="25"/>
      <c r="E608" s="364"/>
      <c r="F608" s="364"/>
      <c r="G608" s="1348"/>
      <c r="H608" s="1349"/>
      <c r="I608" s="323"/>
      <c r="J608" s="361"/>
      <c r="K608" s="366"/>
      <c r="L608" s="366"/>
      <c r="M608" s="538"/>
      <c r="N608" s="538"/>
      <c r="O608" s="538"/>
      <c r="P608" s="538"/>
      <c r="Q608" s="538"/>
      <c r="R608" s="537"/>
      <c r="S608" s="537"/>
      <c r="T608" s="537"/>
      <c r="U608" s="151"/>
      <c r="V608" s="3"/>
    </row>
    <row r="609" spans="1:22" ht="12.75">
      <c r="A609" s="36">
        <f>A606+1</f>
        <v>1813</v>
      </c>
      <c r="B609" s="93" t="s">
        <v>2158</v>
      </c>
      <c r="C609" s="94"/>
      <c r="D609" s="267" t="s">
        <v>873</v>
      </c>
      <c r="E609" s="430" t="str">
        <f aca="true" t="shared" si="145" ref="E609:E615">IF(O$111=0," ",ROUND(O111/$O$111,1))</f>
        <v> </v>
      </c>
      <c r="F609" s="431" t="str">
        <f>IF(Q$111=0," ",ROUND(Q111/$Q$111,1))</f>
        <v> </v>
      </c>
      <c r="G609" s="1343" t="str">
        <f aca="true" t="shared" si="146" ref="G609:G614">IF(F$111=0," ",ROUND(F111/$F$111,1))</f>
        <v> </v>
      </c>
      <c r="H609" s="1344"/>
      <c r="I609" s="323"/>
      <c r="J609" s="324"/>
      <c r="K609" s="430">
        <v>1</v>
      </c>
      <c r="L609" s="366"/>
      <c r="M609" s="538"/>
      <c r="N609" s="538"/>
      <c r="O609" s="538"/>
      <c r="P609" s="538"/>
      <c r="Q609" s="538"/>
      <c r="R609" s="537"/>
      <c r="S609" s="537"/>
      <c r="T609" s="537"/>
      <c r="U609" s="151"/>
      <c r="V609" s="3"/>
    </row>
    <row r="610" spans="1:21" ht="12.75">
      <c r="A610" s="39">
        <f aca="true" t="shared" si="147" ref="A610:A620">A609+1</f>
        <v>1814</v>
      </c>
      <c r="B610" s="93" t="s">
        <v>2159</v>
      </c>
      <c r="C610" s="94"/>
      <c r="D610" s="267" t="s">
        <v>874</v>
      </c>
      <c r="E610" s="430" t="str">
        <f t="shared" si="145"/>
        <v> </v>
      </c>
      <c r="F610" s="431" t="str">
        <f aca="true" t="shared" si="148" ref="F610:F619">IF(Q$111=0," ",ROUND(Q112/$Q$111,1))</f>
        <v> </v>
      </c>
      <c r="G610" s="1343" t="str">
        <f t="shared" si="146"/>
        <v> </v>
      </c>
      <c r="H610" s="1344"/>
      <c r="I610" s="323"/>
      <c r="J610" s="324"/>
      <c r="K610" s="430">
        <v>2.2</v>
      </c>
      <c r="L610" s="366"/>
      <c r="M610" s="538"/>
      <c r="N610" s="538"/>
      <c r="O610" s="538"/>
      <c r="P610" s="538"/>
      <c r="Q610" s="538"/>
      <c r="R610" s="537"/>
      <c r="S610" s="537"/>
      <c r="T610" s="537"/>
      <c r="U610" s="151"/>
    </row>
    <row r="611" spans="1:21" ht="12.75">
      <c r="A611" s="39">
        <f t="shared" si="147"/>
        <v>1815</v>
      </c>
      <c r="B611" s="93" t="s">
        <v>2160</v>
      </c>
      <c r="C611" s="94"/>
      <c r="D611" s="267" t="s">
        <v>875</v>
      </c>
      <c r="E611" s="430" t="str">
        <f t="shared" si="145"/>
        <v> </v>
      </c>
      <c r="F611" s="431" t="str">
        <f t="shared" si="148"/>
        <v> </v>
      </c>
      <c r="G611" s="1343" t="str">
        <f t="shared" si="146"/>
        <v> </v>
      </c>
      <c r="H611" s="1344"/>
      <c r="I611" s="323"/>
      <c r="J611" s="324"/>
      <c r="K611" s="430">
        <v>0.6</v>
      </c>
      <c r="L611" s="366"/>
      <c r="M611" s="538"/>
      <c r="N611" s="538"/>
      <c r="O611" s="538"/>
      <c r="P611" s="538"/>
      <c r="Q611" s="538"/>
      <c r="R611" s="537"/>
      <c r="S611" s="537"/>
      <c r="T611" s="537"/>
      <c r="U611" s="151"/>
    </row>
    <row r="612" spans="1:21" ht="12.75">
      <c r="A612" s="39">
        <f t="shared" si="147"/>
        <v>1816</v>
      </c>
      <c r="B612" s="93" t="s">
        <v>2161</v>
      </c>
      <c r="C612" s="94"/>
      <c r="D612" s="267" t="s">
        <v>876</v>
      </c>
      <c r="E612" s="430" t="str">
        <f t="shared" si="145"/>
        <v> </v>
      </c>
      <c r="F612" s="431" t="str">
        <f t="shared" si="148"/>
        <v> </v>
      </c>
      <c r="G612" s="1343" t="str">
        <f t="shared" si="146"/>
        <v> </v>
      </c>
      <c r="H612" s="1344"/>
      <c r="I612" s="323"/>
      <c r="J612" s="324"/>
      <c r="K612" s="430">
        <v>1.2</v>
      </c>
      <c r="L612" s="366"/>
      <c r="M612" s="538"/>
      <c r="N612" s="538"/>
      <c r="O612" s="538"/>
      <c r="P612" s="538"/>
      <c r="Q612" s="538"/>
      <c r="R612" s="537"/>
      <c r="S612" s="537"/>
      <c r="T612" s="537"/>
      <c r="U612" s="151"/>
    </row>
    <row r="613" spans="1:21" ht="12.75">
      <c r="A613" s="39">
        <f t="shared" si="147"/>
        <v>1817</v>
      </c>
      <c r="B613" s="93" t="s">
        <v>2162</v>
      </c>
      <c r="C613" s="94"/>
      <c r="D613" s="267" t="s">
        <v>877</v>
      </c>
      <c r="E613" s="430" t="str">
        <f t="shared" si="145"/>
        <v> </v>
      </c>
      <c r="F613" s="431" t="str">
        <f t="shared" si="148"/>
        <v> </v>
      </c>
      <c r="G613" s="1343" t="str">
        <f t="shared" si="146"/>
        <v> </v>
      </c>
      <c r="H613" s="1344"/>
      <c r="I613" s="323"/>
      <c r="J613" s="324"/>
      <c r="K613" s="430">
        <v>0.4</v>
      </c>
      <c r="L613" s="366"/>
      <c r="M613" s="21"/>
      <c r="N613" s="538"/>
      <c r="O613" s="538"/>
      <c r="P613" s="538"/>
      <c r="Q613" s="538"/>
      <c r="R613" s="537"/>
      <c r="S613" s="537"/>
      <c r="T613" s="537"/>
      <c r="U613" s="151"/>
    </row>
    <row r="614" spans="1:21" ht="12.75">
      <c r="A614" s="39">
        <f t="shared" si="147"/>
        <v>1818</v>
      </c>
      <c r="B614" s="93" t="s">
        <v>893</v>
      </c>
      <c r="C614" s="94"/>
      <c r="D614" s="267" t="s">
        <v>878</v>
      </c>
      <c r="E614" s="430" t="str">
        <f t="shared" si="145"/>
        <v> </v>
      </c>
      <c r="F614" s="431" t="str">
        <f t="shared" si="148"/>
        <v> </v>
      </c>
      <c r="G614" s="1343" t="str">
        <f t="shared" si="146"/>
        <v> </v>
      </c>
      <c r="H614" s="1344"/>
      <c r="I614" s="323"/>
      <c r="J614" s="324"/>
      <c r="K614" s="430">
        <v>9.4</v>
      </c>
      <c r="L614" s="366"/>
      <c r="M614" s="21"/>
      <c r="N614" s="21"/>
      <c r="O614" s="538"/>
      <c r="P614" s="538"/>
      <c r="Q614" s="538"/>
      <c r="R614" s="537"/>
      <c r="S614" s="537"/>
      <c r="T614" s="537"/>
      <c r="U614" s="151"/>
    </row>
    <row r="615" spans="1:21" ht="12.75">
      <c r="A615" s="39">
        <f t="shared" si="147"/>
        <v>1819</v>
      </c>
      <c r="B615" s="93" t="s">
        <v>1437</v>
      </c>
      <c r="C615" s="94"/>
      <c r="D615" s="267" t="s">
        <v>1440</v>
      </c>
      <c r="E615" s="430" t="str">
        <f t="shared" si="145"/>
        <v> </v>
      </c>
      <c r="F615" s="431" t="str">
        <f t="shared" si="148"/>
        <v> </v>
      </c>
      <c r="G615" s="1343" t="str">
        <f>IF(F$111=0," ",ROUND(F117/$F$111,1))</f>
        <v> </v>
      </c>
      <c r="H615" s="1344"/>
      <c r="I615" s="323"/>
      <c r="J615" s="324"/>
      <c r="K615" s="430">
        <v>1.2</v>
      </c>
      <c r="L615" s="366"/>
      <c r="M615" s="21"/>
      <c r="N615" s="21"/>
      <c r="O615" s="538"/>
      <c r="P615" s="538"/>
      <c r="Q615" s="538"/>
      <c r="R615" s="537"/>
      <c r="S615" s="537"/>
      <c r="T615" s="537"/>
      <c r="U615" s="151"/>
    </row>
    <row r="616" spans="1:21" ht="12.75">
      <c r="A616" s="39">
        <f t="shared" si="147"/>
        <v>1820</v>
      </c>
      <c r="B616" s="93" t="s">
        <v>2163</v>
      </c>
      <c r="C616" s="94"/>
      <c r="D616" s="267" t="s">
        <v>879</v>
      </c>
      <c r="E616" s="430" t="str">
        <f>IF(O$111=0," ",ROUND(O118/$O$111,1))</f>
        <v> </v>
      </c>
      <c r="F616" s="431" t="str">
        <f t="shared" si="148"/>
        <v> </v>
      </c>
      <c r="G616" s="1343" t="str">
        <f>IF(F$111=0," ",ROUND(F118/$F$111,1))</f>
        <v> </v>
      </c>
      <c r="H616" s="1344"/>
      <c r="I616" s="323"/>
      <c r="J616" s="324"/>
      <c r="K616" s="430">
        <v>1.8</v>
      </c>
      <c r="L616" s="366"/>
      <c r="M616" s="21"/>
      <c r="N616" s="21"/>
      <c r="O616" s="538"/>
      <c r="P616" s="538"/>
      <c r="Q616" s="538"/>
      <c r="R616" s="537"/>
      <c r="S616" s="537"/>
      <c r="T616" s="537"/>
      <c r="U616" s="151"/>
    </row>
    <row r="617" spans="1:21" ht="12.75">
      <c r="A617" s="39">
        <f t="shared" si="147"/>
        <v>1821</v>
      </c>
      <c r="B617" s="93" t="s">
        <v>894</v>
      </c>
      <c r="C617" s="94"/>
      <c r="D617" s="267" t="s">
        <v>890</v>
      </c>
      <c r="E617" s="430" t="str">
        <f>IF(O$111=0," ",ROUND(O119/$O$111,1))</f>
        <v> </v>
      </c>
      <c r="F617" s="431" t="str">
        <f t="shared" si="148"/>
        <v> </v>
      </c>
      <c r="G617" s="1343" t="str">
        <f>IF(F$111=0," ",ROUND(F119/$F$111,1))</f>
        <v> </v>
      </c>
      <c r="H617" s="1344"/>
      <c r="I617" s="323"/>
      <c r="J617" s="324"/>
      <c r="K617" s="430">
        <v>0.4</v>
      </c>
      <c r="L617" s="366"/>
      <c r="M617" s="21"/>
      <c r="N617" s="21"/>
      <c r="O617" s="538"/>
      <c r="P617" s="538"/>
      <c r="Q617" s="538"/>
      <c r="R617" s="537"/>
      <c r="S617" s="537"/>
      <c r="T617" s="537"/>
      <c r="U617" s="151"/>
    </row>
    <row r="618" spans="1:21" ht="12.75">
      <c r="A618" s="39">
        <f t="shared" si="147"/>
        <v>1822</v>
      </c>
      <c r="B618" s="93" t="s">
        <v>902</v>
      </c>
      <c r="C618" s="94"/>
      <c r="D618" s="267" t="s">
        <v>891</v>
      </c>
      <c r="E618" s="430" t="str">
        <f>IF(O$111=0," ",ROUND(O120/$O$111,1))</f>
        <v> </v>
      </c>
      <c r="F618" s="431" t="str">
        <f t="shared" si="148"/>
        <v> </v>
      </c>
      <c r="G618" s="1343" t="str">
        <f>IF(F$111=0," ",ROUND(F120/$F$111,1))</f>
        <v> </v>
      </c>
      <c r="H618" s="1344"/>
      <c r="I618" s="323"/>
      <c r="J618" s="324"/>
      <c r="K618" s="430">
        <v>0.1</v>
      </c>
      <c r="L618" s="366"/>
      <c r="M618" s="21"/>
      <c r="N618" s="21"/>
      <c r="O618" s="538"/>
      <c r="P618" s="538"/>
      <c r="Q618" s="538"/>
      <c r="R618" s="537"/>
      <c r="S618" s="537"/>
      <c r="T618" s="537"/>
      <c r="U618" s="151"/>
    </row>
    <row r="619" spans="1:21" ht="12.75">
      <c r="A619" s="39">
        <f t="shared" si="147"/>
        <v>1823</v>
      </c>
      <c r="B619" s="93" t="s">
        <v>2303</v>
      </c>
      <c r="C619" s="94"/>
      <c r="D619" s="267" t="s">
        <v>892</v>
      </c>
      <c r="E619" s="430" t="str">
        <f>IF(O$111=0," ",ROUND(O121/$O$111,1))</f>
        <v> </v>
      </c>
      <c r="F619" s="431" t="str">
        <f t="shared" si="148"/>
        <v> </v>
      </c>
      <c r="G619" s="1343" t="str">
        <f>IF(F$111=0," ",ROUND(F121/$F$111,1))</f>
        <v> </v>
      </c>
      <c r="H619" s="1344"/>
      <c r="I619" s="323"/>
      <c r="J619" s="324"/>
      <c r="K619" s="438">
        <v>1.6</v>
      </c>
      <c r="L619" s="366"/>
      <c r="N619" s="21"/>
      <c r="O619" s="538"/>
      <c r="P619" s="538"/>
      <c r="Q619" s="538"/>
      <c r="R619" s="537"/>
      <c r="S619" s="537"/>
      <c r="T619" s="537"/>
      <c r="U619" s="151"/>
    </row>
    <row r="620" spans="1:21" ht="12.75">
      <c r="A620" s="36">
        <f t="shared" si="147"/>
        <v>1824</v>
      </c>
      <c r="B620" s="42" t="s">
        <v>661</v>
      </c>
      <c r="C620" s="42"/>
      <c r="D620" s="42"/>
      <c r="E620" s="439" t="str">
        <f>IF(O111=0," ",SUM(E610:E618))</f>
        <v> </v>
      </c>
      <c r="F620" s="439" t="str">
        <f>IF(Q111=0," ",SUM(F610:F618))</f>
        <v> </v>
      </c>
      <c r="G620" s="1345" t="str">
        <f>IF(F111=0," ",SUM(G610:H618))</f>
        <v> </v>
      </c>
      <c r="H620" s="1345">
        <f>SUM(H612:H619)</f>
        <v>0</v>
      </c>
      <c r="I620" s="323"/>
      <c r="J620" s="324"/>
      <c r="K620" s="439">
        <f>SUM(K610:K618)</f>
        <v>17.3</v>
      </c>
      <c r="L620" s="366"/>
      <c r="U620" s="151"/>
    </row>
    <row r="621" spans="1:21" ht="12.75">
      <c r="A621" s="11"/>
      <c r="B621" s="24"/>
      <c r="C621" s="24"/>
      <c r="D621" s="24"/>
      <c r="E621" s="435"/>
      <c r="F621" s="437"/>
      <c r="G621" s="923"/>
      <c r="H621" s="923"/>
      <c r="I621" s="323"/>
      <c r="J621" s="324"/>
      <c r="K621" s="437"/>
      <c r="L621" s="366"/>
      <c r="U621" s="151"/>
    </row>
    <row r="622" spans="9:21" ht="12.75">
      <c r="I622" s="323"/>
      <c r="J622" s="361"/>
      <c r="K622" s="366"/>
      <c r="L622" s="366"/>
      <c r="M622" s="133"/>
      <c r="U622" s="151"/>
    </row>
    <row r="623" spans="1:25" s="369" customFormat="1" ht="6.75" customHeight="1">
      <c r="A623" s="11"/>
      <c r="B623" s="24"/>
      <c r="C623" s="24"/>
      <c r="D623" s="24"/>
      <c r="E623" s="372"/>
      <c r="F623" s="372"/>
      <c r="G623" s="373"/>
      <c r="H623" s="373"/>
      <c r="I623" s="323"/>
      <c r="J623" s="324"/>
      <c r="K623" s="374"/>
      <c r="L623" s="374"/>
      <c r="N623" s="133"/>
      <c r="O623" s="133"/>
      <c r="P623"/>
      <c r="Q623"/>
      <c r="R623"/>
      <c r="S623"/>
      <c r="T623"/>
      <c r="U623" s="151"/>
      <c r="X623" s="915"/>
      <c r="Y623" s="920"/>
    </row>
    <row r="624" spans="1:25" s="369" customFormat="1" ht="12.75">
      <c r="A624" s="11" t="s">
        <v>1391</v>
      </c>
      <c r="B624" s="78" t="s">
        <v>2302</v>
      </c>
      <c r="C624" s="24"/>
      <c r="D624" s="24"/>
      <c r="E624" s="372"/>
      <c r="F624" s="372"/>
      <c r="G624" s="373"/>
      <c r="H624" s="373"/>
      <c r="I624" s="323"/>
      <c r="J624" s="324"/>
      <c r="K624" s="374"/>
      <c r="L624" s="374"/>
      <c r="U624" s="151"/>
      <c r="X624" s="915"/>
      <c r="Y624" s="920"/>
    </row>
    <row r="625" spans="1:25" s="369" customFormat="1" ht="6.75" customHeight="1">
      <c r="A625" s="11"/>
      <c r="B625" s="24"/>
      <c r="C625" s="24"/>
      <c r="D625" s="24"/>
      <c r="E625" s="372"/>
      <c r="F625" s="372"/>
      <c r="G625" s="373"/>
      <c r="H625" s="373"/>
      <c r="I625" s="323"/>
      <c r="J625" s="324"/>
      <c r="K625" s="374"/>
      <c r="L625" s="374"/>
      <c r="U625" s="151"/>
      <c r="X625" s="915"/>
      <c r="Y625" s="920"/>
    </row>
    <row r="626" spans="1:25" s="369" customFormat="1" ht="12.75">
      <c r="A626" s="11"/>
      <c r="B626" s="24"/>
      <c r="C626" s="24"/>
      <c r="D626" s="24"/>
      <c r="E626" s="1450" t="s">
        <v>227</v>
      </c>
      <c r="F626" s="1451"/>
      <c r="G626" s="1323" t="s">
        <v>226</v>
      </c>
      <c r="H626" s="1452"/>
      <c r="I626" s="323"/>
      <c r="J626" s="324"/>
      <c r="K626" s="1354" t="s">
        <v>924</v>
      </c>
      <c r="L626" s="374"/>
      <c r="U626" s="151"/>
      <c r="X626" s="915"/>
      <c r="Y626" s="920"/>
    </row>
    <row r="627" spans="1:25" s="369" customFormat="1" ht="12.75">
      <c r="A627" s="11"/>
      <c r="B627" s="24" t="s">
        <v>2260</v>
      </c>
      <c r="C627" s="24"/>
      <c r="D627" s="25"/>
      <c r="E627" s="420" t="str">
        <f>CONCATENATE($O$8," *)")</f>
        <v>2004 *)</v>
      </c>
      <c r="F627" s="420">
        <f>$Q$8</f>
        <v>2005</v>
      </c>
      <c r="G627" s="1358">
        <f>$E$8</f>
        <v>2006</v>
      </c>
      <c r="H627" s="1359"/>
      <c r="I627" s="323"/>
      <c r="J627" s="324"/>
      <c r="K627" s="1355"/>
      <c r="L627" s="374"/>
      <c r="U627" s="151"/>
      <c r="X627" s="915"/>
      <c r="Y627" s="920"/>
    </row>
    <row r="628" spans="1:25" s="369" customFormat="1" ht="12.75">
      <c r="A628" s="36">
        <v>1901</v>
      </c>
      <c r="B628" s="93" t="s">
        <v>2158</v>
      </c>
      <c r="C628" s="94"/>
      <c r="D628" s="267" t="s">
        <v>592</v>
      </c>
      <c r="E628" s="430" t="str">
        <f aca="true" t="shared" si="149" ref="E628:E634">IF(O$124=0," ",ROUND(O124/$O$124,1))</f>
        <v> </v>
      </c>
      <c r="F628" s="431" t="str">
        <f aca="true" t="shared" si="150" ref="F628:F633">IF(Q$124=0," ",ROUND(Q124/$Q$124,1))</f>
        <v> </v>
      </c>
      <c r="G628" s="1343" t="str">
        <f aca="true" t="shared" si="151" ref="G628:G633">IF(F$124=0," ",ROUND(F124/$F$124,1))</f>
        <v> </v>
      </c>
      <c r="H628" s="1344"/>
      <c r="I628" s="323"/>
      <c r="J628" s="324"/>
      <c r="K628" s="430">
        <v>1</v>
      </c>
      <c r="L628" s="374"/>
      <c r="U628" s="151"/>
      <c r="X628" s="915"/>
      <c r="Y628" s="920"/>
    </row>
    <row r="629" spans="1:25" s="369" customFormat="1" ht="12.75">
      <c r="A629" s="39">
        <f aca="true" t="shared" si="152" ref="A629:A639">A628+1</f>
        <v>1902</v>
      </c>
      <c r="B629" s="93" t="s">
        <v>2159</v>
      </c>
      <c r="C629" s="94"/>
      <c r="D629" s="267" t="s">
        <v>593</v>
      </c>
      <c r="E629" s="430" t="str">
        <f t="shared" si="149"/>
        <v> </v>
      </c>
      <c r="F629" s="431" t="str">
        <f t="shared" si="150"/>
        <v> </v>
      </c>
      <c r="G629" s="1343" t="str">
        <f t="shared" si="151"/>
        <v> </v>
      </c>
      <c r="H629" s="1344"/>
      <c r="I629" s="323"/>
      <c r="J629" s="324"/>
      <c r="K629" s="430">
        <v>1.6</v>
      </c>
      <c r="L629" s="374"/>
      <c r="U629" s="151"/>
      <c r="X629" s="915"/>
      <c r="Y629" s="920"/>
    </row>
    <row r="630" spans="1:25" s="369" customFormat="1" ht="12.75">
      <c r="A630" s="39">
        <f t="shared" si="152"/>
        <v>1903</v>
      </c>
      <c r="B630" s="93" t="s">
        <v>2160</v>
      </c>
      <c r="C630" s="94"/>
      <c r="D630" s="267" t="s">
        <v>594</v>
      </c>
      <c r="E630" s="430" t="str">
        <f t="shared" si="149"/>
        <v> </v>
      </c>
      <c r="F630" s="431" t="str">
        <f t="shared" si="150"/>
        <v> </v>
      </c>
      <c r="G630" s="1343" t="str">
        <f t="shared" si="151"/>
        <v> </v>
      </c>
      <c r="H630" s="1344"/>
      <c r="I630" s="323"/>
      <c r="J630" s="324"/>
      <c r="K630" s="430">
        <v>0.5</v>
      </c>
      <c r="L630" s="374"/>
      <c r="U630" s="151"/>
      <c r="X630" s="915"/>
      <c r="Y630" s="920"/>
    </row>
    <row r="631" spans="1:25" s="369" customFormat="1" ht="12.75">
      <c r="A631" s="39">
        <f t="shared" si="152"/>
        <v>1904</v>
      </c>
      <c r="B631" s="93" t="s">
        <v>2161</v>
      </c>
      <c r="C631" s="94"/>
      <c r="D631" s="267" t="s">
        <v>595</v>
      </c>
      <c r="E631" s="430" t="str">
        <f t="shared" si="149"/>
        <v> </v>
      </c>
      <c r="F631" s="431" t="str">
        <f t="shared" si="150"/>
        <v> </v>
      </c>
      <c r="G631" s="1343" t="str">
        <f t="shared" si="151"/>
        <v> </v>
      </c>
      <c r="H631" s="1344"/>
      <c r="I631" s="323"/>
      <c r="J631" s="324"/>
      <c r="K631" s="430">
        <v>0.2</v>
      </c>
      <c r="L631" s="374"/>
      <c r="U631" s="151"/>
      <c r="X631" s="915"/>
      <c r="Y631" s="920"/>
    </row>
    <row r="632" spans="1:25" s="369" customFormat="1" ht="12.75">
      <c r="A632" s="39">
        <f t="shared" si="152"/>
        <v>1905</v>
      </c>
      <c r="B632" s="93" t="s">
        <v>2162</v>
      </c>
      <c r="C632" s="94"/>
      <c r="D632" s="267" t="s">
        <v>596</v>
      </c>
      <c r="E632" s="430" t="str">
        <f t="shared" si="149"/>
        <v> </v>
      </c>
      <c r="F632" s="431" t="str">
        <f t="shared" si="150"/>
        <v> </v>
      </c>
      <c r="G632" s="1343" t="str">
        <f t="shared" si="151"/>
        <v> </v>
      </c>
      <c r="H632" s="1344"/>
      <c r="I632" s="323"/>
      <c r="J632" s="324"/>
      <c r="K632" s="430">
        <v>0.1</v>
      </c>
      <c r="L632" s="374"/>
      <c r="U632" s="151"/>
      <c r="X632" s="915"/>
      <c r="Y632" s="920"/>
    </row>
    <row r="633" spans="1:25" s="369" customFormat="1" ht="12.75">
      <c r="A633" s="39">
        <f t="shared" si="152"/>
        <v>1906</v>
      </c>
      <c r="B633" s="93" t="s">
        <v>893</v>
      </c>
      <c r="C633" s="94"/>
      <c r="D633" s="267" t="s">
        <v>597</v>
      </c>
      <c r="E633" s="430" t="str">
        <f t="shared" si="149"/>
        <v> </v>
      </c>
      <c r="F633" s="431" t="str">
        <f t="shared" si="150"/>
        <v> </v>
      </c>
      <c r="G633" s="1343" t="str">
        <f t="shared" si="151"/>
        <v> </v>
      </c>
      <c r="H633" s="1344"/>
      <c r="I633" s="323"/>
      <c r="J633" s="324"/>
      <c r="K633" s="430">
        <v>8.1</v>
      </c>
      <c r="L633" s="374"/>
      <c r="U633" s="151"/>
      <c r="X633" s="915"/>
      <c r="Y633" s="920"/>
    </row>
    <row r="634" spans="1:25" s="369" customFormat="1" ht="12.75">
      <c r="A634" s="39">
        <f t="shared" si="152"/>
        <v>1907</v>
      </c>
      <c r="B634" s="93" t="s">
        <v>1437</v>
      </c>
      <c r="C634" s="94"/>
      <c r="D634" s="267" t="s">
        <v>1442</v>
      </c>
      <c r="E634" s="430" t="str">
        <f t="shared" si="149"/>
        <v> </v>
      </c>
      <c r="F634" s="431" t="str">
        <f>IF(Q$124=0," ",ROUND(Q130/$Q$124,1))</f>
        <v> </v>
      </c>
      <c r="G634" s="1343" t="str">
        <f>IF(F$124=0," ",ROUND(F130/$F$124,1))</f>
        <v> </v>
      </c>
      <c r="H634" s="1344"/>
      <c r="I634" s="323"/>
      <c r="J634" s="324"/>
      <c r="K634" s="430">
        <v>1.1</v>
      </c>
      <c r="L634" s="374"/>
      <c r="U634" s="151"/>
      <c r="X634" s="915"/>
      <c r="Y634" s="920"/>
    </row>
    <row r="635" spans="1:25" s="369" customFormat="1" ht="12.75">
      <c r="A635" s="39">
        <f t="shared" si="152"/>
        <v>1908</v>
      </c>
      <c r="B635" s="93" t="s">
        <v>2163</v>
      </c>
      <c r="C635" s="94"/>
      <c r="D635" s="267" t="s">
        <v>598</v>
      </c>
      <c r="E635" s="430" t="str">
        <f>IF(O$124=0," ",ROUND(O131/$O$124,1))</f>
        <v> </v>
      </c>
      <c r="F635" s="431" t="str">
        <f>IF(Q$124=0," ",ROUND(Q131/$Q$124,1))</f>
        <v> </v>
      </c>
      <c r="G635" s="1343" t="str">
        <f>IF(F$124=0," ",ROUND(F131/$F$124,1))</f>
        <v> </v>
      </c>
      <c r="H635" s="1344"/>
      <c r="I635" s="323"/>
      <c r="J635" s="324"/>
      <c r="K635" s="430">
        <v>0.8</v>
      </c>
      <c r="L635" s="374"/>
      <c r="U635" s="151"/>
      <c r="X635" s="915"/>
      <c r="Y635" s="920"/>
    </row>
    <row r="636" spans="1:25" s="369" customFormat="1" ht="12.75">
      <c r="A636" s="39">
        <f t="shared" si="152"/>
        <v>1909</v>
      </c>
      <c r="B636" s="93" t="s">
        <v>894</v>
      </c>
      <c r="C636" s="94"/>
      <c r="D636" s="267" t="s">
        <v>599</v>
      </c>
      <c r="E636" s="430" t="str">
        <f>IF(O$124=0," ",ROUND(O132/$O$124,1))</f>
        <v> </v>
      </c>
      <c r="F636" s="431" t="str">
        <f>IF(Q$124=0," ",ROUND(Q132/$Q$124,1))</f>
        <v> </v>
      </c>
      <c r="G636" s="1343" t="str">
        <f>IF(F$124=0," ",ROUND(F132/$F$124,1))</f>
        <v> </v>
      </c>
      <c r="H636" s="1344"/>
      <c r="I636" s="323"/>
      <c r="J636" s="324"/>
      <c r="K636" s="430">
        <v>0.3</v>
      </c>
      <c r="L636" s="374"/>
      <c r="U636" s="151"/>
      <c r="X636" s="915"/>
      <c r="Y636" s="920"/>
    </row>
    <row r="637" spans="1:25" s="369" customFormat="1" ht="12.75">
      <c r="A637" s="39">
        <f t="shared" si="152"/>
        <v>1910</v>
      </c>
      <c r="B637" s="93" t="s">
        <v>902</v>
      </c>
      <c r="C637" s="94"/>
      <c r="D637" s="267" t="s">
        <v>600</v>
      </c>
      <c r="E637" s="430" t="str">
        <f>IF(O$124=0," ",ROUND(O133/$O$124,1))</f>
        <v> </v>
      </c>
      <c r="F637" s="431" t="str">
        <f>IF(Q$124=0," ",ROUND(Q133/$Q$124,1))</f>
        <v> </v>
      </c>
      <c r="G637" s="1343" t="str">
        <f>IF(F$124=0," ",ROUND(F133/$F$124,1))</f>
        <v> </v>
      </c>
      <c r="H637" s="1344"/>
      <c r="I637" s="323"/>
      <c r="J637" s="324"/>
      <c r="K637" s="430">
        <v>0.1</v>
      </c>
      <c r="L637" s="374"/>
      <c r="U637" s="151"/>
      <c r="X637" s="915"/>
      <c r="Y637" s="920"/>
    </row>
    <row r="638" spans="1:25" s="369" customFormat="1" ht="12.75">
      <c r="A638" s="39">
        <f t="shared" si="152"/>
        <v>1911</v>
      </c>
      <c r="B638" s="93" t="s">
        <v>2303</v>
      </c>
      <c r="C638" s="94"/>
      <c r="D638" s="267" t="s">
        <v>601</v>
      </c>
      <c r="E638" s="430" t="str">
        <f>IF(O$124=0," ",ROUND(O134/$O$124,1))</f>
        <v> </v>
      </c>
      <c r="F638" s="431" t="str">
        <f>IF(Q$124=0," ",ROUND(Q134/$Q$124,1))</f>
        <v> </v>
      </c>
      <c r="G638" s="1343" t="str">
        <f>IF(F$124=0," ",ROUND(F134/$F$124,1))</f>
        <v> </v>
      </c>
      <c r="H638" s="1344"/>
      <c r="I638" s="323"/>
      <c r="J638" s="324"/>
      <c r="K638" s="430">
        <v>6.7</v>
      </c>
      <c r="L638" s="374"/>
      <c r="U638" s="151"/>
      <c r="X638" s="915"/>
      <c r="Y638" s="920"/>
    </row>
    <row r="639" spans="1:25" s="369" customFormat="1" ht="12.75">
      <c r="A639" s="36">
        <f t="shared" si="152"/>
        <v>1912</v>
      </c>
      <c r="B639" s="42" t="s">
        <v>661</v>
      </c>
      <c r="C639" s="42"/>
      <c r="D639" s="42"/>
      <c r="E639" s="439" t="str">
        <f>IF(O124=0," ",SUM(E629:E637))</f>
        <v> </v>
      </c>
      <c r="F639" s="439" t="str">
        <f>IF(Q124=0," ",SUM(F629:F637))</f>
        <v> </v>
      </c>
      <c r="G639" s="1345" t="str">
        <f>IF(F124=0," ",SUM(G629:H637))</f>
        <v> </v>
      </c>
      <c r="H639" s="1345">
        <f>SUM(H631:H638)</f>
        <v>0</v>
      </c>
      <c r="I639" s="323"/>
      <c r="J639" s="324"/>
      <c r="K639" s="439">
        <f>SUM(K629:K637)</f>
        <v>12.8</v>
      </c>
      <c r="L639" s="374"/>
      <c r="U639" s="151"/>
      <c r="X639" s="915"/>
      <c r="Y639" s="920"/>
    </row>
    <row r="640" spans="1:25" s="369" customFormat="1" ht="4.5" customHeight="1">
      <c r="A640" s="11"/>
      <c r="B640" s="24"/>
      <c r="C640" s="24"/>
      <c r="D640" s="24"/>
      <c r="E640" s="435"/>
      <c r="F640" s="435"/>
      <c r="G640" s="436"/>
      <c r="H640" s="436"/>
      <c r="I640" s="323"/>
      <c r="J640" s="324"/>
      <c r="K640" s="437"/>
      <c r="L640" s="374"/>
      <c r="U640" s="151"/>
      <c r="X640" s="915"/>
      <c r="Y640" s="920"/>
    </row>
    <row r="641" spans="1:21" ht="12.75">
      <c r="A641" s="22"/>
      <c r="B641" s="23" t="s">
        <v>2261</v>
      </c>
      <c r="C641" s="24"/>
      <c r="D641" s="27"/>
      <c r="E641" s="364"/>
      <c r="F641" s="364"/>
      <c r="G641" s="1348"/>
      <c r="H641" s="1349"/>
      <c r="I641" s="323"/>
      <c r="J641" s="361"/>
      <c r="K641" s="366"/>
      <c r="L641" s="366"/>
      <c r="N641" s="369"/>
      <c r="O641" s="369"/>
      <c r="P641" s="369"/>
      <c r="Q641" s="369"/>
      <c r="R641" s="369"/>
      <c r="S641" s="369"/>
      <c r="T641" s="369"/>
      <c r="U641" s="151"/>
    </row>
    <row r="642" spans="1:21" ht="12.75">
      <c r="A642" s="36">
        <f>A639+1</f>
        <v>1913</v>
      </c>
      <c r="B642" s="93" t="s">
        <v>2158</v>
      </c>
      <c r="C642" s="94"/>
      <c r="D642" s="267" t="s">
        <v>602</v>
      </c>
      <c r="E642" s="430" t="str">
        <f aca="true" t="shared" si="153" ref="E642:E648">IF(O$141=0," ",ROUND(O141/$O$141,1))</f>
        <v> </v>
      </c>
      <c r="F642" s="431" t="str">
        <f aca="true" t="shared" si="154" ref="F642:F647">IF(Q$141=0," ",ROUND(Q141/$Q$141,1))</f>
        <v> </v>
      </c>
      <c r="G642" s="1343" t="str">
        <f aca="true" t="shared" si="155" ref="G642:G647">IF(F$141=0," ",ROUND(F141/$F$141,1))</f>
        <v> </v>
      </c>
      <c r="H642" s="1344"/>
      <c r="I642" s="323"/>
      <c r="J642" s="324"/>
      <c r="K642" s="430">
        <v>1</v>
      </c>
      <c r="L642" s="366"/>
      <c r="U642" s="151"/>
    </row>
    <row r="643" spans="1:21" ht="12.75">
      <c r="A643" s="39">
        <f aca="true" t="shared" si="156" ref="A643:A653">A642+1</f>
        <v>1914</v>
      </c>
      <c r="B643" s="93" t="s">
        <v>2159</v>
      </c>
      <c r="C643" s="94"/>
      <c r="D643" s="267" t="s">
        <v>603</v>
      </c>
      <c r="E643" s="430" t="str">
        <f t="shared" si="153"/>
        <v> </v>
      </c>
      <c r="F643" s="431" t="str">
        <f t="shared" si="154"/>
        <v> </v>
      </c>
      <c r="G643" s="1343" t="str">
        <f t="shared" si="155"/>
        <v> </v>
      </c>
      <c r="H643" s="1344"/>
      <c r="I643" s="323"/>
      <c r="J643" s="324"/>
      <c r="K643" s="430">
        <v>2</v>
      </c>
      <c r="L643" s="366"/>
      <c r="U643" s="151"/>
    </row>
    <row r="644" spans="1:21" ht="12.75">
      <c r="A644" s="39">
        <f t="shared" si="156"/>
        <v>1915</v>
      </c>
      <c r="B644" s="93" t="s">
        <v>2160</v>
      </c>
      <c r="C644" s="94"/>
      <c r="D644" s="267" t="s">
        <v>604</v>
      </c>
      <c r="E644" s="430" t="str">
        <f t="shared" si="153"/>
        <v> </v>
      </c>
      <c r="F644" s="431" t="str">
        <f t="shared" si="154"/>
        <v> </v>
      </c>
      <c r="G644" s="1343" t="str">
        <f t="shared" si="155"/>
        <v> </v>
      </c>
      <c r="H644" s="1344"/>
      <c r="I644" s="323"/>
      <c r="J644" s="324"/>
      <c r="K644" s="430">
        <v>0.3</v>
      </c>
      <c r="L644" s="366"/>
      <c r="U644" s="151"/>
    </row>
    <row r="645" spans="1:21" ht="12.75">
      <c r="A645" s="39">
        <f t="shared" si="156"/>
        <v>1916</v>
      </c>
      <c r="B645" s="93" t="s">
        <v>2161</v>
      </c>
      <c r="C645" s="94"/>
      <c r="D645" s="267" t="s">
        <v>605</v>
      </c>
      <c r="E645" s="430" t="str">
        <f t="shared" si="153"/>
        <v> </v>
      </c>
      <c r="F645" s="431" t="str">
        <f t="shared" si="154"/>
        <v> </v>
      </c>
      <c r="G645" s="1343" t="str">
        <f t="shared" si="155"/>
        <v> </v>
      </c>
      <c r="H645" s="1344"/>
      <c r="I645" s="323"/>
      <c r="J645" s="324"/>
      <c r="K645" s="430">
        <v>0.3</v>
      </c>
      <c r="L645" s="366"/>
      <c r="U645" s="151"/>
    </row>
    <row r="646" spans="1:21" ht="12.75">
      <c r="A646" s="39">
        <f t="shared" si="156"/>
        <v>1917</v>
      </c>
      <c r="B646" s="93" t="s">
        <v>2162</v>
      </c>
      <c r="C646" s="94"/>
      <c r="D646" s="267" t="s">
        <v>606</v>
      </c>
      <c r="E646" s="430" t="str">
        <f t="shared" si="153"/>
        <v> </v>
      </c>
      <c r="F646" s="431" t="str">
        <f t="shared" si="154"/>
        <v> </v>
      </c>
      <c r="G646" s="1343" t="str">
        <f t="shared" si="155"/>
        <v> </v>
      </c>
      <c r="H646" s="1344"/>
      <c r="I646" s="323"/>
      <c r="J646" s="324"/>
      <c r="K646" s="430">
        <v>0.1</v>
      </c>
      <c r="L646" s="366"/>
      <c r="U646" s="151"/>
    </row>
    <row r="647" spans="1:21" ht="12.75">
      <c r="A647" s="39">
        <f t="shared" si="156"/>
        <v>1918</v>
      </c>
      <c r="B647" s="93" t="s">
        <v>893</v>
      </c>
      <c r="C647" s="94"/>
      <c r="D647" s="267" t="s">
        <v>607</v>
      </c>
      <c r="E647" s="430" t="str">
        <f t="shared" si="153"/>
        <v> </v>
      </c>
      <c r="F647" s="431" t="str">
        <f t="shared" si="154"/>
        <v> </v>
      </c>
      <c r="G647" s="1343" t="str">
        <f t="shared" si="155"/>
        <v> </v>
      </c>
      <c r="H647" s="1344"/>
      <c r="I647" s="323"/>
      <c r="J647" s="324"/>
      <c r="K647" s="430">
        <v>7.1</v>
      </c>
      <c r="L647" s="366"/>
      <c r="U647" s="151"/>
    </row>
    <row r="648" spans="1:21" ht="12.75">
      <c r="A648" s="39">
        <f t="shared" si="156"/>
        <v>1919</v>
      </c>
      <c r="B648" s="93" t="s">
        <v>1437</v>
      </c>
      <c r="C648" s="94"/>
      <c r="D648" s="267" t="s">
        <v>1444</v>
      </c>
      <c r="E648" s="430" t="str">
        <f t="shared" si="153"/>
        <v> </v>
      </c>
      <c r="F648" s="431" t="str">
        <f>IF(Q$141=0," ",ROUND(Q147/$Q$141,1))</f>
        <v> </v>
      </c>
      <c r="G648" s="1343" t="str">
        <f>IF(F$141=0," ",ROUND(F147/$F$141,1))</f>
        <v> </v>
      </c>
      <c r="H648" s="1344"/>
      <c r="I648" s="323"/>
      <c r="J648" s="324"/>
      <c r="K648" s="430">
        <v>1.5</v>
      </c>
      <c r="L648" s="366"/>
      <c r="U648" s="151"/>
    </row>
    <row r="649" spans="1:21" ht="12.75">
      <c r="A649" s="39">
        <f t="shared" si="156"/>
        <v>1920</v>
      </c>
      <c r="B649" s="93" t="s">
        <v>2163</v>
      </c>
      <c r="C649" s="94"/>
      <c r="D649" s="267" t="s">
        <v>608</v>
      </c>
      <c r="E649" s="430" t="str">
        <f>IF(O$141=0," ",ROUND(O148/$O$141,1))</f>
        <v> </v>
      </c>
      <c r="F649" s="431" t="str">
        <f>IF(Q$141=0," ",ROUND(Q148/$Q$141,1))</f>
        <v> </v>
      </c>
      <c r="G649" s="1343" t="str">
        <f>IF(F$141=0," ",ROUND(F148/$F$141,1))</f>
        <v> </v>
      </c>
      <c r="H649" s="1344"/>
      <c r="I649" s="323"/>
      <c r="J649" s="324"/>
      <c r="K649" s="430">
        <v>1.6</v>
      </c>
      <c r="L649" s="366"/>
      <c r="U649" s="151"/>
    </row>
    <row r="650" spans="1:21" ht="12.75">
      <c r="A650" s="39">
        <f t="shared" si="156"/>
        <v>1921</v>
      </c>
      <c r="B650" s="93" t="s">
        <v>894</v>
      </c>
      <c r="C650" s="94"/>
      <c r="D650" s="267" t="s">
        <v>609</v>
      </c>
      <c r="E650" s="430" t="str">
        <f>IF(O$141=0," ",ROUND(O149/$O$141,1))</f>
        <v> </v>
      </c>
      <c r="F650" s="431" t="str">
        <f>IF(Q$141=0," ",ROUND(Q149/$Q$141,1))</f>
        <v> </v>
      </c>
      <c r="G650" s="1343" t="str">
        <f>IF(F$141=0," ",ROUND(F149/$F$141,1))</f>
        <v> </v>
      </c>
      <c r="H650" s="1344"/>
      <c r="I650" s="323"/>
      <c r="J650" s="324"/>
      <c r="K650" s="430">
        <v>0.2</v>
      </c>
      <c r="L650" s="366"/>
      <c r="U650" s="151"/>
    </row>
    <row r="651" spans="1:21" ht="12.75">
      <c r="A651" s="39">
        <f t="shared" si="156"/>
        <v>1922</v>
      </c>
      <c r="B651" s="93" t="s">
        <v>902</v>
      </c>
      <c r="C651" s="94"/>
      <c r="D651" s="267" t="s">
        <v>610</v>
      </c>
      <c r="E651" s="430" t="str">
        <f>IF(O$141=0," ",ROUND(O150/$O$141,1))</f>
        <v> </v>
      </c>
      <c r="F651" s="431" t="str">
        <f>IF(Q$141=0," ",ROUND(Q150/$Q$141,1))</f>
        <v> </v>
      </c>
      <c r="G651" s="1343" t="str">
        <f>IF(F$141=0," ",ROUND(F150/$F$141,1))</f>
        <v> </v>
      </c>
      <c r="H651" s="1344"/>
      <c r="I651" s="323"/>
      <c r="J651" s="324"/>
      <c r="K651" s="430">
        <v>0</v>
      </c>
      <c r="L651" s="366"/>
      <c r="U651" s="151"/>
    </row>
    <row r="652" spans="1:21" ht="12.75">
      <c r="A652" s="39">
        <f t="shared" si="156"/>
        <v>1923</v>
      </c>
      <c r="B652" s="93" t="s">
        <v>2303</v>
      </c>
      <c r="C652" s="94"/>
      <c r="D652" s="267" t="s">
        <v>611</v>
      </c>
      <c r="E652" s="430" t="str">
        <f>IF(O$141=0," ",ROUND(O151/$O$141,1))</f>
        <v> </v>
      </c>
      <c r="F652" s="431" t="str">
        <f>IF(Q$141=0," ",ROUND(Q151/$Q$141,1))</f>
        <v> </v>
      </c>
      <c r="G652" s="1343" t="str">
        <f>IF(F$141=0," ",ROUND(F151/$F$141,1))</f>
        <v> </v>
      </c>
      <c r="H652" s="1344"/>
      <c r="I652" s="323"/>
      <c r="J652" s="324"/>
      <c r="K652" s="430">
        <v>0.9</v>
      </c>
      <c r="L652" s="366"/>
      <c r="U652" s="151"/>
    </row>
    <row r="653" spans="1:21" ht="12.75">
      <c r="A653" s="39">
        <f t="shared" si="156"/>
        <v>1924</v>
      </c>
      <c r="B653" s="42" t="s">
        <v>661</v>
      </c>
      <c r="C653" s="42"/>
      <c r="D653" s="42"/>
      <c r="E653" s="439" t="str">
        <f>IF(O141=0," ",SUM(E643:E651))</f>
        <v> </v>
      </c>
      <c r="F653" s="439" t="str">
        <f>IF(Q141=0," ",SUM(F643:F651))</f>
        <v> </v>
      </c>
      <c r="G653" s="1345" t="str">
        <f>IF(F141=0," ",SUM(G643:H651))</f>
        <v> </v>
      </c>
      <c r="H653" s="1345">
        <f>SUM(H645:H652)</f>
        <v>0</v>
      </c>
      <c r="I653" s="323"/>
      <c r="J653" s="324"/>
      <c r="K653" s="439">
        <f>SUM(K643:K651)</f>
        <v>13.099999999999998</v>
      </c>
      <c r="L653" s="366"/>
      <c r="U653" s="151"/>
    </row>
    <row r="654" spans="1:21" ht="4.5" customHeight="1">
      <c r="A654" s="379"/>
      <c r="B654" s="340"/>
      <c r="C654" s="340"/>
      <c r="D654" s="340"/>
      <c r="E654" s="435"/>
      <c r="F654" s="435"/>
      <c r="G654" s="436"/>
      <c r="H654" s="436"/>
      <c r="I654" s="323"/>
      <c r="J654" s="324"/>
      <c r="K654"/>
      <c r="L654" s="366"/>
      <c r="U654" s="151"/>
    </row>
    <row r="655" spans="1:21" ht="12.75">
      <c r="A655" s="11"/>
      <c r="B655" s="24" t="s">
        <v>1563</v>
      </c>
      <c r="C655" s="24"/>
      <c r="D655" s="25"/>
      <c r="E655" s="364"/>
      <c r="F655" s="364"/>
      <c r="G655" s="1348"/>
      <c r="H655" s="1349"/>
      <c r="I655" s="323"/>
      <c r="J655" s="361"/>
      <c r="K655" s="366"/>
      <c r="L655" s="366"/>
      <c r="M655" s="133"/>
      <c r="U655" s="151"/>
    </row>
    <row r="656" spans="1:21" ht="12.75">
      <c r="A656" s="36">
        <f>A653+1</f>
        <v>1925</v>
      </c>
      <c r="B656" s="93" t="s">
        <v>2158</v>
      </c>
      <c r="C656" s="94"/>
      <c r="D656" s="267" t="s">
        <v>880</v>
      </c>
      <c r="E656" s="430" t="str">
        <f aca="true" t="shared" si="157" ref="E656:E663">IF(O$154=0," ",ROUND(O154/$O$154,1))</f>
        <v> </v>
      </c>
      <c r="F656" s="431" t="str">
        <f aca="true" t="shared" si="158" ref="F656:F663">IF(Q$154=0," ",ROUND(Q154/$Q$154,1))</f>
        <v> </v>
      </c>
      <c r="G656" s="1343" t="str">
        <f aca="true" t="shared" si="159" ref="G656:G663">IF(F$154=0," ",ROUND(F154/$F$154,1))</f>
        <v> </v>
      </c>
      <c r="H656" s="1344"/>
      <c r="I656" s="323"/>
      <c r="J656" s="324"/>
      <c r="K656" s="430">
        <v>1</v>
      </c>
      <c r="L656" s="366"/>
      <c r="U656" s="151"/>
    </row>
    <row r="657" spans="1:21" ht="12.75">
      <c r="A657" s="39">
        <f aca="true" t="shared" si="160" ref="A657:A664">A656+1</f>
        <v>1926</v>
      </c>
      <c r="B657" s="93" t="s">
        <v>2159</v>
      </c>
      <c r="C657" s="94"/>
      <c r="D657" s="267" t="s">
        <v>881</v>
      </c>
      <c r="E657" s="430" t="str">
        <f t="shared" si="157"/>
        <v> </v>
      </c>
      <c r="F657" s="431" t="str">
        <f t="shared" si="158"/>
        <v> </v>
      </c>
      <c r="G657" s="1343" t="str">
        <f t="shared" si="159"/>
        <v> </v>
      </c>
      <c r="H657" s="1344"/>
      <c r="I657" s="323"/>
      <c r="J657" s="324"/>
      <c r="K657" s="430">
        <v>2.3</v>
      </c>
      <c r="L657" s="366"/>
      <c r="U657" s="151"/>
    </row>
    <row r="658" spans="1:21" ht="12.75">
      <c r="A658" s="39">
        <f t="shared" si="160"/>
        <v>1927</v>
      </c>
      <c r="B658" s="93" t="s">
        <v>2161</v>
      </c>
      <c r="C658" s="94"/>
      <c r="D658" s="267" t="s">
        <v>882</v>
      </c>
      <c r="E658" s="430" t="str">
        <f t="shared" si="157"/>
        <v> </v>
      </c>
      <c r="F658" s="431" t="str">
        <f t="shared" si="158"/>
        <v> </v>
      </c>
      <c r="G658" s="1343" t="str">
        <f t="shared" si="159"/>
        <v> </v>
      </c>
      <c r="H658" s="1344"/>
      <c r="I658" s="323"/>
      <c r="J658" s="324"/>
      <c r="K658" s="430">
        <v>5.4</v>
      </c>
      <c r="L658" s="366"/>
      <c r="U658" s="151"/>
    </row>
    <row r="659" spans="1:21" ht="12.75">
      <c r="A659" s="39">
        <f t="shared" si="160"/>
        <v>1928</v>
      </c>
      <c r="B659" s="93" t="s">
        <v>2162</v>
      </c>
      <c r="C659" s="94"/>
      <c r="D659" s="267" t="s">
        <v>883</v>
      </c>
      <c r="E659" s="430" t="str">
        <f t="shared" si="157"/>
        <v> </v>
      </c>
      <c r="F659" s="431" t="str">
        <f t="shared" si="158"/>
        <v> </v>
      </c>
      <c r="G659" s="1343" t="str">
        <f t="shared" si="159"/>
        <v> </v>
      </c>
      <c r="H659" s="1344"/>
      <c r="I659" s="323"/>
      <c r="J659" s="324"/>
      <c r="K659" s="430">
        <v>2.8</v>
      </c>
      <c r="L659" s="366"/>
      <c r="U659" s="151"/>
    </row>
    <row r="660" spans="1:21" ht="12.75">
      <c r="A660" s="39">
        <f t="shared" si="160"/>
        <v>1929</v>
      </c>
      <c r="B660" s="93" t="s">
        <v>893</v>
      </c>
      <c r="C660" s="94"/>
      <c r="D660" s="267" t="s">
        <v>884</v>
      </c>
      <c r="E660" s="430" t="str">
        <f t="shared" si="157"/>
        <v> </v>
      </c>
      <c r="F660" s="431" t="str">
        <f t="shared" si="158"/>
        <v> </v>
      </c>
      <c r="G660" s="1343" t="str">
        <f t="shared" si="159"/>
        <v> </v>
      </c>
      <c r="H660" s="1344"/>
      <c r="I660" s="323"/>
      <c r="J660" s="324"/>
      <c r="K660" s="430">
        <v>5.2</v>
      </c>
      <c r="L660" s="366"/>
      <c r="U660" s="151"/>
    </row>
    <row r="661" spans="1:21" ht="12.75">
      <c r="A661" s="39">
        <f t="shared" si="160"/>
        <v>1930</v>
      </c>
      <c r="B661" s="93" t="s">
        <v>1437</v>
      </c>
      <c r="C661" s="94"/>
      <c r="D661" s="267" t="s">
        <v>1445</v>
      </c>
      <c r="E661" s="430" t="str">
        <f t="shared" si="157"/>
        <v> </v>
      </c>
      <c r="F661" s="431" t="str">
        <f t="shared" si="158"/>
        <v> </v>
      </c>
      <c r="G661" s="1343" t="str">
        <f t="shared" si="159"/>
        <v> </v>
      </c>
      <c r="H661" s="1344"/>
      <c r="I661" s="323"/>
      <c r="J661" s="324"/>
      <c r="K661" s="430">
        <v>1.1</v>
      </c>
      <c r="L661" s="366"/>
      <c r="U661" s="151"/>
    </row>
    <row r="662" spans="1:21" ht="12.75">
      <c r="A662" s="39">
        <f t="shared" si="160"/>
        <v>1931</v>
      </c>
      <c r="B662" s="93" t="s">
        <v>2163</v>
      </c>
      <c r="C662" s="94"/>
      <c r="D662" s="267" t="s">
        <v>2246</v>
      </c>
      <c r="E662" s="430" t="str">
        <f t="shared" si="157"/>
        <v> </v>
      </c>
      <c r="F662" s="431" t="str">
        <f t="shared" si="158"/>
        <v> </v>
      </c>
      <c r="G662" s="1343" t="str">
        <f t="shared" si="159"/>
        <v> </v>
      </c>
      <c r="H662" s="1344"/>
      <c r="I662" s="323"/>
      <c r="J662" s="324"/>
      <c r="K662" s="430">
        <v>1.3</v>
      </c>
      <c r="L662" s="366"/>
      <c r="U662" s="151"/>
    </row>
    <row r="663" spans="1:21" ht="12.75">
      <c r="A663" s="39">
        <f t="shared" si="160"/>
        <v>1932</v>
      </c>
      <c r="B663" s="93" t="s">
        <v>2303</v>
      </c>
      <c r="C663" s="94"/>
      <c r="D663" s="267" t="s">
        <v>2279</v>
      </c>
      <c r="E663" s="430" t="str">
        <f t="shared" si="157"/>
        <v> </v>
      </c>
      <c r="F663" s="431" t="str">
        <f t="shared" si="158"/>
        <v> </v>
      </c>
      <c r="G663" s="1343" t="str">
        <f t="shared" si="159"/>
        <v> </v>
      </c>
      <c r="H663" s="1344"/>
      <c r="I663" s="323"/>
      <c r="J663" s="324"/>
      <c r="K663" s="430">
        <v>0.9</v>
      </c>
      <c r="L663" s="366"/>
      <c r="U663" s="151"/>
    </row>
    <row r="664" spans="1:21" ht="12.75">
      <c r="A664" s="36">
        <f t="shared" si="160"/>
        <v>1933</v>
      </c>
      <c r="B664" s="42" t="s">
        <v>661</v>
      </c>
      <c r="C664" s="42"/>
      <c r="D664" s="42"/>
      <c r="E664" s="439" t="str">
        <f>IF(O154=0," ",SUM(E657:E662))</f>
        <v> </v>
      </c>
      <c r="F664" s="439" t="str">
        <f>IF(Q154=0," ",SUM(F657:F662))</f>
        <v> </v>
      </c>
      <c r="G664" s="1345" t="str">
        <f>IF(F154=0," ",SUM(G657:H662))</f>
        <v> </v>
      </c>
      <c r="H664" s="1345">
        <f>SUM(H655:H662)</f>
        <v>0</v>
      </c>
      <c r="I664" s="323"/>
      <c r="J664" s="324"/>
      <c r="K664" s="439">
        <f>SUM(K657:K662)</f>
        <v>18.1</v>
      </c>
      <c r="L664" s="366"/>
      <c r="U664" s="151"/>
    </row>
    <row r="665" spans="1:21" ht="5.25" customHeight="1">
      <c r="A665" s="22"/>
      <c r="B665" s="24"/>
      <c r="C665" s="24"/>
      <c r="D665" s="25"/>
      <c r="E665" s="435"/>
      <c r="F665" s="362"/>
      <c r="G665" s="1362"/>
      <c r="H665" s="1363"/>
      <c r="I665" s="323"/>
      <c r="J665" s="324"/>
      <c r="K665" s="366"/>
      <c r="L665" s="366"/>
      <c r="M665" s="133"/>
      <c r="U665" s="151"/>
    </row>
    <row r="666" spans="1:21" ht="12.75">
      <c r="A666" s="11"/>
      <c r="B666" s="24" t="s">
        <v>633</v>
      </c>
      <c r="C666" s="24"/>
      <c r="D666" s="25"/>
      <c r="E666" s="133"/>
      <c r="F666" s="133"/>
      <c r="G666" s="133"/>
      <c r="H666" s="133"/>
      <c r="I666" s="323"/>
      <c r="J666" s="324"/>
      <c r="U666" s="151"/>
    </row>
    <row r="667" spans="1:21" ht="12.75">
      <c r="A667" s="36">
        <f>A664+1</f>
        <v>1934</v>
      </c>
      <c r="B667" s="93" t="s">
        <v>1386</v>
      </c>
      <c r="C667" s="94"/>
      <c r="D667" s="267"/>
      <c r="E667" s="130">
        <f>O165+O166</f>
        <v>0</v>
      </c>
      <c r="F667" s="1000">
        <f>Q165+Q166</f>
        <v>0</v>
      </c>
      <c r="G667" s="1235">
        <f>F165+F166</f>
        <v>0</v>
      </c>
      <c r="H667" s="1257"/>
      <c r="I667" s="323"/>
      <c r="J667" s="324"/>
      <c r="U667" s="151"/>
    </row>
    <row r="668" spans="1:21" ht="12.75">
      <c r="A668" s="39">
        <f>A667+1</f>
        <v>1935</v>
      </c>
      <c r="B668" s="46" t="s">
        <v>635</v>
      </c>
      <c r="C668" s="94"/>
      <c r="D668" s="267"/>
      <c r="E668" s="130">
        <f>E667/(1872*G671)</f>
        <v>0</v>
      </c>
      <c r="F668" s="130">
        <f>F667/(1872*G671)</f>
        <v>0</v>
      </c>
      <c r="G668" s="1235">
        <f>G667/(1872*G671)</f>
        <v>0</v>
      </c>
      <c r="H668" s="1257"/>
      <c r="I668" s="323"/>
      <c r="J668" s="324"/>
      <c r="U668" s="151"/>
    </row>
    <row r="669" spans="1:21" ht="12.75">
      <c r="A669" s="36">
        <f>A668+1</f>
        <v>1936</v>
      </c>
      <c r="B669" s="46" t="s">
        <v>634</v>
      </c>
      <c r="C669" s="94"/>
      <c r="D669" s="267"/>
      <c r="E669" s="1047"/>
      <c r="F669" s="1048"/>
      <c r="G669" s="1350" t="str">
        <f>IF(SUM(G301:H306)=0," ",G306/SUM(G301:H306))</f>
        <v> </v>
      </c>
      <c r="H669" s="1351"/>
      <c r="I669" s="323"/>
      <c r="J669" s="324"/>
      <c r="U669" s="151"/>
    </row>
    <row r="670" spans="2:21" ht="12.75">
      <c r="B670" s="1002" t="s">
        <v>2065</v>
      </c>
      <c r="I670" s="323"/>
      <c r="J670" s="324"/>
      <c r="U670" s="151"/>
    </row>
    <row r="671" spans="2:21" ht="12.75">
      <c r="B671" s="6" t="str">
        <f>CONCATENATE("Uren dienstverlening en preventie / ((52 * 36) * ",G671,")")</f>
        <v>Uren dienstverlening en preventie / ((52 * 36) * 0,6)</v>
      </c>
      <c r="F671" s="1046" t="s">
        <v>2064</v>
      </c>
      <c r="G671" s="1425">
        <v>0.6</v>
      </c>
      <c r="H671" s="1351"/>
      <c r="I671" s="323"/>
      <c r="J671" s="324"/>
      <c r="U671" s="151"/>
    </row>
    <row r="672" spans="2:21" ht="12.75" customHeight="1">
      <c r="B672" s="6"/>
      <c r="F672" s="1057"/>
      <c r="H672" s="497"/>
      <c r="I672" s="323"/>
      <c r="J672" s="324"/>
      <c r="U672" s="151"/>
    </row>
    <row r="673" spans="2:21" ht="12.75">
      <c r="B673" s="6"/>
      <c r="F673" s="1057"/>
      <c r="H673" s="497"/>
      <c r="U673" s="151"/>
    </row>
    <row r="674" spans="1:21" ht="12.75">
      <c r="A674" s="11" t="s">
        <v>455</v>
      </c>
      <c r="B674" s="78" t="s">
        <v>456</v>
      </c>
      <c r="F674" s="1057"/>
      <c r="H674" s="497"/>
      <c r="U674" s="151"/>
    </row>
    <row r="675" spans="2:21" ht="12.75">
      <c r="B675" s="1003"/>
      <c r="U675" s="151"/>
    </row>
    <row r="676" ht="12.75">
      <c r="U676" s="151"/>
    </row>
    <row r="677" ht="12.75">
      <c r="U677" s="151"/>
    </row>
    <row r="678" ht="12.75">
      <c r="U678" s="151"/>
    </row>
    <row r="679" spans="5:21" ht="12.75">
      <c r="E679" s="342" t="s">
        <v>207</v>
      </c>
      <c r="F679" s="690" t="s">
        <v>208</v>
      </c>
      <c r="G679" s="690" t="s">
        <v>209</v>
      </c>
      <c r="U679" s="151"/>
    </row>
    <row r="680" spans="2:21" ht="12.75">
      <c r="B680" t="s">
        <v>2335</v>
      </c>
      <c r="E680">
        <f>Z17</f>
        <v>0</v>
      </c>
      <c r="F680">
        <f>S17</f>
        <v>0</v>
      </c>
      <c r="G680">
        <f>L17</f>
        <v>0</v>
      </c>
      <c r="U680" s="151"/>
    </row>
    <row r="681" spans="2:21" ht="12.75">
      <c r="B681" t="s">
        <v>2336</v>
      </c>
      <c r="E681">
        <f>Z26</f>
        <v>0</v>
      </c>
      <c r="F681">
        <f>S26</f>
        <v>0</v>
      </c>
      <c r="G681">
        <f>L26</f>
        <v>0</v>
      </c>
      <c r="U681" s="151"/>
    </row>
    <row r="682" spans="2:21" ht="12.75">
      <c r="B682" t="s">
        <v>2337</v>
      </c>
      <c r="E682">
        <f>Z37</f>
        <v>0</v>
      </c>
      <c r="F682">
        <f>S37</f>
        <v>0</v>
      </c>
      <c r="G682">
        <f>L37</f>
        <v>0</v>
      </c>
      <c r="U682" s="151"/>
    </row>
    <row r="683" spans="2:21" ht="12.75">
      <c r="B683" t="s">
        <v>2338</v>
      </c>
      <c r="E683">
        <f>Z45</f>
        <v>0</v>
      </c>
      <c r="F683">
        <f>S45</f>
        <v>0</v>
      </c>
      <c r="G683">
        <f>L45</f>
        <v>0</v>
      </c>
      <c r="U683" s="151"/>
    </row>
    <row r="684" spans="2:21" ht="12.75">
      <c r="B684" t="s">
        <v>2339</v>
      </c>
      <c r="E684">
        <f>Z51</f>
        <v>0</v>
      </c>
      <c r="F684">
        <f>S51</f>
        <v>0</v>
      </c>
      <c r="G684">
        <f>L51</f>
        <v>0</v>
      </c>
      <c r="U684" s="151"/>
    </row>
    <row r="685" spans="2:21" ht="12.75">
      <c r="B685" t="s">
        <v>2340</v>
      </c>
      <c r="E685">
        <f>Z58</f>
        <v>0</v>
      </c>
      <c r="F685">
        <f>S58</f>
        <v>0</v>
      </c>
      <c r="G685">
        <f>L58</f>
        <v>0</v>
      </c>
      <c r="U685" s="151"/>
    </row>
    <row r="686" spans="5:21" ht="12.75">
      <c r="E686">
        <f>SUM(E680:E685)</f>
        <v>0</v>
      </c>
      <c r="F686">
        <f>SUM(F680:F685)</f>
        <v>0</v>
      </c>
      <c r="G686">
        <f>SUM(G680:G685)</f>
        <v>0</v>
      </c>
      <c r="U686" s="151"/>
    </row>
    <row r="687" ht="12.75">
      <c r="U687" s="151"/>
    </row>
    <row r="688" ht="12.75">
      <c r="U688" s="151"/>
    </row>
    <row r="689" ht="12.75">
      <c r="U689" s="151"/>
    </row>
    <row r="690" ht="12.75">
      <c r="U690" s="151"/>
    </row>
    <row r="691" ht="12.75">
      <c r="U691" s="151"/>
    </row>
    <row r="692" ht="12.75">
      <c r="U692" s="151"/>
    </row>
    <row r="693" spans="2:21" ht="12.75">
      <c r="B693" t="s">
        <v>2341</v>
      </c>
      <c r="E693">
        <f>Z64+Z69+Z77+Z79</f>
        <v>0</v>
      </c>
      <c r="F693" s="458">
        <f>S64+S69+S77+S79</f>
        <v>0</v>
      </c>
      <c r="G693" s="458">
        <f>L64+L69+L77+L79</f>
        <v>0</v>
      </c>
      <c r="U693" s="151"/>
    </row>
    <row r="694" spans="2:21" ht="12.75">
      <c r="B694" t="s">
        <v>2342</v>
      </c>
      <c r="E694">
        <f>Z109</f>
        <v>0</v>
      </c>
      <c r="F694" s="458">
        <f>S109</f>
        <v>0</v>
      </c>
      <c r="G694" s="458">
        <f>L109</f>
        <v>0</v>
      </c>
      <c r="U694" s="151"/>
    </row>
    <row r="695" spans="2:21" ht="12.75">
      <c r="B695" t="s">
        <v>2343</v>
      </c>
      <c r="E695">
        <f>Z122</f>
        <v>0</v>
      </c>
      <c r="F695" s="458">
        <f>S122</f>
        <v>0</v>
      </c>
      <c r="G695" s="458">
        <f>L122</f>
        <v>0</v>
      </c>
      <c r="U695" s="151"/>
    </row>
    <row r="696" spans="2:21" ht="12.75">
      <c r="B696" t="s">
        <v>2344</v>
      </c>
      <c r="E696">
        <f>Z135</f>
        <v>0</v>
      </c>
      <c r="F696" s="458">
        <f>S135</f>
        <v>0</v>
      </c>
      <c r="G696" s="458">
        <f>L135</f>
        <v>0</v>
      </c>
      <c r="U696" s="151"/>
    </row>
    <row r="697" spans="2:21" ht="12.75">
      <c r="B697" t="s">
        <v>204</v>
      </c>
      <c r="E697">
        <f>Z152</f>
        <v>0</v>
      </c>
      <c r="F697" s="458">
        <f>S152</f>
        <v>0</v>
      </c>
      <c r="G697" s="458">
        <f>L152</f>
        <v>0</v>
      </c>
      <c r="U697" s="151"/>
    </row>
    <row r="698" spans="2:21" ht="12.75">
      <c r="B698" t="s">
        <v>2338</v>
      </c>
      <c r="E698">
        <f>Z162</f>
        <v>0</v>
      </c>
      <c r="F698" s="458">
        <f>S162</f>
        <v>0</v>
      </c>
      <c r="G698" s="458">
        <f>L162</f>
        <v>0</v>
      </c>
      <c r="U698" s="151"/>
    </row>
    <row r="699" spans="2:21" ht="12.75">
      <c r="B699" t="s">
        <v>205</v>
      </c>
      <c r="E699">
        <f>Z165+Z166</f>
        <v>0</v>
      </c>
      <c r="F699" s="458">
        <f>S165+S166</f>
        <v>0</v>
      </c>
      <c r="G699" s="458">
        <f>L165+L166</f>
        <v>0</v>
      </c>
      <c r="U699" s="151"/>
    </row>
    <row r="700" spans="2:21" ht="12.75">
      <c r="B700" t="s">
        <v>206</v>
      </c>
      <c r="E700">
        <f>Z183</f>
        <v>0</v>
      </c>
      <c r="F700" s="458">
        <f>S183</f>
        <v>0</v>
      </c>
      <c r="G700" s="458">
        <f>L183</f>
        <v>0</v>
      </c>
      <c r="U700" s="151"/>
    </row>
    <row r="701" spans="5:21" ht="12.75">
      <c r="E701">
        <f>SUM(E693:E700)</f>
        <v>0</v>
      </c>
      <c r="F701">
        <f>SUM(F693:F700)</f>
        <v>0</v>
      </c>
      <c r="G701">
        <f>SUM(G693:G700)</f>
        <v>0</v>
      </c>
      <c r="U701" s="151"/>
    </row>
    <row r="702" ht="12.75">
      <c r="U702" s="151"/>
    </row>
    <row r="703" ht="12.75">
      <c r="U703" s="151"/>
    </row>
    <row r="704" ht="12.75">
      <c r="U704" s="151"/>
    </row>
    <row r="705" ht="12.75">
      <c r="U705" s="151"/>
    </row>
    <row r="706" ht="12.75">
      <c r="U706" s="151"/>
    </row>
    <row r="707" spans="1:21" ht="12.75">
      <c r="A707" s="11" t="s">
        <v>455</v>
      </c>
      <c r="B707" s="78" t="s">
        <v>454</v>
      </c>
      <c r="U707" s="151"/>
    </row>
    <row r="708" ht="12.75">
      <c r="U708" s="151"/>
    </row>
    <row r="709" ht="12.75">
      <c r="U709" s="151"/>
    </row>
    <row r="710" ht="12.75">
      <c r="U710" s="151"/>
    </row>
    <row r="711" ht="12.75">
      <c r="U711" s="151"/>
    </row>
    <row r="712" ht="12.75">
      <c r="U712" s="151"/>
    </row>
    <row r="713" ht="12.75">
      <c r="U713" s="151"/>
    </row>
    <row r="714" ht="12.75">
      <c r="U714" s="151"/>
    </row>
    <row r="715" ht="12.75">
      <c r="U715" s="151"/>
    </row>
    <row r="716" ht="12.75">
      <c r="U716" s="151"/>
    </row>
    <row r="717" ht="12.75">
      <c r="U717" s="151"/>
    </row>
    <row r="718" ht="12.75">
      <c r="U718" s="151"/>
    </row>
    <row r="719" ht="12.75">
      <c r="U719" s="151"/>
    </row>
    <row r="720" ht="12.75">
      <c r="U720" s="151"/>
    </row>
    <row r="721" ht="12.75">
      <c r="U721" s="151"/>
    </row>
    <row r="722" ht="12.75">
      <c r="U722" s="151"/>
    </row>
    <row r="723" ht="12.75">
      <c r="U723" s="151"/>
    </row>
    <row r="724" ht="12.75">
      <c r="U724" s="151"/>
    </row>
    <row r="725" ht="12.75">
      <c r="U725" s="151"/>
    </row>
    <row r="726" ht="12.75">
      <c r="U726" s="151"/>
    </row>
    <row r="727" ht="12.75">
      <c r="U727" s="151"/>
    </row>
    <row r="728" ht="12.75">
      <c r="U728" s="151"/>
    </row>
    <row r="729" ht="12.75">
      <c r="U729" s="151"/>
    </row>
    <row r="730" ht="12.75">
      <c r="U730" s="151"/>
    </row>
    <row r="731" ht="12.75">
      <c r="U731" s="151"/>
    </row>
    <row r="732" ht="12.75">
      <c r="U732" s="151"/>
    </row>
    <row r="733" ht="12.75">
      <c r="U733" s="151"/>
    </row>
    <row r="734" ht="12.75">
      <c r="U734" s="151"/>
    </row>
    <row r="735" ht="12.75">
      <c r="U735" s="151"/>
    </row>
    <row r="736" ht="12.75">
      <c r="U736" s="151"/>
    </row>
    <row r="737" ht="12.75">
      <c r="U737" s="151"/>
    </row>
  </sheetData>
  <sheetProtection password="A722" sheet="1" objects="1" scenarios="1"/>
  <mergeCells count="1446">
    <mergeCell ref="G421:H421"/>
    <mergeCell ref="G433:H433"/>
    <mergeCell ref="G434:H434"/>
    <mergeCell ref="G431:H431"/>
    <mergeCell ref="G423:H423"/>
    <mergeCell ref="C442:D442"/>
    <mergeCell ref="C437:D437"/>
    <mergeCell ref="C438:D439"/>
    <mergeCell ref="C435:D435"/>
    <mergeCell ref="C436:D436"/>
    <mergeCell ref="C440:D440"/>
    <mergeCell ref="G394:H394"/>
    <mergeCell ref="G371:H371"/>
    <mergeCell ref="G404:H404"/>
    <mergeCell ref="G441:H441"/>
    <mergeCell ref="G390:H390"/>
    <mergeCell ref="G429:H429"/>
    <mergeCell ref="G430:H430"/>
    <mergeCell ref="G440:H440"/>
    <mergeCell ref="G435:H435"/>
    <mergeCell ref="G436:H436"/>
    <mergeCell ref="C409:D409"/>
    <mergeCell ref="C412:D412"/>
    <mergeCell ref="G413:H413"/>
    <mergeCell ref="G410:H410"/>
    <mergeCell ref="G409:H409"/>
    <mergeCell ref="G669:H669"/>
    <mergeCell ref="E626:F626"/>
    <mergeCell ref="G626:H626"/>
    <mergeCell ref="E554:F554"/>
    <mergeCell ref="G554:H554"/>
    <mergeCell ref="E593:F593"/>
    <mergeCell ref="G593:H593"/>
    <mergeCell ref="G588:H588"/>
    <mergeCell ref="G584:H584"/>
    <mergeCell ref="G583:H583"/>
    <mergeCell ref="G604:H604"/>
    <mergeCell ref="G395:H395"/>
    <mergeCell ref="G396:H396"/>
    <mergeCell ref="G397:H397"/>
    <mergeCell ref="G398:H398"/>
    <mergeCell ref="G494:H494"/>
    <mergeCell ref="G497:H497"/>
    <mergeCell ref="G522:H522"/>
    <mergeCell ref="G520:H520"/>
    <mergeCell ref="G443:H443"/>
    <mergeCell ref="G668:H668"/>
    <mergeCell ref="G667:H667"/>
    <mergeCell ref="G577:H577"/>
    <mergeCell ref="G573:H573"/>
    <mergeCell ref="G580:H580"/>
    <mergeCell ref="G587:H587"/>
    <mergeCell ref="G586:H586"/>
    <mergeCell ref="G585:H585"/>
    <mergeCell ref="G595:H595"/>
    <mergeCell ref="G594:H594"/>
    <mergeCell ref="G485:H485"/>
    <mergeCell ref="R193:S193"/>
    <mergeCell ref="Q196:Q197"/>
    <mergeCell ref="R195:S195"/>
    <mergeCell ref="G400:H400"/>
    <mergeCell ref="R196:S197"/>
    <mergeCell ref="S240:T240"/>
    <mergeCell ref="S241:T241"/>
    <mergeCell ref="S242:T242"/>
    <mergeCell ref="S243:T243"/>
    <mergeCell ref="R194:S194"/>
    <mergeCell ref="S182:T182"/>
    <mergeCell ref="R187:S187"/>
    <mergeCell ref="S183:T183"/>
    <mergeCell ref="R188:S188"/>
    <mergeCell ref="R189:S189"/>
    <mergeCell ref="L554:M554"/>
    <mergeCell ref="L505:M505"/>
    <mergeCell ref="L507:M507"/>
    <mergeCell ref="L506:M506"/>
    <mergeCell ref="L546:M546"/>
    <mergeCell ref="L534:M534"/>
    <mergeCell ref="L533:M533"/>
    <mergeCell ref="L535:M535"/>
    <mergeCell ref="L508:M508"/>
    <mergeCell ref="L509:M509"/>
    <mergeCell ref="O543:P543"/>
    <mergeCell ref="S259:T259"/>
    <mergeCell ref="L495:M495"/>
    <mergeCell ref="L496:M496"/>
    <mergeCell ref="L497:M497"/>
    <mergeCell ref="L498:M498"/>
    <mergeCell ref="S346:T346"/>
    <mergeCell ref="S349:T349"/>
    <mergeCell ref="O527:P527"/>
    <mergeCell ref="O509:P509"/>
    <mergeCell ref="L499:M499"/>
    <mergeCell ref="L516:M516"/>
    <mergeCell ref="S355:T355"/>
    <mergeCell ref="S363:T363"/>
    <mergeCell ref="M405:R406"/>
    <mergeCell ref="O469:P469"/>
    <mergeCell ref="O470:P470"/>
    <mergeCell ref="O491:P491"/>
    <mergeCell ref="O506:P506"/>
    <mergeCell ref="O492:P492"/>
    <mergeCell ref="O546:P546"/>
    <mergeCell ref="O544:P544"/>
    <mergeCell ref="O508:P508"/>
    <mergeCell ref="O505:P505"/>
    <mergeCell ref="O507:P507"/>
    <mergeCell ref="O533:P533"/>
    <mergeCell ref="O518:P518"/>
    <mergeCell ref="O519:P519"/>
    <mergeCell ref="O535:P535"/>
    <mergeCell ref="O545:P545"/>
    <mergeCell ref="S362:T362"/>
    <mergeCell ref="S344:T344"/>
    <mergeCell ref="S350:T350"/>
    <mergeCell ref="S347:T347"/>
    <mergeCell ref="S345:T345"/>
    <mergeCell ref="S348:T348"/>
    <mergeCell ref="S352:T352"/>
    <mergeCell ref="S236:T236"/>
    <mergeCell ref="S255:T255"/>
    <mergeCell ref="S257:T257"/>
    <mergeCell ref="S246:T246"/>
    <mergeCell ref="S244:T244"/>
    <mergeCell ref="S245:T245"/>
    <mergeCell ref="S256:T256"/>
    <mergeCell ref="S251:T251"/>
    <mergeCell ref="S248:T248"/>
    <mergeCell ref="S250:T250"/>
    <mergeCell ref="B139:B140"/>
    <mergeCell ref="G179:H179"/>
    <mergeCell ref="L179:M179"/>
    <mergeCell ref="L175:M175"/>
    <mergeCell ref="L176:M176"/>
    <mergeCell ref="G139:H139"/>
    <mergeCell ref="L139:M139"/>
    <mergeCell ref="G166:H166"/>
    <mergeCell ref="G144:H144"/>
    <mergeCell ref="L144:M144"/>
    <mergeCell ref="L555:M555"/>
    <mergeCell ref="O515:P515"/>
    <mergeCell ref="O526:P526"/>
    <mergeCell ref="L544:M544"/>
    <mergeCell ref="L545:M545"/>
    <mergeCell ref="O517:P517"/>
    <mergeCell ref="L517:M517"/>
    <mergeCell ref="L520:M520"/>
    <mergeCell ref="L526:M526"/>
    <mergeCell ref="O536:P536"/>
    <mergeCell ref="G517:H517"/>
    <mergeCell ref="L518:M518"/>
    <mergeCell ref="G518:H518"/>
    <mergeCell ref="L519:M519"/>
    <mergeCell ref="E505:F505"/>
    <mergeCell ref="G505:H505"/>
    <mergeCell ref="G501:H501"/>
    <mergeCell ref="G502:H502"/>
    <mergeCell ref="S262:T262"/>
    <mergeCell ref="O554:P554"/>
    <mergeCell ref="O516:P516"/>
    <mergeCell ref="S351:T351"/>
    <mergeCell ref="S383:T383"/>
    <mergeCell ref="S377:T377"/>
    <mergeCell ref="S379:T379"/>
    <mergeCell ref="S354:T354"/>
    <mergeCell ref="S361:T361"/>
    <mergeCell ref="S356:T356"/>
    <mergeCell ref="S333:T333"/>
    <mergeCell ref="S332:T332"/>
    <mergeCell ref="S329:T329"/>
    <mergeCell ref="S328:T328"/>
    <mergeCell ref="S336:T336"/>
    <mergeCell ref="S330:T330"/>
    <mergeCell ref="S353:T353"/>
    <mergeCell ref="S331:T331"/>
    <mergeCell ref="S343:T343"/>
    <mergeCell ref="S339:T339"/>
    <mergeCell ref="S334:T334"/>
    <mergeCell ref="S335:T335"/>
    <mergeCell ref="S341:T341"/>
    <mergeCell ref="S342:T342"/>
    <mergeCell ref="S310:T310"/>
    <mergeCell ref="S322:T322"/>
    <mergeCell ref="S312:T312"/>
    <mergeCell ref="S306:T306"/>
    <mergeCell ref="S321:T321"/>
    <mergeCell ref="S309:T309"/>
    <mergeCell ref="S308:T308"/>
    <mergeCell ref="S317:T317"/>
    <mergeCell ref="S307:T307"/>
    <mergeCell ref="S311:T311"/>
    <mergeCell ref="S325:T325"/>
    <mergeCell ref="O327:P327"/>
    <mergeCell ref="O325:P325"/>
    <mergeCell ref="S327:T327"/>
    <mergeCell ref="O583:P583"/>
    <mergeCell ref="O573:P573"/>
    <mergeCell ref="O574:P574"/>
    <mergeCell ref="O575:P575"/>
    <mergeCell ref="O495:P495"/>
    <mergeCell ref="O576:P576"/>
    <mergeCell ref="O534:P534"/>
    <mergeCell ref="O479:P479"/>
    <mergeCell ref="O557:P557"/>
    <mergeCell ref="O493:P493"/>
    <mergeCell ref="O497:P497"/>
    <mergeCell ref="O496:P496"/>
    <mergeCell ref="O498:P498"/>
    <mergeCell ref="O494:P494"/>
    <mergeCell ref="O484:P484"/>
    <mergeCell ref="S425:T425"/>
    <mergeCell ref="S431:T431"/>
    <mergeCell ref="S452:T452"/>
    <mergeCell ref="S449:T449"/>
    <mergeCell ref="S448:T448"/>
    <mergeCell ref="S450:T450"/>
    <mergeCell ref="S426:T426"/>
    <mergeCell ref="S447:T447"/>
    <mergeCell ref="S430:T430"/>
    <mergeCell ref="O483:P483"/>
    <mergeCell ref="O471:P471"/>
    <mergeCell ref="O472:P472"/>
    <mergeCell ref="O480:P480"/>
    <mergeCell ref="O465:P465"/>
    <mergeCell ref="S428:T428"/>
    <mergeCell ref="O481:P481"/>
    <mergeCell ref="O482:P482"/>
    <mergeCell ref="O467:P467"/>
    <mergeCell ref="O468:P468"/>
    <mergeCell ref="S458:T458"/>
    <mergeCell ref="O466:P466"/>
    <mergeCell ref="S457:T457"/>
    <mergeCell ref="S451:T451"/>
    <mergeCell ref="S461:T461"/>
    <mergeCell ref="S367:T367"/>
    <mergeCell ref="S375:T375"/>
    <mergeCell ref="S382:T382"/>
    <mergeCell ref="S397:T397"/>
    <mergeCell ref="S390:T390"/>
    <mergeCell ref="S386:T386"/>
    <mergeCell ref="S371:T371"/>
    <mergeCell ref="S456:T456"/>
    <mergeCell ref="S454:T454"/>
    <mergeCell ref="O343:P343"/>
    <mergeCell ref="Q362:R362"/>
    <mergeCell ref="L363:M363"/>
    <mergeCell ref="S460:T460"/>
    <mergeCell ref="S459:T459"/>
    <mergeCell ref="S455:T455"/>
    <mergeCell ref="S453:T453"/>
    <mergeCell ref="L451:M451"/>
    <mergeCell ref="M407:R407"/>
    <mergeCell ref="L368:M368"/>
    <mergeCell ref="S385:T385"/>
    <mergeCell ref="L362:M362"/>
    <mergeCell ref="Q367:R367"/>
    <mergeCell ref="L364:M364"/>
    <mergeCell ref="Q363:R363"/>
    <mergeCell ref="L366:M366"/>
    <mergeCell ref="S376:T376"/>
    <mergeCell ref="S384:T384"/>
    <mergeCell ref="S378:T378"/>
    <mergeCell ref="S374:T374"/>
    <mergeCell ref="B313:F313"/>
    <mergeCell ref="L325:M325"/>
    <mergeCell ref="G313:H313"/>
    <mergeCell ref="G325:H325"/>
    <mergeCell ref="G316:H316"/>
    <mergeCell ref="G318:H318"/>
    <mergeCell ref="L320:L321"/>
    <mergeCell ref="L324:T324"/>
    <mergeCell ref="S313:T313"/>
    <mergeCell ref="G319:H319"/>
    <mergeCell ref="P196:P197"/>
    <mergeCell ref="R295:T295"/>
    <mergeCell ref="R293:T293"/>
    <mergeCell ref="R298:T298"/>
    <mergeCell ref="R297:T297"/>
    <mergeCell ref="S237:T237"/>
    <mergeCell ref="S238:T238"/>
    <mergeCell ref="S239:T239"/>
    <mergeCell ref="R281:T281"/>
    <mergeCell ref="R286:T286"/>
    <mergeCell ref="S159:T159"/>
    <mergeCell ref="S168:T168"/>
    <mergeCell ref="O168:P168"/>
    <mergeCell ref="O167:P167"/>
    <mergeCell ref="O161:P161"/>
    <mergeCell ref="S171:T171"/>
    <mergeCell ref="O149:P149"/>
    <mergeCell ref="S156:T156"/>
    <mergeCell ref="O172:P172"/>
    <mergeCell ref="S158:T158"/>
    <mergeCell ref="S165:T165"/>
    <mergeCell ref="S162:T162"/>
    <mergeCell ref="O165:P165"/>
    <mergeCell ref="O166:P166"/>
    <mergeCell ref="O170:P170"/>
    <mergeCell ref="G138:H138"/>
    <mergeCell ref="G146:H146"/>
    <mergeCell ref="L146:M146"/>
    <mergeCell ref="O146:P146"/>
    <mergeCell ref="O145:P145"/>
    <mergeCell ref="O144:P144"/>
    <mergeCell ref="O173:P173"/>
    <mergeCell ref="O169:P169"/>
    <mergeCell ref="O158:P158"/>
    <mergeCell ref="G159:H159"/>
    <mergeCell ref="L159:M159"/>
    <mergeCell ref="L158:M158"/>
    <mergeCell ref="G158:H158"/>
    <mergeCell ref="G162:H162"/>
    <mergeCell ref="O162:P162"/>
    <mergeCell ref="G173:H173"/>
    <mergeCell ref="G134:H134"/>
    <mergeCell ref="G143:H143"/>
    <mergeCell ref="L138:M138"/>
    <mergeCell ref="L143:M143"/>
    <mergeCell ref="G141:H141"/>
    <mergeCell ref="L141:M141"/>
    <mergeCell ref="L142:M142"/>
    <mergeCell ref="G142:H142"/>
    <mergeCell ref="K137:M137"/>
    <mergeCell ref="G137:H137"/>
    <mergeCell ref="G128:H128"/>
    <mergeCell ref="O150:P150"/>
    <mergeCell ref="G156:H156"/>
    <mergeCell ref="O156:P156"/>
    <mergeCell ref="G150:H150"/>
    <mergeCell ref="G154:H154"/>
    <mergeCell ref="G151:H151"/>
    <mergeCell ref="G152:H152"/>
    <mergeCell ref="L134:M134"/>
    <mergeCell ref="G147:H147"/>
    <mergeCell ref="G125:H125"/>
    <mergeCell ref="L125:M125"/>
    <mergeCell ref="L126:M126"/>
    <mergeCell ref="L124:M124"/>
    <mergeCell ref="O585:P585"/>
    <mergeCell ref="L575:M575"/>
    <mergeCell ref="L576:M576"/>
    <mergeCell ref="L548:M548"/>
    <mergeCell ref="L558:M558"/>
    <mergeCell ref="L585:M585"/>
    <mergeCell ref="L556:M556"/>
    <mergeCell ref="L557:M557"/>
    <mergeCell ref="O584:P584"/>
    <mergeCell ref="O555:P555"/>
    <mergeCell ref="L564:M564"/>
    <mergeCell ref="O556:P556"/>
    <mergeCell ref="L583:M583"/>
    <mergeCell ref="L566:M566"/>
    <mergeCell ref="L573:M573"/>
    <mergeCell ref="L574:M574"/>
    <mergeCell ref="O564:P564"/>
    <mergeCell ref="O565:P565"/>
    <mergeCell ref="O566:P566"/>
    <mergeCell ref="L565:M565"/>
    <mergeCell ref="L584:M584"/>
    <mergeCell ref="L577:M577"/>
    <mergeCell ref="G560:H560"/>
    <mergeCell ref="G569:H569"/>
    <mergeCell ref="G579:H579"/>
    <mergeCell ref="L567:M567"/>
    <mergeCell ref="G578:H578"/>
    <mergeCell ref="G574:H574"/>
    <mergeCell ref="G576:H576"/>
    <mergeCell ref="G563:H563"/>
    <mergeCell ref="L527:M527"/>
    <mergeCell ref="G530:H530"/>
    <mergeCell ref="L528:M528"/>
    <mergeCell ref="G527:H527"/>
    <mergeCell ref="L543:M543"/>
    <mergeCell ref="L536:M536"/>
    <mergeCell ref="L537:M537"/>
    <mergeCell ref="G539:H539"/>
    <mergeCell ref="G543:H543"/>
    <mergeCell ref="G536:H536"/>
    <mergeCell ref="L471:M471"/>
    <mergeCell ref="L493:M493"/>
    <mergeCell ref="L482:M482"/>
    <mergeCell ref="L483:M483"/>
    <mergeCell ref="L479:M479"/>
    <mergeCell ref="L491:M491"/>
    <mergeCell ref="L492:M492"/>
    <mergeCell ref="L515:M515"/>
    <mergeCell ref="L510:M510"/>
    <mergeCell ref="L470:M470"/>
    <mergeCell ref="L472:M472"/>
    <mergeCell ref="L473:M473"/>
    <mergeCell ref="L494:M494"/>
    <mergeCell ref="L484:M484"/>
    <mergeCell ref="L485:M485"/>
    <mergeCell ref="L480:M480"/>
    <mergeCell ref="L481:M481"/>
    <mergeCell ref="L469:M469"/>
    <mergeCell ref="E465:F465"/>
    <mergeCell ref="G465:H465"/>
    <mergeCell ref="L468:M468"/>
    <mergeCell ref="G468:H468"/>
    <mergeCell ref="G469:H469"/>
    <mergeCell ref="G466:H466"/>
    <mergeCell ref="G467:H467"/>
    <mergeCell ref="L465:M465"/>
    <mergeCell ref="L466:M466"/>
    <mergeCell ref="L467:M467"/>
    <mergeCell ref="L452:M452"/>
    <mergeCell ref="L459:M459"/>
    <mergeCell ref="L454:M454"/>
    <mergeCell ref="L460:M460"/>
    <mergeCell ref="L360:M360"/>
    <mergeCell ref="L365:M365"/>
    <mergeCell ref="L453:M453"/>
    <mergeCell ref="L450:M450"/>
    <mergeCell ref="M400:R400"/>
    <mergeCell ref="O345:P345"/>
    <mergeCell ref="L344:M344"/>
    <mergeCell ref="L336:M336"/>
    <mergeCell ref="L338:M338"/>
    <mergeCell ref="L337:M337"/>
    <mergeCell ref="L339:M339"/>
    <mergeCell ref="L340:M340"/>
    <mergeCell ref="L343:M343"/>
    <mergeCell ref="L345:M345"/>
    <mergeCell ref="O344:P344"/>
    <mergeCell ref="K465:K466"/>
    <mergeCell ref="I466:J466"/>
    <mergeCell ref="L455:M455"/>
    <mergeCell ref="L457:M457"/>
    <mergeCell ref="L456:M456"/>
    <mergeCell ref="L458:M458"/>
    <mergeCell ref="I366:J366"/>
    <mergeCell ref="G374:H374"/>
    <mergeCell ref="I465:J465"/>
    <mergeCell ref="I368:J368"/>
    <mergeCell ref="G399:H399"/>
    <mergeCell ref="G414:H414"/>
    <mergeCell ref="G403:H403"/>
    <mergeCell ref="G401:H401"/>
    <mergeCell ref="G402:H402"/>
    <mergeCell ref="G407:H407"/>
    <mergeCell ref="L335:M335"/>
    <mergeCell ref="L334:M334"/>
    <mergeCell ref="L330:M330"/>
    <mergeCell ref="L331:M331"/>
    <mergeCell ref="L332:M332"/>
    <mergeCell ref="G459:H459"/>
    <mergeCell ref="G470:H470"/>
    <mergeCell ref="G460:H460"/>
    <mergeCell ref="G475:H475"/>
    <mergeCell ref="G473:H473"/>
    <mergeCell ref="G471:H471"/>
    <mergeCell ref="G472:H472"/>
    <mergeCell ref="G474:H474"/>
    <mergeCell ref="K593:K594"/>
    <mergeCell ref="I505:J505"/>
    <mergeCell ref="K505:K506"/>
    <mergeCell ref="I506:J506"/>
    <mergeCell ref="I554:J554"/>
    <mergeCell ref="K554:K555"/>
    <mergeCell ref="I555:J555"/>
    <mergeCell ref="G561:H561"/>
    <mergeCell ref="G564:H564"/>
    <mergeCell ref="G511:H511"/>
    <mergeCell ref="G508:H508"/>
    <mergeCell ref="G512:H512"/>
    <mergeCell ref="G513:H513"/>
    <mergeCell ref="G516:H516"/>
    <mergeCell ref="G523:H523"/>
    <mergeCell ref="G521:H521"/>
    <mergeCell ref="G549:H549"/>
    <mergeCell ref="G546:H546"/>
    <mergeCell ref="G548:H548"/>
    <mergeCell ref="G551:H551"/>
    <mergeCell ref="G550:H550"/>
    <mergeCell ref="G547:H547"/>
    <mergeCell ref="G558:H558"/>
    <mergeCell ref="G556:H556"/>
    <mergeCell ref="G559:H559"/>
    <mergeCell ref="G555:H555"/>
    <mergeCell ref="G557:H557"/>
    <mergeCell ref="G572:H572"/>
    <mergeCell ref="G565:H565"/>
    <mergeCell ref="G575:H575"/>
    <mergeCell ref="G566:H566"/>
    <mergeCell ref="G570:H570"/>
    <mergeCell ref="G568:H568"/>
    <mergeCell ref="G567:H567"/>
    <mergeCell ref="G544:H544"/>
    <mergeCell ref="G545:H545"/>
    <mergeCell ref="G53:H53"/>
    <mergeCell ref="I53:J53"/>
    <mergeCell ref="G446:H446"/>
    <mergeCell ref="G456:H456"/>
    <mergeCell ref="I364:J364"/>
    <mergeCell ref="I362:J362"/>
    <mergeCell ref="I363:J363"/>
    <mergeCell ref="G187:H187"/>
    <mergeCell ref="L62:M62"/>
    <mergeCell ref="L63:M63"/>
    <mergeCell ref="G62:H62"/>
    <mergeCell ref="L202:M202"/>
    <mergeCell ref="L156:M156"/>
    <mergeCell ref="G133:H133"/>
    <mergeCell ref="G108:H108"/>
    <mergeCell ref="G102:H102"/>
    <mergeCell ref="G104:H104"/>
    <mergeCell ref="G127:H127"/>
    <mergeCell ref="G58:H58"/>
    <mergeCell ref="I58:J58"/>
    <mergeCell ref="L53:M53"/>
    <mergeCell ref="L201:M201"/>
    <mergeCell ref="L200:M200"/>
    <mergeCell ref="L129:M129"/>
    <mergeCell ref="L130:M130"/>
    <mergeCell ref="L132:M132"/>
    <mergeCell ref="L145:M145"/>
    <mergeCell ref="L150:M150"/>
    <mergeCell ref="G671:H671"/>
    <mergeCell ref="L341:M341"/>
    <mergeCell ref="L342:M342"/>
    <mergeCell ref="L367:M367"/>
    <mergeCell ref="B354:H354"/>
    <mergeCell ref="B356:H356"/>
    <mergeCell ref="G359:H359"/>
    <mergeCell ref="C378:D378"/>
    <mergeCell ref="G457:H457"/>
    <mergeCell ref="G458:H458"/>
    <mergeCell ref="L359:M359"/>
    <mergeCell ref="Q361:R361"/>
    <mergeCell ref="G383:H383"/>
    <mergeCell ref="G381:H381"/>
    <mergeCell ref="G363:H363"/>
    <mergeCell ref="G364:H364"/>
    <mergeCell ref="G376:H376"/>
    <mergeCell ref="G377:H377"/>
    <mergeCell ref="G375:H375"/>
    <mergeCell ref="G379:H379"/>
    <mergeCell ref="C394:D394"/>
    <mergeCell ref="C389:D389"/>
    <mergeCell ref="C390:D390"/>
    <mergeCell ref="C383:D383"/>
    <mergeCell ref="C374:D374"/>
    <mergeCell ref="G368:H368"/>
    <mergeCell ref="G393:H393"/>
    <mergeCell ref="G392:H392"/>
    <mergeCell ref="C391:D391"/>
    <mergeCell ref="C392:D392"/>
    <mergeCell ref="C393:D393"/>
    <mergeCell ref="C382:D382"/>
    <mergeCell ref="G389:H389"/>
    <mergeCell ref="G385:H385"/>
    <mergeCell ref="G330:H330"/>
    <mergeCell ref="G365:H365"/>
    <mergeCell ref="G366:H366"/>
    <mergeCell ref="G367:H367"/>
    <mergeCell ref="G360:H360"/>
    <mergeCell ref="G333:H333"/>
    <mergeCell ref="G332:H332"/>
    <mergeCell ref="G331:H331"/>
    <mergeCell ref="G94:H94"/>
    <mergeCell ref="G96:H96"/>
    <mergeCell ref="G114:H114"/>
    <mergeCell ref="G135:H135"/>
    <mergeCell ref="G130:H130"/>
    <mergeCell ref="G131:H131"/>
    <mergeCell ref="G132:H132"/>
    <mergeCell ref="G120:H120"/>
    <mergeCell ref="G122:H122"/>
    <mergeCell ref="G124:H124"/>
    <mergeCell ref="G40:H40"/>
    <mergeCell ref="G39:H39"/>
    <mergeCell ref="G43:H43"/>
    <mergeCell ref="G297:H297"/>
    <mergeCell ref="G195:H195"/>
    <mergeCell ref="G194:H194"/>
    <mergeCell ref="G126:H126"/>
    <mergeCell ref="G129:H129"/>
    <mergeCell ref="G248:H248"/>
    <mergeCell ref="G87:H87"/>
    <mergeCell ref="G36:H36"/>
    <mergeCell ref="G30:H30"/>
    <mergeCell ref="G31:H31"/>
    <mergeCell ref="G34:H34"/>
    <mergeCell ref="G37:H37"/>
    <mergeCell ref="G19:H19"/>
    <mergeCell ref="G20:H20"/>
    <mergeCell ref="L20:M20"/>
    <mergeCell ref="G22:H22"/>
    <mergeCell ref="L22:M22"/>
    <mergeCell ref="L31:M31"/>
    <mergeCell ref="G26:H26"/>
    <mergeCell ref="L26:M26"/>
    <mergeCell ref="G28:H28"/>
    <mergeCell ref="G16:H16"/>
    <mergeCell ref="L16:M16"/>
    <mergeCell ref="G17:H17"/>
    <mergeCell ref="O7:Q7"/>
    <mergeCell ref="O11:P11"/>
    <mergeCell ref="G9:H9"/>
    <mergeCell ref="L9:M9"/>
    <mergeCell ref="N9:P9"/>
    <mergeCell ref="L11:M11"/>
    <mergeCell ref="G11:H11"/>
    <mergeCell ref="R7:T7"/>
    <mergeCell ref="G8:H8"/>
    <mergeCell ref="L8:M8"/>
    <mergeCell ref="O8:P8"/>
    <mergeCell ref="S8:T8"/>
    <mergeCell ref="G7:H7"/>
    <mergeCell ref="K7:M7"/>
    <mergeCell ref="O12:P12"/>
    <mergeCell ref="S12:T12"/>
    <mergeCell ref="G13:H13"/>
    <mergeCell ref="L13:M13"/>
    <mergeCell ref="O13:P13"/>
    <mergeCell ref="S13:T13"/>
    <mergeCell ref="G12:H12"/>
    <mergeCell ref="L12:M12"/>
    <mergeCell ref="O14:P14"/>
    <mergeCell ref="S14:T14"/>
    <mergeCell ref="G15:H15"/>
    <mergeCell ref="L15:M15"/>
    <mergeCell ref="O15:P15"/>
    <mergeCell ref="S15:T15"/>
    <mergeCell ref="G14:H14"/>
    <mergeCell ref="L14:M14"/>
    <mergeCell ref="O16:P16"/>
    <mergeCell ref="S16:T16"/>
    <mergeCell ref="L19:M19"/>
    <mergeCell ref="O19:P19"/>
    <mergeCell ref="L17:M17"/>
    <mergeCell ref="O17:P17"/>
    <mergeCell ref="S17:T17"/>
    <mergeCell ref="S19:T19"/>
    <mergeCell ref="O20:P20"/>
    <mergeCell ref="S20:T20"/>
    <mergeCell ref="G21:H21"/>
    <mergeCell ref="L21:M21"/>
    <mergeCell ref="O21:P21"/>
    <mergeCell ref="S21:T21"/>
    <mergeCell ref="O22:P22"/>
    <mergeCell ref="S22:T22"/>
    <mergeCell ref="G23:H23"/>
    <mergeCell ref="L23:M23"/>
    <mergeCell ref="O23:P23"/>
    <mergeCell ref="S23:T23"/>
    <mergeCell ref="O25:P25"/>
    <mergeCell ref="S24:T24"/>
    <mergeCell ref="G24:H24"/>
    <mergeCell ref="L24:M24"/>
    <mergeCell ref="O24:P24"/>
    <mergeCell ref="G25:H25"/>
    <mergeCell ref="L25:M25"/>
    <mergeCell ref="S25:T25"/>
    <mergeCell ref="O26:P26"/>
    <mergeCell ref="S26:T26"/>
    <mergeCell ref="S29:T29"/>
    <mergeCell ref="L28:M28"/>
    <mergeCell ref="O28:P28"/>
    <mergeCell ref="S28:T28"/>
    <mergeCell ref="O29:P29"/>
    <mergeCell ref="L29:M29"/>
    <mergeCell ref="O31:P31"/>
    <mergeCell ref="G29:H29"/>
    <mergeCell ref="S31:T31"/>
    <mergeCell ref="L30:M30"/>
    <mergeCell ref="O30:P30"/>
    <mergeCell ref="S30:T30"/>
    <mergeCell ref="O32:P32"/>
    <mergeCell ref="S32:T32"/>
    <mergeCell ref="G33:H33"/>
    <mergeCell ref="L33:M33"/>
    <mergeCell ref="O33:P33"/>
    <mergeCell ref="S33:T33"/>
    <mergeCell ref="G32:H32"/>
    <mergeCell ref="L32:M32"/>
    <mergeCell ref="O34:P34"/>
    <mergeCell ref="G35:H35"/>
    <mergeCell ref="L35:M35"/>
    <mergeCell ref="O35:P35"/>
    <mergeCell ref="L34:M34"/>
    <mergeCell ref="S35:T35"/>
    <mergeCell ref="L36:M36"/>
    <mergeCell ref="O36:P36"/>
    <mergeCell ref="S36:T36"/>
    <mergeCell ref="S40:T40"/>
    <mergeCell ref="L37:M37"/>
    <mergeCell ref="O37:P37"/>
    <mergeCell ref="S37:T37"/>
    <mergeCell ref="S39:T39"/>
    <mergeCell ref="L40:M40"/>
    <mergeCell ref="O40:P40"/>
    <mergeCell ref="L39:M39"/>
    <mergeCell ref="O39:P39"/>
    <mergeCell ref="S41:T41"/>
    <mergeCell ref="G42:H42"/>
    <mergeCell ref="L42:M42"/>
    <mergeCell ref="O42:P42"/>
    <mergeCell ref="S42:T42"/>
    <mergeCell ref="G41:H41"/>
    <mergeCell ref="L41:M41"/>
    <mergeCell ref="O41:P41"/>
    <mergeCell ref="L43:M43"/>
    <mergeCell ref="O43:P43"/>
    <mergeCell ref="S43:T43"/>
    <mergeCell ref="G44:H44"/>
    <mergeCell ref="L44:M44"/>
    <mergeCell ref="O44:P44"/>
    <mergeCell ref="S44:T44"/>
    <mergeCell ref="L45:M45"/>
    <mergeCell ref="O45:P45"/>
    <mergeCell ref="S45:T45"/>
    <mergeCell ref="G47:H47"/>
    <mergeCell ref="K47:M47"/>
    <mergeCell ref="O47:Q47"/>
    <mergeCell ref="R47:T47"/>
    <mergeCell ref="G45:H45"/>
    <mergeCell ref="L49:M49"/>
    <mergeCell ref="N49:P49"/>
    <mergeCell ref="G48:H48"/>
    <mergeCell ref="L48:M48"/>
    <mergeCell ref="O48:P48"/>
    <mergeCell ref="G49:H49"/>
    <mergeCell ref="O62:P62"/>
    <mergeCell ref="G51:H51"/>
    <mergeCell ref="L51:M51"/>
    <mergeCell ref="O51:P51"/>
    <mergeCell ref="G54:H54"/>
    <mergeCell ref="I54:J54"/>
    <mergeCell ref="L54:M54"/>
    <mergeCell ref="G55:H55"/>
    <mergeCell ref="I52:J52"/>
    <mergeCell ref="O58:P58"/>
    <mergeCell ref="O63:P63"/>
    <mergeCell ref="S63:T63"/>
    <mergeCell ref="G64:H64"/>
    <mergeCell ref="L64:M64"/>
    <mergeCell ref="O64:P64"/>
    <mergeCell ref="S64:T64"/>
    <mergeCell ref="G63:H63"/>
    <mergeCell ref="O66:P66"/>
    <mergeCell ref="S66:T66"/>
    <mergeCell ref="G67:H67"/>
    <mergeCell ref="L67:M67"/>
    <mergeCell ref="O67:P67"/>
    <mergeCell ref="S67:T67"/>
    <mergeCell ref="L66:M66"/>
    <mergeCell ref="G66:H66"/>
    <mergeCell ref="O68:P68"/>
    <mergeCell ref="S68:T68"/>
    <mergeCell ref="G69:H69"/>
    <mergeCell ref="L69:M69"/>
    <mergeCell ref="O69:P69"/>
    <mergeCell ref="S69:T69"/>
    <mergeCell ref="G68:H68"/>
    <mergeCell ref="L68:M68"/>
    <mergeCell ref="O71:P71"/>
    <mergeCell ref="S71:T71"/>
    <mergeCell ref="G72:H72"/>
    <mergeCell ref="L72:M72"/>
    <mergeCell ref="O72:P72"/>
    <mergeCell ref="S72:T72"/>
    <mergeCell ref="G71:H71"/>
    <mergeCell ref="L71:M71"/>
    <mergeCell ref="O73:P73"/>
    <mergeCell ref="S73:T73"/>
    <mergeCell ref="G74:H74"/>
    <mergeCell ref="L74:M74"/>
    <mergeCell ref="O74:P74"/>
    <mergeCell ref="S74:T74"/>
    <mergeCell ref="L73:M73"/>
    <mergeCell ref="G73:H73"/>
    <mergeCell ref="L75:M75"/>
    <mergeCell ref="O75:P75"/>
    <mergeCell ref="S75:T75"/>
    <mergeCell ref="G76:H76"/>
    <mergeCell ref="L76:M76"/>
    <mergeCell ref="O76:P76"/>
    <mergeCell ref="S76:T76"/>
    <mergeCell ref="G75:H75"/>
    <mergeCell ref="L77:M77"/>
    <mergeCell ref="O77:P77"/>
    <mergeCell ref="S77:T77"/>
    <mergeCell ref="G79:H79"/>
    <mergeCell ref="L79:M79"/>
    <mergeCell ref="O79:P79"/>
    <mergeCell ref="S79:T79"/>
    <mergeCell ref="G77:H77"/>
    <mergeCell ref="L82:M82"/>
    <mergeCell ref="O82:P82"/>
    <mergeCell ref="S82:T82"/>
    <mergeCell ref="G83:H83"/>
    <mergeCell ref="L83:M83"/>
    <mergeCell ref="O83:P83"/>
    <mergeCell ref="S83:T83"/>
    <mergeCell ref="G82:H82"/>
    <mergeCell ref="L84:M84"/>
    <mergeCell ref="O84:P84"/>
    <mergeCell ref="S84:T84"/>
    <mergeCell ref="G85:H85"/>
    <mergeCell ref="L85:M85"/>
    <mergeCell ref="O85:P85"/>
    <mergeCell ref="S85:T85"/>
    <mergeCell ref="G84:H84"/>
    <mergeCell ref="L87:M87"/>
    <mergeCell ref="G86:H86"/>
    <mergeCell ref="L86:M86"/>
    <mergeCell ref="G90:H90"/>
    <mergeCell ref="L90:M90"/>
    <mergeCell ref="L96:M96"/>
    <mergeCell ref="N96:P96"/>
    <mergeCell ref="G95:H95"/>
    <mergeCell ref="L95:M95"/>
    <mergeCell ref="O95:P95"/>
    <mergeCell ref="L98:M98"/>
    <mergeCell ref="O98:P98"/>
    <mergeCell ref="S98:T98"/>
    <mergeCell ref="G99:H99"/>
    <mergeCell ref="L99:M99"/>
    <mergeCell ref="O99:P99"/>
    <mergeCell ref="S99:T99"/>
    <mergeCell ref="G98:H98"/>
    <mergeCell ref="L100:M100"/>
    <mergeCell ref="O100:P100"/>
    <mergeCell ref="S100:T100"/>
    <mergeCell ref="G101:H101"/>
    <mergeCell ref="L101:M101"/>
    <mergeCell ref="O101:P101"/>
    <mergeCell ref="S101:T101"/>
    <mergeCell ref="G100:H100"/>
    <mergeCell ref="L102:M102"/>
    <mergeCell ref="O102:P102"/>
    <mergeCell ref="S102:T102"/>
    <mergeCell ref="G105:H105"/>
    <mergeCell ref="L104:M104"/>
    <mergeCell ref="O104:P104"/>
    <mergeCell ref="L105:M105"/>
    <mergeCell ref="G103:H103"/>
    <mergeCell ref="L103:M103"/>
    <mergeCell ref="O103:P103"/>
    <mergeCell ref="L106:M106"/>
    <mergeCell ref="S106:T106"/>
    <mergeCell ref="O106:P106"/>
    <mergeCell ref="G107:H107"/>
    <mergeCell ref="G106:H106"/>
    <mergeCell ref="L108:M108"/>
    <mergeCell ref="S108:T108"/>
    <mergeCell ref="O108:P108"/>
    <mergeCell ref="L107:M107"/>
    <mergeCell ref="O107:P107"/>
    <mergeCell ref="S107:T107"/>
    <mergeCell ref="G112:H112"/>
    <mergeCell ref="O112:P112"/>
    <mergeCell ref="L109:M109"/>
    <mergeCell ref="O109:P109"/>
    <mergeCell ref="G111:H111"/>
    <mergeCell ref="L111:M111"/>
    <mergeCell ref="O111:P111"/>
    <mergeCell ref="G109:H109"/>
    <mergeCell ref="G113:H113"/>
    <mergeCell ref="L113:M113"/>
    <mergeCell ref="O113:P113"/>
    <mergeCell ref="S113:T113"/>
    <mergeCell ref="G116:H116"/>
    <mergeCell ref="L116:M116"/>
    <mergeCell ref="S114:T114"/>
    <mergeCell ref="G115:H115"/>
    <mergeCell ref="L115:M115"/>
    <mergeCell ref="O115:P115"/>
    <mergeCell ref="S115:T115"/>
    <mergeCell ref="O114:P114"/>
    <mergeCell ref="G121:H121"/>
    <mergeCell ref="L121:M121"/>
    <mergeCell ref="L120:M120"/>
    <mergeCell ref="L117:M117"/>
    <mergeCell ref="G119:H119"/>
    <mergeCell ref="G118:H118"/>
    <mergeCell ref="L118:M118"/>
    <mergeCell ref="L119:M119"/>
    <mergeCell ref="G117:H117"/>
    <mergeCell ref="G149:H149"/>
    <mergeCell ref="G148:H148"/>
    <mergeCell ref="L148:M148"/>
    <mergeCell ref="L147:M147"/>
    <mergeCell ref="G157:H157"/>
    <mergeCell ref="G155:H155"/>
    <mergeCell ref="L155:M155"/>
    <mergeCell ref="L154:M154"/>
    <mergeCell ref="L157:M157"/>
    <mergeCell ref="O154:P154"/>
    <mergeCell ref="G145:H145"/>
    <mergeCell ref="G171:H171"/>
    <mergeCell ref="G172:H172"/>
    <mergeCell ref="G165:H165"/>
    <mergeCell ref="G160:H160"/>
    <mergeCell ref="G168:H168"/>
    <mergeCell ref="G169:H169"/>
    <mergeCell ref="G170:H170"/>
    <mergeCell ref="G161:H161"/>
    <mergeCell ref="S180:T180"/>
    <mergeCell ref="P185:S185"/>
    <mergeCell ref="O182:P182"/>
    <mergeCell ref="Q190:Q192"/>
    <mergeCell ref="P190:P192"/>
    <mergeCell ref="R190:S192"/>
    <mergeCell ref="S176:T176"/>
    <mergeCell ref="O175:P175"/>
    <mergeCell ref="S175:T175"/>
    <mergeCell ref="S178:T178"/>
    <mergeCell ref="S173:T173"/>
    <mergeCell ref="O174:P174"/>
    <mergeCell ref="O118:P118"/>
    <mergeCell ref="O121:P121"/>
    <mergeCell ref="O122:P122"/>
    <mergeCell ref="O119:P119"/>
    <mergeCell ref="S126:T126"/>
    <mergeCell ref="O159:P159"/>
    <mergeCell ref="S155:T155"/>
    <mergeCell ref="O126:P126"/>
    <mergeCell ref="S174:T174"/>
    <mergeCell ref="L180:M180"/>
    <mergeCell ref="L186:M186"/>
    <mergeCell ref="L183:M183"/>
    <mergeCell ref="K185:M185"/>
    <mergeCell ref="L181:M181"/>
    <mergeCell ref="O176:P176"/>
    <mergeCell ref="S177:T177"/>
    <mergeCell ref="S179:T179"/>
    <mergeCell ref="S181:T181"/>
    <mergeCell ref="L131:M131"/>
    <mergeCell ref="L190:M190"/>
    <mergeCell ref="L182:M182"/>
    <mergeCell ref="L189:M189"/>
    <mergeCell ref="L160:M160"/>
    <mergeCell ref="L135:M135"/>
    <mergeCell ref="L122:M122"/>
    <mergeCell ref="L127:M127"/>
    <mergeCell ref="L128:M128"/>
    <mergeCell ref="L178:M178"/>
    <mergeCell ref="L133:M133"/>
    <mergeCell ref="L166:M166"/>
    <mergeCell ref="L169:M169"/>
    <mergeCell ref="L173:M173"/>
    <mergeCell ref="L165:M165"/>
    <mergeCell ref="L170:M170"/>
    <mergeCell ref="O90:P90"/>
    <mergeCell ref="O148:P148"/>
    <mergeCell ref="O152:P152"/>
    <mergeCell ref="O151:P151"/>
    <mergeCell ref="N139:P139"/>
    <mergeCell ref="O135:P135"/>
    <mergeCell ref="O147:P147"/>
    <mergeCell ref="O128:P128"/>
    <mergeCell ref="O116:P116"/>
    <mergeCell ref="O143:P143"/>
    <mergeCell ref="O130:P130"/>
    <mergeCell ref="O137:Q137"/>
    <mergeCell ref="O142:P142"/>
    <mergeCell ref="O138:P138"/>
    <mergeCell ref="O141:P141"/>
    <mergeCell ref="O131:P131"/>
    <mergeCell ref="O132:P132"/>
    <mergeCell ref="O87:P87"/>
    <mergeCell ref="K94:M94"/>
    <mergeCell ref="L168:M168"/>
    <mergeCell ref="L152:M152"/>
    <mergeCell ref="L151:M151"/>
    <mergeCell ref="L149:M149"/>
    <mergeCell ref="L114:M114"/>
    <mergeCell ref="L112:M112"/>
    <mergeCell ref="L161:M161"/>
    <mergeCell ref="L162:M162"/>
    <mergeCell ref="O86:P86"/>
    <mergeCell ref="O160:P160"/>
    <mergeCell ref="O105:P105"/>
    <mergeCell ref="O124:P124"/>
    <mergeCell ref="O134:P134"/>
    <mergeCell ref="O125:P125"/>
    <mergeCell ref="O120:P120"/>
    <mergeCell ref="O133:P133"/>
    <mergeCell ref="O94:Q94"/>
    <mergeCell ref="O117:P117"/>
    <mergeCell ref="S150:T150"/>
    <mergeCell ref="S151:T151"/>
    <mergeCell ref="S145:T145"/>
    <mergeCell ref="S143:T143"/>
    <mergeCell ref="S144:T144"/>
    <mergeCell ref="S104:T104"/>
    <mergeCell ref="S105:T105"/>
    <mergeCell ref="S121:T121"/>
    <mergeCell ref="S119:T119"/>
    <mergeCell ref="S112:T112"/>
    <mergeCell ref="S109:T109"/>
    <mergeCell ref="S111:T111"/>
    <mergeCell ref="S117:T117"/>
    <mergeCell ref="S116:T116"/>
    <mergeCell ref="S122:T122"/>
    <mergeCell ref="O127:P127"/>
    <mergeCell ref="O129:P129"/>
    <mergeCell ref="S127:T127"/>
    <mergeCell ref="S124:T124"/>
    <mergeCell ref="S128:T128"/>
    <mergeCell ref="S129:T129"/>
    <mergeCell ref="S86:T86"/>
    <mergeCell ref="R94:T94"/>
    <mergeCell ref="S146:T146"/>
    <mergeCell ref="S120:T120"/>
    <mergeCell ref="S118:T118"/>
    <mergeCell ref="S103:T103"/>
    <mergeCell ref="S133:T133"/>
    <mergeCell ref="S125:T125"/>
    <mergeCell ref="S132:T132"/>
    <mergeCell ref="S135:T135"/>
    <mergeCell ref="O53:P53"/>
    <mergeCell ref="S51:T51"/>
    <mergeCell ref="O55:P55"/>
    <mergeCell ref="S55:T55"/>
    <mergeCell ref="O54:P54"/>
    <mergeCell ref="S53:T53"/>
    <mergeCell ref="S9:T9"/>
    <mergeCell ref="S49:T49"/>
    <mergeCell ref="S96:T96"/>
    <mergeCell ref="S139:T139"/>
    <mergeCell ref="S138:T138"/>
    <mergeCell ref="S95:T95"/>
    <mergeCell ref="S11:T11"/>
    <mergeCell ref="S48:T48"/>
    <mergeCell ref="S56:T56"/>
    <mergeCell ref="S62:T62"/>
    <mergeCell ref="O56:P56"/>
    <mergeCell ref="S160:T160"/>
    <mergeCell ref="S161:T161"/>
    <mergeCell ref="R199:S199"/>
    <mergeCell ref="S166:T166"/>
    <mergeCell ref="T196:T197"/>
    <mergeCell ref="S169:T169"/>
    <mergeCell ref="S90:T90"/>
    <mergeCell ref="S87:T87"/>
    <mergeCell ref="S58:T58"/>
    <mergeCell ref="S34:T34"/>
    <mergeCell ref="S54:T54"/>
    <mergeCell ref="G422:H422"/>
    <mergeCell ref="I55:J55"/>
    <mergeCell ref="L55:M55"/>
    <mergeCell ref="G56:H56"/>
    <mergeCell ref="I56:J56"/>
    <mergeCell ref="L56:M56"/>
    <mergeCell ref="L58:M58"/>
    <mergeCell ref="S389:T389"/>
    <mergeCell ref="G484:H484"/>
    <mergeCell ref="G482:H482"/>
    <mergeCell ref="G479:H479"/>
    <mergeCell ref="G478:H478"/>
    <mergeCell ref="G483:H483"/>
    <mergeCell ref="G481:H481"/>
    <mergeCell ref="G480:H480"/>
    <mergeCell ref="G476:H476"/>
    <mergeCell ref="G515:H515"/>
    <mergeCell ref="G510:H510"/>
    <mergeCell ref="G487:H487"/>
    <mergeCell ref="G488:H488"/>
    <mergeCell ref="G506:H506"/>
    <mergeCell ref="G495:H495"/>
    <mergeCell ref="G496:H496"/>
    <mergeCell ref="G498:H498"/>
    <mergeCell ref="G500:H500"/>
    <mergeCell ref="G533:H533"/>
    <mergeCell ref="G499:H499"/>
    <mergeCell ref="G486:H486"/>
    <mergeCell ref="G509:H509"/>
    <mergeCell ref="G507:H507"/>
    <mergeCell ref="G491:H491"/>
    <mergeCell ref="G493:H493"/>
    <mergeCell ref="G492:H492"/>
    <mergeCell ref="G519:H519"/>
    <mergeCell ref="G526:H526"/>
    <mergeCell ref="G535:H535"/>
    <mergeCell ref="G601:H601"/>
    <mergeCell ref="G602:H602"/>
    <mergeCell ref="B528:D528"/>
    <mergeCell ref="G540:H540"/>
    <mergeCell ref="G537:H537"/>
    <mergeCell ref="G538:H538"/>
    <mergeCell ref="G528:H528"/>
    <mergeCell ref="G529:H529"/>
    <mergeCell ref="G531:H531"/>
    <mergeCell ref="G599:H599"/>
    <mergeCell ref="G596:H596"/>
    <mergeCell ref="G597:H597"/>
    <mergeCell ref="G598:H598"/>
    <mergeCell ref="G660:H660"/>
    <mergeCell ref="G649:H649"/>
    <mergeCell ref="G650:H650"/>
    <mergeCell ref="G642:H642"/>
    <mergeCell ref="G643:H643"/>
    <mergeCell ref="G644:H644"/>
    <mergeCell ref="G645:H645"/>
    <mergeCell ref="G648:H648"/>
    <mergeCell ref="G646:H646"/>
    <mergeCell ref="G647:H647"/>
    <mergeCell ref="G655:H655"/>
    <mergeCell ref="G662:H662"/>
    <mergeCell ref="G664:H664"/>
    <mergeCell ref="G665:H665"/>
    <mergeCell ref="G656:H656"/>
    <mergeCell ref="G657:H657"/>
    <mergeCell ref="G658:H658"/>
    <mergeCell ref="G659:H659"/>
    <mergeCell ref="G663:H663"/>
    <mergeCell ref="G661:H661"/>
    <mergeCell ref="G653:H653"/>
    <mergeCell ref="G632:H632"/>
    <mergeCell ref="G633:H633"/>
    <mergeCell ref="G635:H635"/>
    <mergeCell ref="G636:H636"/>
    <mergeCell ref="G634:H634"/>
    <mergeCell ref="G639:H639"/>
    <mergeCell ref="G641:H641"/>
    <mergeCell ref="G637:H637"/>
    <mergeCell ref="G638:H638"/>
    <mergeCell ref="G651:H651"/>
    <mergeCell ref="G652:H652"/>
    <mergeCell ref="G631:H631"/>
    <mergeCell ref="G629:H629"/>
    <mergeCell ref="G630:H630"/>
    <mergeCell ref="K626:K627"/>
    <mergeCell ref="G455:H455"/>
    <mergeCell ref="G453:H453"/>
    <mergeCell ref="G454:H454"/>
    <mergeCell ref="G627:H627"/>
    <mergeCell ref="G611:H611"/>
    <mergeCell ref="G612:H612"/>
    <mergeCell ref="G613:H613"/>
    <mergeCell ref="G605:H605"/>
    <mergeCell ref="G606:H606"/>
    <mergeCell ref="G614:H614"/>
    <mergeCell ref="G610:H610"/>
    <mergeCell ref="S432:T432"/>
    <mergeCell ref="G452:H452"/>
    <mergeCell ref="G608:H608"/>
    <mergeCell ref="G609:H609"/>
    <mergeCell ref="G603:H603"/>
    <mergeCell ref="G534:H534"/>
    <mergeCell ref="L447:M447"/>
    <mergeCell ref="L547:M547"/>
    <mergeCell ref="G628:H628"/>
    <mergeCell ref="G218:H218"/>
    <mergeCell ref="G616:H616"/>
    <mergeCell ref="G617:H617"/>
    <mergeCell ref="G618:H618"/>
    <mergeCell ref="G615:H615"/>
    <mergeCell ref="G619:H619"/>
    <mergeCell ref="G620:H620"/>
    <mergeCell ref="G278:H278"/>
    <mergeCell ref="G600:H600"/>
    <mergeCell ref="S337:T337"/>
    <mergeCell ref="S338:T338"/>
    <mergeCell ref="G181:H181"/>
    <mergeCell ref="G182:H182"/>
    <mergeCell ref="G185:H185"/>
    <mergeCell ref="S260:T260"/>
    <mergeCell ref="S252:T252"/>
    <mergeCell ref="S264:T264"/>
    <mergeCell ref="L187:M187"/>
    <mergeCell ref="R198:S198"/>
    <mergeCell ref="C460:D460"/>
    <mergeCell ref="C453:D453"/>
    <mergeCell ref="C454:D454"/>
    <mergeCell ref="C455:D455"/>
    <mergeCell ref="C456:D456"/>
    <mergeCell ref="C457:D457"/>
    <mergeCell ref="C458:D458"/>
    <mergeCell ref="C459:D459"/>
    <mergeCell ref="S429:T429"/>
    <mergeCell ref="S419:T419"/>
    <mergeCell ref="S393:T393"/>
    <mergeCell ref="S400:T400"/>
    <mergeCell ref="S427:T427"/>
    <mergeCell ref="S423:T423"/>
    <mergeCell ref="S424:T424"/>
    <mergeCell ref="S401:T401"/>
    <mergeCell ref="S422:T422"/>
    <mergeCell ref="S421:T421"/>
    <mergeCell ref="G419:H419"/>
    <mergeCell ref="G411:H411"/>
    <mergeCell ref="G412:H412"/>
    <mergeCell ref="G415:H415"/>
    <mergeCell ref="C395:D395"/>
    <mergeCell ref="R283:T283"/>
    <mergeCell ref="R290:T290"/>
    <mergeCell ref="R291:T291"/>
    <mergeCell ref="R294:T294"/>
    <mergeCell ref="R289:T289"/>
    <mergeCell ref="R284:T284"/>
    <mergeCell ref="R292:T292"/>
    <mergeCell ref="R285:T285"/>
    <mergeCell ref="S340:T340"/>
    <mergeCell ref="C398:D398"/>
    <mergeCell ref="C400:D400"/>
    <mergeCell ref="C399:D399"/>
    <mergeCell ref="C397:D397"/>
    <mergeCell ref="C402:D402"/>
    <mergeCell ref="C414:D414"/>
    <mergeCell ref="S399:T399"/>
    <mergeCell ref="S407:T407"/>
    <mergeCell ref="C401:D401"/>
    <mergeCell ref="C413:D413"/>
    <mergeCell ref="G408:H408"/>
    <mergeCell ref="C408:D408"/>
    <mergeCell ref="C411:D411"/>
    <mergeCell ref="C410:D410"/>
    <mergeCell ref="I423:J423"/>
    <mergeCell ref="C447:D447"/>
    <mergeCell ref="C441:D441"/>
    <mergeCell ref="C432:D432"/>
    <mergeCell ref="C433:D433"/>
    <mergeCell ref="C429:D429"/>
    <mergeCell ref="C430:D430"/>
    <mergeCell ref="E438:E439"/>
    <mergeCell ref="F438:F439"/>
    <mergeCell ref="C434:D434"/>
    <mergeCell ref="C452:D452"/>
    <mergeCell ref="C450:D450"/>
    <mergeCell ref="G420:H420"/>
    <mergeCell ref="L449:M449"/>
    <mergeCell ref="G447:H447"/>
    <mergeCell ref="G449:H449"/>
    <mergeCell ref="G448:H448"/>
    <mergeCell ref="L448:M448"/>
    <mergeCell ref="G442:H442"/>
    <mergeCell ref="G437:H437"/>
    <mergeCell ref="S387:T387"/>
    <mergeCell ref="S420:T420"/>
    <mergeCell ref="S388:T388"/>
    <mergeCell ref="S408:T408"/>
    <mergeCell ref="S404:T404"/>
    <mergeCell ref="S405:T406"/>
    <mergeCell ref="S391:T391"/>
    <mergeCell ref="S398:T398"/>
    <mergeCell ref="S392:T392"/>
    <mergeCell ref="G451:H451"/>
    <mergeCell ref="G450:H450"/>
    <mergeCell ref="C451:D451"/>
    <mergeCell ref="C449:D449"/>
    <mergeCell ref="G378:H378"/>
    <mergeCell ref="G388:H388"/>
    <mergeCell ref="G384:H384"/>
    <mergeCell ref="C446:D446"/>
    <mergeCell ref="G438:H439"/>
    <mergeCell ref="G432:H432"/>
    <mergeCell ref="C431:D431"/>
    <mergeCell ref="C407:D407"/>
    <mergeCell ref="C396:D396"/>
    <mergeCell ref="C403:D403"/>
    <mergeCell ref="C379:D379"/>
    <mergeCell ref="G382:H382"/>
    <mergeCell ref="C380:D380"/>
    <mergeCell ref="G391:H391"/>
    <mergeCell ref="C384:D384"/>
    <mergeCell ref="C388:D388"/>
    <mergeCell ref="C371:D371"/>
    <mergeCell ref="C375:D375"/>
    <mergeCell ref="C381:D381"/>
    <mergeCell ref="B353:H353"/>
    <mergeCell ref="G380:H380"/>
    <mergeCell ref="C376:D376"/>
    <mergeCell ref="B355:H355"/>
    <mergeCell ref="G362:H362"/>
    <mergeCell ref="C364:C365"/>
    <mergeCell ref="C377:D377"/>
    <mergeCell ref="G329:H329"/>
    <mergeCell ref="G304:H304"/>
    <mergeCell ref="G311:H311"/>
    <mergeCell ref="G312:H312"/>
    <mergeCell ref="G307:H307"/>
    <mergeCell ref="G306:H306"/>
    <mergeCell ref="G328:H328"/>
    <mergeCell ref="G305:H305"/>
    <mergeCell ref="L328:M328"/>
    <mergeCell ref="O334:P334"/>
    <mergeCell ref="L329:M329"/>
    <mergeCell ref="O333:P333"/>
    <mergeCell ref="L333:M333"/>
    <mergeCell ref="O330:P330"/>
    <mergeCell ref="O329:P329"/>
    <mergeCell ref="O332:P332"/>
    <mergeCell ref="O331:P331"/>
    <mergeCell ref="O328:P328"/>
    <mergeCell ref="G288:H288"/>
    <mergeCell ref="G282:H282"/>
    <mergeCell ref="G283:H283"/>
    <mergeCell ref="G279:H279"/>
    <mergeCell ref="G280:H280"/>
    <mergeCell ref="G281:H281"/>
    <mergeCell ref="L226:M226"/>
    <mergeCell ref="L228:M228"/>
    <mergeCell ref="G266:H266"/>
    <mergeCell ref="G230:H230"/>
    <mergeCell ref="G245:H245"/>
    <mergeCell ref="G231:H231"/>
    <mergeCell ref="G252:H252"/>
    <mergeCell ref="G255:H255"/>
    <mergeCell ref="G256:H256"/>
    <mergeCell ref="L231:M231"/>
    <mergeCell ref="G213:H213"/>
    <mergeCell ref="L224:M224"/>
    <mergeCell ref="L221:M221"/>
    <mergeCell ref="G250:H250"/>
    <mergeCell ref="G224:H224"/>
    <mergeCell ref="G223:H223"/>
    <mergeCell ref="G221:H221"/>
    <mergeCell ref="L222:M222"/>
    <mergeCell ref="G222:H222"/>
    <mergeCell ref="L227:M227"/>
    <mergeCell ref="G229:H229"/>
    <mergeCell ref="G203:H203"/>
    <mergeCell ref="G200:H200"/>
    <mergeCell ref="G220:H220"/>
    <mergeCell ref="G201:H201"/>
    <mergeCell ref="G219:H219"/>
    <mergeCell ref="G217:H217"/>
    <mergeCell ref="G206:H206"/>
    <mergeCell ref="G207:H207"/>
    <mergeCell ref="G209:H209"/>
    <mergeCell ref="L197:M197"/>
    <mergeCell ref="L193:M193"/>
    <mergeCell ref="L194:M194"/>
    <mergeCell ref="L195:M195"/>
    <mergeCell ref="L203:M203"/>
    <mergeCell ref="S154:T154"/>
    <mergeCell ref="S152:T152"/>
    <mergeCell ref="S134:T134"/>
    <mergeCell ref="O157:P157"/>
    <mergeCell ref="S157:T157"/>
    <mergeCell ref="O155:P155"/>
    <mergeCell ref="L191:M191"/>
    <mergeCell ref="L199:M199"/>
    <mergeCell ref="L198:M198"/>
    <mergeCell ref="S130:T130"/>
    <mergeCell ref="S147:T147"/>
    <mergeCell ref="S148:T148"/>
    <mergeCell ref="S149:T149"/>
    <mergeCell ref="S131:T131"/>
    <mergeCell ref="S141:T141"/>
    <mergeCell ref="R137:T137"/>
    <mergeCell ref="S142:T142"/>
    <mergeCell ref="G301:H301"/>
    <mergeCell ref="G261:H261"/>
    <mergeCell ref="L230:M230"/>
    <mergeCell ref="G300:H300"/>
    <mergeCell ref="G298:H298"/>
    <mergeCell ref="G294:H294"/>
    <mergeCell ref="G295:H295"/>
    <mergeCell ref="F276:H276"/>
    <mergeCell ref="G285:H285"/>
    <mergeCell ref="G289:H289"/>
    <mergeCell ref="G214:H214"/>
    <mergeCell ref="L229:M229"/>
    <mergeCell ref="L220:M220"/>
    <mergeCell ref="L218:M218"/>
    <mergeCell ref="L217:M217"/>
    <mergeCell ref="L223:M223"/>
    <mergeCell ref="L219:M219"/>
    <mergeCell ref="G227:H227"/>
    <mergeCell ref="G226:H226"/>
    <mergeCell ref="G228:H228"/>
    <mergeCell ref="G296:H296"/>
    <mergeCell ref="R299:T299"/>
    <mergeCell ref="G291:H291"/>
    <mergeCell ref="G290:H290"/>
    <mergeCell ref="G299:H299"/>
    <mergeCell ref="S266:T266"/>
    <mergeCell ref="S268:T268"/>
    <mergeCell ref="G271:H271"/>
    <mergeCell ref="G284:H284"/>
    <mergeCell ref="R280:T280"/>
    <mergeCell ref="R282:T282"/>
    <mergeCell ref="G189:H189"/>
    <mergeCell ref="G190:H190"/>
    <mergeCell ref="G180:H180"/>
    <mergeCell ref="G174:H174"/>
    <mergeCell ref="G176:H176"/>
    <mergeCell ref="G178:H178"/>
    <mergeCell ref="G177:H177"/>
    <mergeCell ref="G175:H175"/>
    <mergeCell ref="G196:H196"/>
    <mergeCell ref="G197:H197"/>
    <mergeCell ref="G198:H198"/>
    <mergeCell ref="O171:P171"/>
    <mergeCell ref="L192:M192"/>
    <mergeCell ref="L196:M196"/>
    <mergeCell ref="L174:M174"/>
    <mergeCell ref="L171:M171"/>
    <mergeCell ref="L172:M172"/>
    <mergeCell ref="L177:M177"/>
    <mergeCell ref="S318:T318"/>
    <mergeCell ref="S314:T314"/>
    <mergeCell ref="L327:M327"/>
    <mergeCell ref="G302:H302"/>
    <mergeCell ref="G327:H327"/>
    <mergeCell ref="S305:T305"/>
    <mergeCell ref="G303:H303"/>
    <mergeCell ref="G308:H308"/>
    <mergeCell ref="G309:H309"/>
    <mergeCell ref="G310:H310"/>
    <mergeCell ref="S170:T170"/>
    <mergeCell ref="G208:H208"/>
    <mergeCell ref="G293:H293"/>
    <mergeCell ref="S315:T315"/>
    <mergeCell ref="G292:H292"/>
    <mergeCell ref="G192:H192"/>
    <mergeCell ref="G202:H202"/>
    <mergeCell ref="G199:H199"/>
    <mergeCell ref="G191:H191"/>
    <mergeCell ref="G193:H193"/>
    <mergeCell ref="O547:P547"/>
    <mergeCell ref="S57:T57"/>
    <mergeCell ref="G57:H57"/>
    <mergeCell ref="I57:J57"/>
    <mergeCell ref="L57:M57"/>
    <mergeCell ref="O57:P57"/>
    <mergeCell ref="S172:T172"/>
    <mergeCell ref="G186:H186"/>
    <mergeCell ref="S267:T267"/>
    <mergeCell ref="S249:T249"/>
    <mergeCell ref="R206:S208"/>
    <mergeCell ref="G212:H212"/>
    <mergeCell ref="L206:M206"/>
    <mergeCell ref="L207:M207"/>
    <mergeCell ref="L208:M208"/>
    <mergeCell ref="L209:M209"/>
    <mergeCell ref="Q206:Q208"/>
    <mergeCell ref="P206:P208"/>
    <mergeCell ref="L210:M210"/>
    <mergeCell ref="G210:H210"/>
    <mergeCell ref="R296:T296"/>
    <mergeCell ref="S247:T247"/>
    <mergeCell ref="R279:T279"/>
    <mergeCell ref="S270:T270"/>
    <mergeCell ref="R278:T278"/>
    <mergeCell ref="S269:T269"/>
    <mergeCell ref="S261:T261"/>
    <mergeCell ref="S265:T265"/>
    <mergeCell ref="S258:T258"/>
    <mergeCell ref="S263:T263"/>
  </mergeCells>
  <conditionalFormatting sqref="G212:G214 G11:G16 G141:G151 G28:G36 G39:G44 G82:G86 G66:G68 G62:G63 G71:G76 G98:G108 G111:G121 G124:G134 G51 G154:G161 G19:G25 G79:H79 G165:H166 G90 G168:G182 G217:G224 G53:G57 G206:G209 G189:G202 G226:G230">
    <cfRule type="expression" priority="1" dxfId="16" stopIfTrue="1">
      <formula>AND($G$5=TRUE,G11&lt;&gt;F11-E11)</formula>
    </cfRule>
    <cfRule type="expression" priority="2" dxfId="17" stopIfTrue="1">
      <formula>$F$5=TRUE</formula>
    </cfRule>
  </conditionalFormatting>
  <conditionalFormatting sqref="L189:M199 O168:P168 O57:T57 L11:M16 L124:M134 L19:M25 L28:M36 L71:M76 L79:M79 L66:M68 L51:M51 L62:M63 L141:M151 L98:M108 L111:M121 L39:M44 L82:M86 L154:M161 G248 S327:T345 L168:M176 G250 G245 G252 L217:M224 L53:M57 L206:M209 L226:M230 G255:G256 G266">
    <cfRule type="expression" priority="3" dxfId="16" stopIfTrue="1">
      <formula>AND($G$5=TRUE,G11&lt;&gt;A11*F11)</formula>
    </cfRule>
  </conditionalFormatting>
  <conditionalFormatting sqref="S397 S374:S378 S404 Q449 Q453:Q460 S11:S16 S82:S86 S39:S44 S19:S25 S28:S36 S71:S76 S79 S62:S63 S51 S66:S68 S124:S134 S98:S108 S111:S121 S322 S141:S151 S90 S154:S161 S317:S318 S256:S269 S168:S175 S179:S180 G374:G384 G388:G403 G407:G414 S53:S56 S305:S315">
    <cfRule type="expression" priority="4" dxfId="16" stopIfTrue="1">
      <formula>AND($G$5=TRUE,G11&lt;&gt;E11*F11)</formula>
    </cfRule>
  </conditionalFormatting>
  <conditionalFormatting sqref="Q379 S87 L87 O87 Q87 E87:G87">
    <cfRule type="expression" priority="5" dxfId="16" stopIfTrue="1">
      <formula>AND($G$5=TRUE,E87&lt;&gt;SUM(E82:E86))</formula>
    </cfRule>
  </conditionalFormatting>
  <conditionalFormatting sqref="S393">
    <cfRule type="expression" priority="6" dxfId="16" stopIfTrue="1">
      <formula>AND($G$5=TRUE,S393&lt;&gt;SUM(S390:T392))</formula>
    </cfRule>
  </conditionalFormatting>
  <conditionalFormatting sqref="L184:M184 S184">
    <cfRule type="expression" priority="7" dxfId="16" stopIfTrue="1">
      <formula>AND($G$5=TRUE,L184&lt;&gt;SUM(L174:L183))</formula>
    </cfRule>
  </conditionalFormatting>
  <conditionalFormatting sqref="Q26 S26 L26 O26 E26 G26">
    <cfRule type="expression" priority="8" dxfId="16" stopIfTrue="1">
      <formula>AND($G$5=TRUE,E26&lt;&gt;SUM(E19:E25))</formula>
    </cfRule>
  </conditionalFormatting>
  <conditionalFormatting sqref="R284:R285">
    <cfRule type="expression" priority="9" dxfId="16" stopIfTrue="1">
      <formula>AND($G$5=TRUE,R284&lt;&gt;S183)</formula>
    </cfRule>
  </conditionalFormatting>
  <conditionalFormatting sqref="F385">
    <cfRule type="expression" priority="10" dxfId="16" stopIfTrue="1">
      <formula>AND($G$5=TRUE,F385&lt;&gt;BE385)</formula>
    </cfRule>
  </conditionalFormatting>
  <conditionalFormatting sqref="K464">
    <cfRule type="expression" priority="11" dxfId="16" stopIfTrue="1">
      <formula>AND($G$5=TRUE,K464&lt;&gt;F463)</formula>
    </cfRule>
  </conditionalFormatting>
  <conditionalFormatting sqref="G665">
    <cfRule type="expression" priority="12" dxfId="16" stopIfTrue="1">
      <formula>AND($G$5=TRUE,G665&lt;&gt;SUM(O678:P694))</formula>
    </cfRule>
  </conditionalFormatting>
  <conditionalFormatting sqref="G641">
    <cfRule type="expression" priority="13" dxfId="16" stopIfTrue="1">
      <formula>AND($G$5=TRUE,G641&lt;&gt;SUM(O650:P667))</formula>
    </cfRule>
  </conditionalFormatting>
  <conditionalFormatting sqref="E641">
    <cfRule type="expression" priority="14" dxfId="16" stopIfTrue="1">
      <formula>AND($G$5=TRUE,E641&lt;&gt;SUM(F641:G656))</formula>
    </cfRule>
  </conditionalFormatting>
  <conditionalFormatting sqref="E595 E603">
    <cfRule type="expression" priority="15" dxfId="16" stopIfTrue="1">
      <formula>AND($G$5=TRUE,E595&lt;&gt;SUM(F596:G614))</formula>
    </cfRule>
  </conditionalFormatting>
  <conditionalFormatting sqref="K603:L603">
    <cfRule type="expression" priority="16" dxfId="16" stopIfTrue="1">
      <formula>AND($G$5=TRUE,K603&lt;&gt;SUM(P605:Q623))</formula>
    </cfRule>
  </conditionalFormatting>
  <conditionalFormatting sqref="S408">
    <cfRule type="expression" priority="17" dxfId="16" stopIfTrue="1">
      <formula>AND($G$5=TRUE,S408&lt;&gt;SUM(AM403:AN405))</formula>
    </cfRule>
  </conditionalFormatting>
  <conditionalFormatting sqref="Q349">
    <cfRule type="expression" priority="18" dxfId="16" stopIfTrue="1">
      <formula>AND($G$5=TRUE,Q349&lt;&gt;T379)</formula>
    </cfRule>
  </conditionalFormatting>
  <conditionalFormatting sqref="S349">
    <cfRule type="expression" priority="19" dxfId="16" stopIfTrue="1">
      <formula>AND($G$5=TRUE,S349&lt;&gt;S379)</formula>
    </cfRule>
  </conditionalFormatting>
  <conditionalFormatting sqref="Q350:Q351">
    <cfRule type="expression" priority="20" dxfId="16" stopIfTrue="1">
      <formula>AND($G$5=TRUE,Q350&lt;&gt;T393)</formula>
    </cfRule>
  </conditionalFormatting>
  <conditionalFormatting sqref="S350:S351">
    <cfRule type="expression" priority="21" dxfId="16" stopIfTrue="1">
      <formula>AND($G$5=TRUE,S350&lt;&gt;S393)</formula>
    </cfRule>
  </conditionalFormatting>
  <conditionalFormatting sqref="S356">
    <cfRule type="expression" priority="22" dxfId="16" stopIfTrue="1">
      <formula>AND($G$5=TRUE,S356&lt;&gt;SUM(S327:T354))</formula>
    </cfRule>
    <cfRule type="expression" priority="23" dxfId="17" stopIfTrue="1">
      <formula>$F$5=TRUE</formula>
    </cfRule>
  </conditionalFormatting>
  <conditionalFormatting sqref="S401:S402">
    <cfRule type="expression" priority="24" dxfId="16" stopIfTrue="1">
      <formula>AND($G$5=TRUE,S401&lt;&gt;SUM(S397:T399))</formula>
    </cfRule>
  </conditionalFormatting>
  <conditionalFormatting sqref="F404">
    <cfRule type="expression" priority="25" dxfId="16" stopIfTrue="1">
      <formula>AND($G$5=TRUE,F404&lt;&gt;BE398)</formula>
    </cfRule>
  </conditionalFormatting>
  <conditionalFormatting sqref="E556">
    <cfRule type="expression" priority="26" dxfId="16" stopIfTrue="1">
      <formula>AND($G$5=TRUE,E556&lt;&gt;SUM(F575:G592))</formula>
    </cfRule>
  </conditionalFormatting>
  <conditionalFormatting sqref="E533:E536">
    <cfRule type="expression" priority="27" dxfId="16" stopIfTrue="1">
      <formula>AND($G$5=TRUE,E533&lt;&gt;SUM(F556:G586))</formula>
    </cfRule>
  </conditionalFormatting>
  <conditionalFormatting sqref="E552">
    <cfRule type="expression" priority="28" dxfId="16" stopIfTrue="1">
      <formula>AND($G$5=TRUE,E552&lt;&gt;SUM(F574:G589))</formula>
    </cfRule>
  </conditionalFormatting>
  <conditionalFormatting sqref="E572:E573">
    <cfRule type="expression" priority="29" dxfId="16" stopIfTrue="1">
      <formula>AND($G$5=TRUE,E572&lt;&gt;SUM(F582:G588))</formula>
    </cfRule>
  </conditionalFormatting>
  <conditionalFormatting sqref="E553">
    <cfRule type="expression" priority="30" dxfId="16" stopIfTrue="1">
      <formula>AND($G$5=TRUE,E553&lt;&gt;SUM(F574:G589))</formula>
    </cfRule>
  </conditionalFormatting>
  <conditionalFormatting sqref="G595">
    <cfRule type="expression" priority="31" dxfId="16" stopIfTrue="1">
      <formula>AND($G$5=TRUE,G595&lt;&gt;SUM(O608:P623))</formula>
    </cfRule>
  </conditionalFormatting>
  <conditionalFormatting sqref="G596">
    <cfRule type="expression" priority="32" dxfId="16" stopIfTrue="1">
      <formula>AND($G$5=TRUE,G596&lt;&gt;SUM(O609:P623))</formula>
    </cfRule>
  </conditionalFormatting>
  <conditionalFormatting sqref="G597">
    <cfRule type="expression" priority="33" dxfId="16" stopIfTrue="1">
      <formula>AND($G$5=TRUE,G597&lt;&gt;SUM(O610:P623))</formula>
    </cfRule>
  </conditionalFormatting>
  <conditionalFormatting sqref="G598">
    <cfRule type="expression" priority="34" dxfId="16" stopIfTrue="1">
      <formula>AND($G$5=TRUE,G598&lt;&gt;SUM(O611:P623))</formula>
    </cfRule>
  </conditionalFormatting>
  <conditionalFormatting sqref="E609">
    <cfRule type="expression" priority="35" dxfId="16" stopIfTrue="1">
      <formula>AND($G$5=TRUE,E609&lt;&gt;SUM(F610:G622))</formula>
    </cfRule>
  </conditionalFormatting>
  <conditionalFormatting sqref="E605">
    <cfRule type="expression" priority="36" dxfId="16" stopIfTrue="1">
      <formula>AND($G$5=TRUE,E605&lt;&gt;SUM(F606:G622))</formula>
    </cfRule>
  </conditionalFormatting>
  <conditionalFormatting sqref="K609">
    <cfRule type="expression" priority="37" dxfId="16" stopIfTrue="1">
      <formula>AND($G$5=TRUE,K609&lt;&gt;SUM(P611:Q623))</formula>
    </cfRule>
  </conditionalFormatting>
  <conditionalFormatting sqref="G609:G611">
    <cfRule type="expression" priority="38" dxfId="16" stopIfTrue="1">
      <formula>AND($G$5=TRUE,G609&lt;&gt;SUM(O623:P630))</formula>
    </cfRule>
  </conditionalFormatting>
  <conditionalFormatting sqref="G599">
    <cfRule type="expression" priority="39" dxfId="16" stopIfTrue="1">
      <formula>AND($G$5=TRUE,G599&lt;&gt;SUM(O612:P623))</formula>
    </cfRule>
  </conditionalFormatting>
  <conditionalFormatting sqref="G619">
    <cfRule type="expression" priority="40" dxfId="16" stopIfTrue="1">
      <formula>AND($G$5=TRUE,G619&lt;&gt;SUM(O624:P640))</formula>
    </cfRule>
  </conditionalFormatting>
  <conditionalFormatting sqref="G608">
    <cfRule type="expression" priority="41" dxfId="16" stopIfTrue="1">
      <formula>AND($G$5=TRUE,G608&lt;&gt;SUM(O622:P623))</formula>
    </cfRule>
  </conditionalFormatting>
  <conditionalFormatting sqref="E610">
    <cfRule type="expression" priority="42" dxfId="16" stopIfTrue="1">
      <formula>AND($G$5=TRUE,E610&lt;&gt;SUM(F611:G622))</formula>
    </cfRule>
  </conditionalFormatting>
  <conditionalFormatting sqref="E617 E612:E613">
    <cfRule type="expression" priority="43" dxfId="16" stopIfTrue="1">
      <formula>AND($G$5=TRUE,E612&lt;&gt;SUM(F613:G622))</formula>
    </cfRule>
  </conditionalFormatting>
  <conditionalFormatting sqref="K610">
    <cfRule type="expression" priority="44" dxfId="16" stopIfTrue="1">
      <formula>AND($G$5=TRUE,K610&lt;&gt;SUM(P612:Q623))</formula>
    </cfRule>
  </conditionalFormatting>
  <conditionalFormatting sqref="K611">
    <cfRule type="expression" priority="45" dxfId="16" stopIfTrue="1">
      <formula>AND($G$5=TRUE,K611&lt;&gt;SUM(P613:Q623))</formula>
    </cfRule>
  </conditionalFormatting>
  <conditionalFormatting sqref="E240:F240">
    <cfRule type="expression" priority="46" dxfId="16" stopIfTrue="1">
      <formula>AND($G$5=TRUE,E240&lt;&gt;SUM(E236:E238))</formula>
    </cfRule>
  </conditionalFormatting>
  <conditionalFormatting sqref="S379:T379">
    <cfRule type="expression" priority="47" dxfId="16" stopIfTrue="1">
      <formula>AND($G$5=TRUE,S379&lt;&gt;SUM(S374:T378))</formula>
    </cfRule>
  </conditionalFormatting>
  <conditionalFormatting sqref="K368:L368">
    <cfRule type="expression" priority="48" dxfId="16" stopIfTrue="1">
      <formula>AND($G$5=TRUE,K368&lt;&gt;J368-I368)</formula>
    </cfRule>
    <cfRule type="expression" priority="49" dxfId="17" stopIfTrue="1">
      <formula>$F$5=TRUE</formula>
    </cfRule>
  </conditionalFormatting>
  <conditionalFormatting sqref="K605:L605">
    <cfRule type="expression" priority="50" dxfId="16" stopIfTrue="1">
      <formula>AND($G$5=TRUE,K605&lt;&gt;SUM(P607:Q623))</formula>
    </cfRule>
  </conditionalFormatting>
  <conditionalFormatting sqref="K604:L604">
    <cfRule type="expression" priority="51" dxfId="16" stopIfTrue="1">
      <formula>AND($G$5=TRUE,K604&lt;&gt;SUM(P606:Q623))</formula>
    </cfRule>
  </conditionalFormatting>
  <conditionalFormatting sqref="F595:F605">
    <cfRule type="expression" priority="52" dxfId="16" stopIfTrue="1">
      <formula>AND($G$5=TRUE,F595&lt;&gt;SUM(K596:L614))</formula>
    </cfRule>
  </conditionalFormatting>
  <conditionalFormatting sqref="F609:F619">
    <cfRule type="expression" priority="53" dxfId="16" stopIfTrue="1">
      <formula>AND($G$5=TRUE,F609&lt;&gt;SUM(K610:L622))</formula>
    </cfRule>
  </conditionalFormatting>
  <conditionalFormatting sqref="F526:F527 G527">
    <cfRule type="expression" priority="54" dxfId="16" stopIfTrue="1">
      <formula>AND($G$5=TRUE,F526&lt;&gt;SUM(K555:L576))</formula>
    </cfRule>
  </conditionalFormatting>
  <conditionalFormatting sqref="F641">
    <cfRule type="expression" priority="55" dxfId="16" stopIfTrue="1">
      <formula>AND($G$5=TRUE,F641&lt;&gt;SUM(K641:L656))</formula>
    </cfRule>
  </conditionalFormatting>
  <conditionalFormatting sqref="F552">
    <cfRule type="expression" priority="56" dxfId="16" stopIfTrue="1">
      <formula>AND($G$5=TRUE,F552&lt;&gt;SUM(K574:L589))</formula>
    </cfRule>
  </conditionalFormatting>
  <conditionalFormatting sqref="F572:F573">
    <cfRule type="expression" priority="57" dxfId="16" stopIfTrue="1">
      <formula>AND($G$5=TRUE,F572&lt;&gt;SUM(K582:L588))</formula>
    </cfRule>
  </conditionalFormatting>
  <conditionalFormatting sqref="F563:F566">
    <cfRule type="expression" priority="58" dxfId="16" stopIfTrue="1">
      <formula>AND($G$5=TRUE,F563&lt;&gt;SUM(K582:L597))</formula>
    </cfRule>
  </conditionalFormatting>
  <conditionalFormatting sqref="F553">
    <cfRule type="expression" priority="59" dxfId="16" stopIfTrue="1">
      <formula>AND($G$5=TRUE,F553&lt;&gt;SUM(K574:L589))</formula>
    </cfRule>
  </conditionalFormatting>
  <conditionalFormatting sqref="F556:F557">
    <cfRule type="expression" priority="60" dxfId="16" stopIfTrue="1">
      <formula>AND($G$5=TRUE,F556&lt;&gt;SUM(K575:L593))</formula>
    </cfRule>
  </conditionalFormatting>
  <conditionalFormatting sqref="F574">
    <cfRule type="expression" priority="61" dxfId="16" stopIfTrue="1">
      <formula>AND($G$5=TRUE,F574&lt;&gt;SUM(K582:L593))</formula>
    </cfRule>
  </conditionalFormatting>
  <conditionalFormatting sqref="F575:F576">
    <cfRule type="expression" priority="62" dxfId="16" stopIfTrue="1">
      <formula>AND($G$5=TRUE,F575&lt;&gt;SUM(K582:L594))</formula>
    </cfRule>
  </conditionalFormatting>
  <conditionalFormatting sqref="F608">
    <cfRule type="expression" priority="63" dxfId="16" stopIfTrue="1">
      <formula>AND($G$5=TRUE,F608&lt;&gt;SUM(K609:L622))</formula>
    </cfRule>
  </conditionalFormatting>
  <conditionalFormatting sqref="G583:G584">
    <cfRule type="expression" priority="64" dxfId="16" stopIfTrue="1">
      <formula>AND($G$5=TRUE,G583&lt;&gt;SUM(O596:P614))</formula>
    </cfRule>
  </conditionalFormatting>
  <conditionalFormatting sqref="E596:E599 E635:E638 E602 E655">
    <cfRule type="expression" priority="65" dxfId="16" stopIfTrue="1">
      <formula>AND($G$5=TRUE,E596&lt;&gt;SUM(F597:G616))</formula>
    </cfRule>
  </conditionalFormatting>
  <conditionalFormatting sqref="E600:E601">
    <cfRule type="expression" priority="66" dxfId="16" stopIfTrue="1">
      <formula>AND($G$5=TRUE,E600&lt;&gt;SUM(F602:G620))</formula>
    </cfRule>
  </conditionalFormatting>
  <conditionalFormatting sqref="K595:L598 K635:K638 K602:L602 F633:F634">
    <cfRule type="expression" priority="67" dxfId="16" stopIfTrue="1">
      <formula>AND($G$5=TRUE,F595&lt;&gt;SUM(K597:L616))</formula>
    </cfRule>
  </conditionalFormatting>
  <conditionalFormatting sqref="G566">
    <cfRule type="expression" priority="68" dxfId="16" stopIfTrue="1">
      <formula>AND($G$5=TRUE,G566&lt;&gt;SUM(O585:P602))</formula>
    </cfRule>
  </conditionalFormatting>
  <conditionalFormatting sqref="F635:F638 F655">
    <cfRule type="expression" priority="69" dxfId="16" stopIfTrue="1">
      <formula>AND($G$5=TRUE,F635&lt;&gt;SUM(K636:L655))</formula>
    </cfRule>
  </conditionalFormatting>
  <conditionalFormatting sqref="I17 I45">
    <cfRule type="expression" priority="70" dxfId="16" stopIfTrue="1">
      <formula>AND($W$5=TRUE,I17&lt;&gt;SUM(I11:I16))</formula>
    </cfRule>
  </conditionalFormatting>
  <conditionalFormatting sqref="E17:G17 S17 L17 O17 Q17 Q45 E45:G45 S45 L45 O45 S77:T77 F77:H77 L77:M77 Q77">
    <cfRule type="expression" priority="71" dxfId="16" stopIfTrue="1">
      <formula>AND($G$5=TRUE,E17&lt;&gt;SUM(E11:E16))</formula>
    </cfRule>
  </conditionalFormatting>
  <conditionalFormatting sqref="E327 L327:M345">
    <cfRule type="expression" priority="72" dxfId="16" stopIfTrue="1">
      <formula>AND($G$5=TRUE,E327&lt;&gt;F17)</formula>
    </cfRule>
  </conditionalFormatting>
  <conditionalFormatting sqref="V161 I161">
    <cfRule type="expression" priority="73" dxfId="16" stopIfTrue="1">
      <formula>AND($W$5=TRUE,I161&lt;&gt;SUM(I153:I158))</formula>
    </cfRule>
  </conditionalFormatting>
  <conditionalFormatting sqref="L90:M90">
    <cfRule type="expression" priority="74" dxfId="16" stopIfTrue="1">
      <formula>AND($G$5=TRUE,L90&lt;&gt;F90)</formula>
    </cfRule>
  </conditionalFormatting>
  <conditionalFormatting sqref="O69 Q69 E69:G69 S69 L69">
    <cfRule type="expression" priority="75" dxfId="16" stopIfTrue="1">
      <formula>AND($G$5=TRUE,E69&lt;&gt;SUM(E66:E68))</formula>
    </cfRule>
  </conditionalFormatting>
  <conditionalFormatting sqref="S64 L64 O64 Q64 E64:G64">
    <cfRule type="expression" priority="76" dxfId="16" stopIfTrue="1">
      <formula>AND($G$5=TRUE,E64&lt;&gt;SUM(E62:E63))</formula>
    </cfRule>
  </conditionalFormatting>
  <conditionalFormatting sqref="I64">
    <cfRule type="expression" priority="77" dxfId="16" stopIfTrue="1">
      <formula>AND($W$5=TRUE,I64&lt;&gt;SUM(I62:I63))</formula>
    </cfRule>
  </conditionalFormatting>
  <conditionalFormatting sqref="I37 I183">
    <cfRule type="expression" priority="78" dxfId="16" stopIfTrue="1">
      <formula>AND($W$5=TRUE,I37&lt;&gt;SUM(I28:I36))</formula>
    </cfRule>
  </conditionalFormatting>
  <conditionalFormatting sqref="E37:G37 S37 L37 O37 Q37 L183:M183 S183">
    <cfRule type="expression" priority="79" dxfId="16" stopIfTrue="1">
      <formula>AND($G$5=TRUE,E37&lt;&gt;SUM(E28:E36))</formula>
    </cfRule>
  </conditionalFormatting>
  <conditionalFormatting sqref="I69">
    <cfRule type="expression" priority="80" dxfId="16" stopIfTrue="1">
      <formula>AND($W$5=TRUE,I69&lt;&gt;SUM(I66:I68))</formula>
    </cfRule>
  </conditionalFormatting>
  <conditionalFormatting sqref="I87">
    <cfRule type="expression" priority="81" dxfId="16" stopIfTrue="1">
      <formula>AND($W$5=TRUE,I87&lt;&gt;SUM(I82:I86))</formula>
    </cfRule>
  </conditionalFormatting>
  <conditionalFormatting sqref="I77">
    <cfRule type="expression" priority="82" dxfId="16" stopIfTrue="1">
      <formula>AND($W$5=TRUE,I77&lt;&gt;SUM(I71:I74))</formula>
    </cfRule>
  </conditionalFormatting>
  <conditionalFormatting sqref="E77 O77">
    <cfRule type="expression" priority="83" dxfId="16" stopIfTrue="1">
      <formula>AND($G$5=TRUE,E77&lt;&gt;SUM(E71:E74))</formula>
    </cfRule>
  </conditionalFormatting>
  <conditionalFormatting sqref="I152 I109 I122 I135">
    <cfRule type="expression" priority="84" dxfId="16" stopIfTrue="1">
      <formula>AND($W$5=TRUE,I109&lt;&gt;SUM(I98:I108))</formula>
    </cfRule>
  </conditionalFormatting>
  <conditionalFormatting sqref="I26 I163:I164">
    <cfRule type="expression" priority="85" dxfId="16" stopIfTrue="1">
      <formula>AND($W$5=TRUE,I26&lt;&gt;SUM(I19:I25))</formula>
    </cfRule>
  </conditionalFormatting>
  <conditionalFormatting sqref="F26">
    <cfRule type="expression" priority="86" dxfId="16" stopIfTrue="1">
      <formula>AND($G$5=TRUE,F26&lt;&gt;SUM(F19:F25))</formula>
    </cfRule>
  </conditionalFormatting>
  <conditionalFormatting sqref="R404">
    <cfRule type="expression" priority="87" dxfId="16" stopIfTrue="1">
      <formula>AND($G$5=TRUE,R404&lt;&gt;R110)</formula>
    </cfRule>
  </conditionalFormatting>
  <conditionalFormatting sqref="R283">
    <cfRule type="expression" priority="88" dxfId="16" stopIfTrue="1">
      <formula>AND($G$5=TRUE,R283&lt;&gt;S163)</formula>
    </cfRule>
  </conditionalFormatting>
  <conditionalFormatting sqref="R280:T281">
    <cfRule type="expression" priority="89" dxfId="16" stopIfTrue="1">
      <formula>AND($G$5=TRUE,R280&lt;&gt;S87)</formula>
    </cfRule>
  </conditionalFormatting>
  <conditionalFormatting sqref="E331">
    <cfRule type="expression" priority="90" dxfId="16" stopIfTrue="1">
      <formula>AND($G$5=TRUE,E331&lt;&gt;F45)</formula>
    </cfRule>
  </conditionalFormatting>
  <conditionalFormatting sqref="E329">
    <cfRule type="expression" priority="91" dxfId="16" stopIfTrue="1">
      <formula>AND($G$5=TRUE,E329&lt;&gt;F37)</formula>
    </cfRule>
  </conditionalFormatting>
  <conditionalFormatting sqref="E328">
    <cfRule type="expression" priority="92" dxfId="16" stopIfTrue="1">
      <formula>AND($G$5=TRUE,E328&lt;&gt;F26)</formula>
    </cfRule>
  </conditionalFormatting>
  <conditionalFormatting sqref="E332:E333">
    <cfRule type="expression" priority="93" dxfId="16" stopIfTrue="1">
      <formula>AND($G$5=TRUE,E332&lt;&gt;F51)</formula>
    </cfRule>
  </conditionalFormatting>
  <conditionalFormatting sqref="E343">
    <cfRule type="expression" priority="94" dxfId="16" stopIfTrue="1">
      <formula>AND($G$5=TRUE,E343&lt;&gt;F69)</formula>
    </cfRule>
  </conditionalFormatting>
  <conditionalFormatting sqref="E344">
    <cfRule type="expression" priority="95" dxfId="16" stopIfTrue="1">
      <formula>AND($G$5=TRUE,E344&lt;&gt;F77)</formula>
    </cfRule>
  </conditionalFormatting>
  <conditionalFormatting sqref="E345">
    <cfRule type="expression" priority="96" dxfId="16" stopIfTrue="1">
      <formula>AND($G$5=TRUE,E345&lt;&gt;F79)</formula>
    </cfRule>
  </conditionalFormatting>
  <conditionalFormatting sqref="R282:T282">
    <cfRule type="expression" priority="97" dxfId="16" stopIfTrue="1">
      <formula>AND($G$5=TRUE,R282&lt;&gt;S109+S122+S135+S152+S162)</formula>
    </cfRule>
  </conditionalFormatting>
  <conditionalFormatting sqref="R279:T279">
    <cfRule type="expression" priority="98" dxfId="16" stopIfTrue="1">
      <formula>AND($G$5=TRUE,R279&lt;&gt;S64+S69+S77+S79)</formula>
    </cfRule>
  </conditionalFormatting>
  <conditionalFormatting sqref="Q374:Q378">
    <cfRule type="expression" priority="99" dxfId="16" stopIfTrue="1">
      <formula>AND($G$5=TRUE,Q374&lt;&gt;Q82)</formula>
    </cfRule>
  </conditionalFormatting>
  <conditionalFormatting sqref="S58 O58 Q58 E58:G58 L58">
    <cfRule type="expression" priority="100" dxfId="16" stopIfTrue="1">
      <formula>AND($G$5=TRUE,E58&lt;&gt;SUM(E53:E56))</formula>
    </cfRule>
  </conditionalFormatting>
  <conditionalFormatting sqref="I58">
    <cfRule type="expression" priority="101" dxfId="16" stopIfTrue="1">
      <formula>AND($W$5=TRUE,I58&lt;&gt;SUM(I53:I56))</formula>
    </cfRule>
  </conditionalFormatting>
  <conditionalFormatting sqref="I91:I92">
    <cfRule type="expression" priority="102" dxfId="16" stopIfTrue="1">
      <formula>AND($W$5=TRUE,I91&lt;&gt;SUM(I90:I90))</formula>
    </cfRule>
  </conditionalFormatting>
  <conditionalFormatting sqref="E92:G92 S92">
    <cfRule type="expression" priority="103" dxfId="16" stopIfTrue="1">
      <formula>AND($G$5=TRUE,E92&lt;&gt;SUM(E91:E91))</formula>
    </cfRule>
  </conditionalFormatting>
  <conditionalFormatting sqref="O162 Q162 E162:F162 S162 R286 S165 L165">
    <cfRule type="expression" priority="104" dxfId="16" stopIfTrue="1">
      <formula>AND($G$5=TRUE,E162&lt;&gt;SUM(E154:E160))</formula>
    </cfRule>
  </conditionalFormatting>
  <conditionalFormatting sqref="E109:G109 S109 L109 O109 Q109 E122:G122 S122 L122 O122 Q122 Q135 E135:G135 S135 L135 O135 S152 L152 O152 Q152 E152:G152 G162 L162 E385">
    <cfRule type="expression" priority="105" dxfId="16" stopIfTrue="1">
      <formula>AND($G$5=TRUE,E109&lt;&gt;SUM(E98:E108))</formula>
    </cfRule>
  </conditionalFormatting>
  <conditionalFormatting sqref="I162">
    <cfRule type="expression" priority="106" dxfId="16" stopIfTrue="1">
      <formula>AND($W$5=TRUE,I162&lt;&gt;SUM(I154:I160))</formula>
    </cfRule>
  </conditionalFormatting>
  <conditionalFormatting sqref="E334:E341">
    <cfRule type="expression" priority="107" dxfId="16" stopIfTrue="1">
      <formula>AND($G$5=TRUE,E334&lt;&gt;F64)</formula>
    </cfRule>
  </conditionalFormatting>
  <conditionalFormatting sqref="E342">
    <cfRule type="expression" priority="108" dxfId="16" stopIfTrue="1">
      <formula>AND($G$5=TRUE,E342&lt;&gt;F65)</formula>
    </cfRule>
  </conditionalFormatting>
  <conditionalFormatting sqref="G536">
    <cfRule type="expression" priority="109" dxfId="16" stopIfTrue="1">
      <formula>AND($G$5=TRUE,G536&lt;&gt;SUM(O559:P581))</formula>
    </cfRule>
  </conditionalFormatting>
  <conditionalFormatting sqref="G533">
    <cfRule type="expression" priority="110" dxfId="16" stopIfTrue="1">
      <formula>AND($G$5=TRUE,G533&lt;&gt;SUM(O556:P581))</formula>
    </cfRule>
  </conditionalFormatting>
  <conditionalFormatting sqref="G534">
    <cfRule type="expression" priority="111" dxfId="16" stopIfTrue="1">
      <formula>AND($G$5=TRUE,G534&lt;&gt;SUM(O557:P581))</formula>
    </cfRule>
  </conditionalFormatting>
  <conditionalFormatting sqref="G535">
    <cfRule type="expression" priority="112" dxfId="16" stopIfTrue="1">
      <formula>AND($G$5=TRUE,G535&lt;&gt;SUM(O558:P581))</formula>
    </cfRule>
  </conditionalFormatting>
  <conditionalFormatting sqref="G551:G552">
    <cfRule type="expression" priority="113" dxfId="16" stopIfTrue="1">
      <formula>AND($G$5=TRUE,G551&lt;&gt;SUM(O573:P589))</formula>
    </cfRule>
  </conditionalFormatting>
  <conditionalFormatting sqref="G553">
    <cfRule type="expression" priority="114" dxfId="16" stopIfTrue="1">
      <formula>AND($G$5=TRUE,G553&lt;&gt;SUM(O574:P590))</formula>
    </cfRule>
  </conditionalFormatting>
  <conditionalFormatting sqref="G556:G557">
    <cfRule type="expression" priority="115" dxfId="16" stopIfTrue="1">
      <formula>AND($G$5=TRUE,G556&lt;&gt;SUM(O575:P594))</formula>
    </cfRule>
  </conditionalFormatting>
  <conditionalFormatting sqref="R25">
    <cfRule type="expression" priority="116" dxfId="16" stopIfTrue="1">
      <formula>AND($G$5=TRUE,R25&lt;&gt;AD25+AG25)</formula>
    </cfRule>
  </conditionalFormatting>
  <conditionalFormatting sqref="G316">
    <cfRule type="expression" priority="117" dxfId="16" stopIfTrue="1">
      <formula>AND($G$5=TRUE,G316&lt;&gt;SUM(H289:H307))</formula>
    </cfRule>
  </conditionalFormatting>
  <conditionalFormatting sqref="F468:F470">
    <cfRule type="expression" priority="118" dxfId="16" stopIfTrue="1">
      <formula>AND($G$5=TRUE,F468&lt;&gt;SUM(K483:L526))</formula>
    </cfRule>
  </conditionalFormatting>
  <conditionalFormatting sqref="G526">
    <cfRule type="expression" priority="119" dxfId="16" stopIfTrue="1">
      <formula>AND($G$5=TRUE,G526&lt;&gt;SUM(O555:P576))</formula>
    </cfRule>
  </conditionalFormatting>
  <conditionalFormatting sqref="F533:F536">
    <cfRule type="expression" priority="120" dxfId="16" stopIfTrue="1">
      <formula>AND($G$5=TRUE,F533&lt;&gt;SUM(K556:L581))</formula>
    </cfRule>
  </conditionalFormatting>
  <conditionalFormatting sqref="G478:G483">
    <cfRule type="expression" priority="121" dxfId="16" stopIfTrue="1">
      <formula>AND($G$5=TRUE,G478&lt;&gt;SUM(O509:P536))</formula>
    </cfRule>
  </conditionalFormatting>
  <conditionalFormatting sqref="F478:F483">
    <cfRule type="expression" priority="122" dxfId="16" stopIfTrue="1">
      <formula>AND($G$5=TRUE,F478&lt;&gt;SUM(K508:L535))</formula>
    </cfRule>
  </conditionalFormatting>
  <conditionalFormatting sqref="F467">
    <cfRule type="expression" priority="123" dxfId="16" stopIfTrue="1">
      <formula>AND($G$5=TRUE,F467&lt;&gt;SUM(K482:L541))</formula>
    </cfRule>
  </conditionalFormatting>
  <conditionalFormatting sqref="E478:E483">
    <cfRule type="expression" priority="124" dxfId="16" stopIfTrue="1">
      <formula>AND($G$5=TRUE,E478&lt;&gt;SUM(F508:G535))</formula>
    </cfRule>
  </conditionalFormatting>
  <conditionalFormatting sqref="G472">
    <cfRule type="expression" priority="125" dxfId="16" stopIfTrue="1">
      <formula>AND($G$5=TRUE,G472&lt;&gt;SUM(O488:P541))</formula>
    </cfRule>
  </conditionalFormatting>
  <conditionalFormatting sqref="G467">
    <cfRule type="expression" priority="126" dxfId="16" stopIfTrue="1">
      <formula>AND($G$5=TRUE,G467&lt;&gt;SUM(O483:P541))</formula>
    </cfRule>
  </conditionalFormatting>
  <conditionalFormatting sqref="G468">
    <cfRule type="expression" priority="127" dxfId="16" stopIfTrue="1">
      <formula>AND($G$5=TRUE,G468&lt;&gt;SUM(O484:P541))</formula>
    </cfRule>
  </conditionalFormatting>
  <conditionalFormatting sqref="G469">
    <cfRule type="expression" priority="128" dxfId="16" stopIfTrue="1">
      <formula>AND($G$5=TRUE,G469&lt;&gt;SUM(O485:P541))</formula>
    </cfRule>
  </conditionalFormatting>
  <conditionalFormatting sqref="G470">
    <cfRule type="expression" priority="129" dxfId="16" stopIfTrue="1">
      <formula>AND($G$5=TRUE,G470&lt;&gt;SUM(O486:P541))</formula>
    </cfRule>
  </conditionalFormatting>
  <conditionalFormatting sqref="G471">
    <cfRule type="expression" priority="130" dxfId="16" stopIfTrue="1">
      <formula>AND($G$5=TRUE,G471&lt;&gt;SUM(O487:P541))</formula>
    </cfRule>
  </conditionalFormatting>
  <conditionalFormatting sqref="F472">
    <cfRule type="expression" priority="131" dxfId="16" stopIfTrue="1">
      <formula>AND($G$5=TRUE,F472&lt;&gt;SUM(K487:L541))</formula>
    </cfRule>
  </conditionalFormatting>
  <conditionalFormatting sqref="F471">
    <cfRule type="expression" priority="132" dxfId="16" stopIfTrue="1">
      <formula>AND($G$5=TRUE,F471&lt;&gt;SUM(K486:L541))</formula>
    </cfRule>
  </conditionalFormatting>
  <conditionalFormatting sqref="E474">
    <cfRule type="expression" priority="133" dxfId="16" stopIfTrue="1">
      <formula>AND($G$5=TRUE,E474&lt;&gt;SUM(F507:G541))</formula>
    </cfRule>
  </conditionalFormatting>
  <conditionalFormatting sqref="E495:G495">
    <cfRule type="expression" priority="134" dxfId="16" stopIfTrue="1">
      <formula>AND($G$5=TRUE,E495&lt;&gt;SUM(F533:G545))</formula>
    </cfRule>
  </conditionalFormatting>
  <conditionalFormatting sqref="E491:G494">
    <cfRule type="expression" priority="135" dxfId="16" stopIfTrue="1">
      <formula>AND($G$5=TRUE,E491&lt;&gt;SUM(F521:G541))</formula>
    </cfRule>
  </conditionalFormatting>
  <conditionalFormatting sqref="K419">
    <cfRule type="expression" priority="136" dxfId="16" stopIfTrue="1">
      <formula>AND($G$5=TRUE,K419&lt;&gt;SUM(K416:L421))</formula>
    </cfRule>
  </conditionalFormatting>
  <conditionalFormatting sqref="R293">
    <cfRule type="expression" priority="137" dxfId="16" stopIfTrue="1">
      <formula>AND($G$5=TRUE,R293&lt;&gt;SUM(R288:R291))</formula>
    </cfRule>
  </conditionalFormatting>
  <conditionalFormatting sqref="F285:G285">
    <cfRule type="expression" priority="138" dxfId="16" stopIfTrue="1">
      <formula>AND($G$5=TRUE,F285&lt;&gt;SUM(E279:G283))</formula>
    </cfRule>
  </conditionalFormatting>
  <conditionalFormatting sqref="S409:S410">
    <cfRule type="expression" priority="139" dxfId="16" stopIfTrue="1">
      <formula>AND($G$5=TRUE,S409&lt;&gt;SUM(AC390:AD392))</formula>
    </cfRule>
  </conditionalFormatting>
  <conditionalFormatting sqref="E467">
    <cfRule type="expression" priority="140" dxfId="16" stopIfTrue="1">
      <formula>AND($G$5=TRUE,E467&lt;&gt;SUM(F482:G532))</formula>
    </cfRule>
  </conditionalFormatting>
  <conditionalFormatting sqref="E472">
    <cfRule type="expression" priority="141" dxfId="16" stopIfTrue="1">
      <formula>AND($G$5=TRUE,E472&lt;&gt;SUM(F487:G541))</formula>
    </cfRule>
  </conditionalFormatting>
  <conditionalFormatting sqref="E468">
    <cfRule type="expression" priority="142" dxfId="16" stopIfTrue="1">
      <formula>AND($G$5=TRUE,E468&lt;&gt;SUM(F483:G541))</formula>
    </cfRule>
  </conditionalFormatting>
  <conditionalFormatting sqref="E469">
    <cfRule type="expression" priority="143" dxfId="16" stopIfTrue="1">
      <formula>AND($G$5=TRUE,E469&lt;&gt;SUM(F484:G541))</formula>
    </cfRule>
  </conditionalFormatting>
  <conditionalFormatting sqref="E470">
    <cfRule type="expression" priority="144" dxfId="16" stopIfTrue="1">
      <formula>AND($G$5=TRUE,E470&lt;&gt;SUM(F485:G541))</formula>
    </cfRule>
  </conditionalFormatting>
  <conditionalFormatting sqref="E471">
    <cfRule type="expression" priority="145" dxfId="16" stopIfTrue="1">
      <formula>AND($G$5=TRUE,E471&lt;&gt;SUM(F486:G541))</formula>
    </cfRule>
  </conditionalFormatting>
  <conditionalFormatting sqref="E526:E527">
    <cfRule type="expression" priority="146" dxfId="16" stopIfTrue="1">
      <formula>AND($G$5=TRUE,E526&lt;&gt;SUM(F555:G576))</formula>
    </cfRule>
  </conditionalFormatting>
  <conditionalFormatting sqref="E576">
    <cfRule type="expression" priority="147" dxfId="16" stopIfTrue="1">
      <formula>AND($G$5=TRUE,E576&lt;&gt;SUM(F583:G595))</formula>
    </cfRule>
  </conditionalFormatting>
  <conditionalFormatting sqref="E574:E575">
    <cfRule type="expression" priority="148" dxfId="16" stopIfTrue="1">
      <formula>AND($G$5=TRUE,E574&lt;&gt;SUM(F583:G594))</formula>
    </cfRule>
  </conditionalFormatting>
  <conditionalFormatting sqref="E563:E566">
    <cfRule type="expression" priority="149" dxfId="16" stopIfTrue="1">
      <formula>AND($G$5=TRUE,E563&lt;&gt;SUM(F584:G597))</formula>
    </cfRule>
  </conditionalFormatting>
  <conditionalFormatting sqref="E557">
    <cfRule type="expression" priority="150" dxfId="16" stopIfTrue="1">
      <formula>AND($G$5=TRUE,E557&lt;&gt;SUM(F576:G594))</formula>
    </cfRule>
  </conditionalFormatting>
  <conditionalFormatting sqref="E616 E618:E619">
    <cfRule type="expression" priority="151" dxfId="16" stopIfTrue="1">
      <formula>AND($G$5=TRUE,E616&lt;&gt;SUM(F617:G625))</formula>
    </cfRule>
  </conditionalFormatting>
  <conditionalFormatting sqref="E608 E669 E651:E652 E656:E659">
    <cfRule type="expression" priority="152" dxfId="16" stopIfTrue="1">
      <formula>AND($G$5=TRUE,E608&lt;&gt;SUM(F609:G632))</formula>
    </cfRule>
  </conditionalFormatting>
  <conditionalFormatting sqref="E583:E584">
    <cfRule type="expression" priority="153" dxfId="16" stopIfTrue="1">
      <formula>AND($G$5=TRUE,E583&lt;&gt;SUM(F595:G602))</formula>
    </cfRule>
  </conditionalFormatting>
  <conditionalFormatting sqref="F583:F584">
    <cfRule type="expression" priority="154" dxfId="16" stopIfTrue="1">
      <formula>AND($G$5=TRUE,F583&lt;&gt;SUM(K595:L602))</formula>
    </cfRule>
  </conditionalFormatting>
  <conditionalFormatting sqref="F543:F547">
    <cfRule type="expression" priority="155" dxfId="16" stopIfTrue="1">
      <formula>AND($G$5=TRUE,F543&lt;&gt;SUM(K573:L598))</formula>
    </cfRule>
  </conditionalFormatting>
  <conditionalFormatting sqref="G543:G547">
    <cfRule type="expression" priority="156" dxfId="16" stopIfTrue="1">
      <formula>AND($G$5=TRUE,G543&lt;&gt;SUM(O573:P599))</formula>
    </cfRule>
  </conditionalFormatting>
  <conditionalFormatting sqref="G563:G565">
    <cfRule type="expression" priority="157" dxfId="16" stopIfTrue="1">
      <formula>AND($G$5=TRUE,G563&lt;&gt;SUM(O582:P598))</formula>
    </cfRule>
  </conditionalFormatting>
  <conditionalFormatting sqref="G572:G574">
    <cfRule type="expression" priority="158" dxfId="16" stopIfTrue="1">
      <formula>AND($G$5=TRUE,G572&lt;&gt;SUM(O582:P604))</formula>
    </cfRule>
  </conditionalFormatting>
  <conditionalFormatting sqref="G575:G576">
    <cfRule type="expression" priority="159" dxfId="16" stopIfTrue="1">
      <formula>AND($G$5=TRUE,G575&lt;&gt;SUM(O582:P607))</formula>
    </cfRule>
  </conditionalFormatting>
  <conditionalFormatting sqref="G602 G612">
    <cfRule type="expression" priority="160" dxfId="16" stopIfTrue="1">
      <formula>AND($G$5=TRUE,G602&lt;&gt;SUM(O614:P623))</formula>
    </cfRule>
  </conditionalFormatting>
  <conditionalFormatting sqref="E611">
    <cfRule type="expression" priority="161" dxfId="16" stopIfTrue="1">
      <formula>AND($G$5=TRUE,E611&lt;&gt;SUM(F612:G622))</formula>
    </cfRule>
  </conditionalFormatting>
  <conditionalFormatting sqref="K612">
    <cfRule type="expression" priority="162" dxfId="16" stopIfTrue="1">
      <formula>AND($G$5=TRUE,K612&lt;&gt;SUM(P614:Q623))</formula>
    </cfRule>
  </conditionalFormatting>
  <conditionalFormatting sqref="K599:L599">
    <cfRule type="expression" priority="163" dxfId="16" stopIfTrue="1">
      <formula>AND($G$5=TRUE,K599&lt;&gt;SUM(P602:Q620))</formula>
    </cfRule>
  </conditionalFormatting>
  <conditionalFormatting sqref="E614:E615">
    <cfRule type="expression" priority="164" dxfId="16" stopIfTrue="1">
      <formula>AND($G$5=TRUE,E614&lt;&gt;SUM(F616:G624))</formula>
    </cfRule>
  </conditionalFormatting>
  <conditionalFormatting sqref="G628 G635:G637">
    <cfRule type="expression" priority="165" dxfId="16" stopIfTrue="1">
      <formula>AND($G$5=TRUE,G628&lt;&gt;SUM(O642:P662))</formula>
    </cfRule>
  </conditionalFormatting>
  <conditionalFormatting sqref="G613:G615">
    <cfRule type="expression" priority="166" dxfId="16" stopIfTrue="1">
      <formula>AND($G$5=TRUE,G613&lt;&gt;SUM(O625:P635))</formula>
    </cfRule>
  </conditionalFormatting>
  <conditionalFormatting sqref="G616:G618">
    <cfRule type="expression" priority="167" dxfId="16" stopIfTrue="1">
      <formula>AND($G$5=TRUE,G616&lt;&gt;SUM(O627:P637))</formula>
    </cfRule>
  </conditionalFormatting>
  <conditionalFormatting sqref="E628:E632 E649:E650">
    <cfRule type="expression" priority="168" dxfId="16" stopIfTrue="1">
      <formula>AND($G$5=TRUE,E628&lt;&gt;SUM(F629:G649))</formula>
    </cfRule>
  </conditionalFormatting>
  <conditionalFormatting sqref="E633:E634">
    <cfRule type="expression" priority="169" dxfId="16" stopIfTrue="1">
      <formula>AND($G$5=TRUE,E633&lt;&gt;SUM(F635:G654))</formula>
    </cfRule>
  </conditionalFormatting>
  <conditionalFormatting sqref="K628:K631 F647:F648 K649">
    <cfRule type="expression" priority="170" dxfId="16" stopIfTrue="1">
      <formula>AND($G$5=TRUE,F628&lt;&gt;SUM(K630:L650))</formula>
    </cfRule>
  </conditionalFormatting>
  <conditionalFormatting sqref="K632:K634 K600:L601">
    <cfRule type="expression" priority="171" dxfId="16" stopIfTrue="1">
      <formula>AND($G$5=TRUE,K600&lt;&gt;SUM(P603:Q622))</formula>
    </cfRule>
  </conditionalFormatting>
  <conditionalFormatting sqref="F628:F632 F649:F650">
    <cfRule type="expression" priority="172" dxfId="16" stopIfTrue="1">
      <formula>AND($G$5=TRUE,F628&lt;&gt;SUM(K629:L649))</formula>
    </cfRule>
  </conditionalFormatting>
  <conditionalFormatting sqref="G662:G663">
    <cfRule type="expression" priority="173" dxfId="16" stopIfTrue="1">
      <formula>AND($G$5=TRUE,G662&lt;&gt;SUM(O679:P696))</formula>
    </cfRule>
  </conditionalFormatting>
  <conditionalFormatting sqref="E642:E646">
    <cfRule type="expression" priority="174" dxfId="16" stopIfTrue="1">
      <formula>AND($G$5=TRUE,E642&lt;&gt;SUM(F643:G664))</formula>
    </cfRule>
  </conditionalFormatting>
  <conditionalFormatting sqref="E647:E648">
    <cfRule type="expression" priority="175" dxfId="16" stopIfTrue="1">
      <formula>AND($G$5=TRUE,E647&lt;&gt;SUM(F649:G669))</formula>
    </cfRule>
  </conditionalFormatting>
  <conditionalFormatting sqref="K642:K645 F662:F663">
    <cfRule type="expression" priority="176" dxfId="16" stopIfTrue="1">
      <formula>AND($G$5=TRUE,F642&lt;&gt;SUM(K644:L665))</formula>
    </cfRule>
  </conditionalFormatting>
  <conditionalFormatting sqref="K646:K648 K662:K663">
    <cfRule type="expression" priority="177" dxfId="16" stopIfTrue="1">
      <formula>AND($G$5=TRUE,K646&lt;&gt;SUM(P649:Q669))</formula>
    </cfRule>
  </conditionalFormatting>
  <conditionalFormatting sqref="F642:F646">
    <cfRule type="expression" priority="178" dxfId="16" stopIfTrue="1">
      <formula>AND($G$5=TRUE,F642&lt;&gt;SUM(K643:L664))</formula>
    </cfRule>
  </conditionalFormatting>
  <conditionalFormatting sqref="G629:G634">
    <cfRule type="expression" priority="179" dxfId="16" stopIfTrue="1">
      <formula>AND($G$5=TRUE,G629&lt;&gt;SUM(O643:P664))</formula>
    </cfRule>
  </conditionalFormatting>
  <conditionalFormatting sqref="G603:G605">
    <cfRule type="expression" priority="180" dxfId="16" stopIfTrue="1">
      <formula>AND($G$5=TRUE,G603&lt;&gt;SUM(O616:P624))</formula>
    </cfRule>
  </conditionalFormatting>
  <conditionalFormatting sqref="E604">
    <cfRule type="expression" priority="181" dxfId="16" stopIfTrue="1">
      <formula>AND($G$5=TRUE,E604&lt;&gt;SUM(F605:G622))</formula>
    </cfRule>
  </conditionalFormatting>
  <conditionalFormatting sqref="G600:G601">
    <cfRule type="expression" priority="182" dxfId="16" stopIfTrue="1">
      <formula>AND($G$5=TRUE,G600&lt;&gt;SUM(O613:P623))</formula>
    </cfRule>
  </conditionalFormatting>
  <conditionalFormatting sqref="K616:K618">
    <cfRule type="expression" priority="183" dxfId="16" stopIfTrue="1">
      <formula>AND($G$5=TRUE,K616&lt;&gt;SUM(P618:Q626))</formula>
    </cfRule>
  </conditionalFormatting>
  <conditionalFormatting sqref="K619">
    <cfRule type="expression" priority="184" dxfId="16" stopIfTrue="1">
      <formula>AND($G$5=TRUE,K619&lt;&gt;SUM(P622:Q629))</formula>
    </cfRule>
  </conditionalFormatting>
  <conditionalFormatting sqref="K613:K615">
    <cfRule type="expression" priority="185" dxfId="16" stopIfTrue="1">
      <formula>AND($G$5=TRUE,K613&lt;&gt;SUM(P616:Q624))</formula>
    </cfRule>
  </conditionalFormatting>
  <conditionalFormatting sqref="L177:L178 M178 L179:M182">
    <cfRule type="expression" priority="186" dxfId="16" stopIfTrue="1">
      <formula>AND($G$5=TRUE,L177&lt;&gt;E177)</formula>
    </cfRule>
  </conditionalFormatting>
  <conditionalFormatting sqref="I184">
    <cfRule type="expression" priority="187" dxfId="16" stopIfTrue="1">
      <formula>AND($W$5=TRUE,I184&lt;&gt;SUM(I174:I183))</formula>
    </cfRule>
  </conditionalFormatting>
  <conditionalFormatting sqref="R294:R295 R298:R299">
    <cfRule type="expression" priority="188" dxfId="16" stopIfTrue="1">
      <formula>AND($G$5=TRUE,R294&lt;&gt;SUM(R290:R293))</formula>
    </cfRule>
  </conditionalFormatting>
  <conditionalFormatting sqref="S166 L166">
    <cfRule type="expression" priority="189" dxfId="16" stopIfTrue="1">
      <formula>AND($G$5=TRUE,L166&lt;&gt;SUM(L158:L165))</formula>
    </cfRule>
  </conditionalFormatting>
  <conditionalFormatting sqref="P193:Q193 P189:Q190">
    <cfRule type="expression" priority="190" dxfId="16" stopIfTrue="1">
      <formula>AND($G$5=TRUE,P189&lt;&gt;(ROUND((1+(J$189/100))*(O17+Q17)/(2*365),0)+G189))</formula>
    </cfRule>
  </conditionalFormatting>
  <conditionalFormatting sqref="P194:Q194">
    <cfRule type="expression" priority="191" dxfId="16" stopIfTrue="1">
      <formula>AND($G$5=TRUE,P194&lt;&gt;(ROUND((1+(J$189/100))*(O20+Q20)/(2*365),0)+G194))</formula>
    </cfRule>
  </conditionalFormatting>
  <conditionalFormatting sqref="P195:Q195">
    <cfRule type="expression" priority="192" dxfId="16" stopIfTrue="1">
      <formula>AND($G$5=TRUE,P195&lt;&gt;(ROUND((1+(J$189/100))*(O26+Q26)/(2*365),0)+G195))</formula>
    </cfRule>
  </conditionalFormatting>
  <conditionalFormatting sqref="P198:Q198">
    <cfRule type="expression" priority="193" dxfId="16" stopIfTrue="1">
      <formula>AND($G$5=TRUE,P198&lt;&gt;(ROUND((1+(J$189/100))*(O28+Q28)/(2*365),0)+G198))</formula>
    </cfRule>
  </conditionalFormatting>
  <conditionalFormatting sqref="R193 R189:R190 O189:O205 R204:R205">
    <cfRule type="expression" priority="194" dxfId="16" stopIfTrue="1">
      <formula>AND($G$5=TRUE,O189&lt;&gt;(ROUND((1+(J$189/100))*(O17+Q17)/(2*365),0)+G189))</formula>
    </cfRule>
  </conditionalFormatting>
  <conditionalFormatting sqref="R194">
    <cfRule type="expression" priority="195" dxfId="16" stopIfTrue="1">
      <formula>AND($G$5=TRUE,R194&lt;&gt;(ROUND((1+(M$189/100))*(R20+T20)/(2*365),0)+J194))</formula>
    </cfRule>
  </conditionalFormatting>
  <conditionalFormatting sqref="R195 O206">
    <cfRule type="expression" priority="196" dxfId="16" stopIfTrue="1">
      <formula>AND($G$5=TRUE,O195&lt;&gt;(ROUND((1+(J$189/100))*(O26+Q26)/(2*365),0)+G195))</formula>
    </cfRule>
  </conditionalFormatting>
  <conditionalFormatting sqref="R198">
    <cfRule type="expression" priority="197" dxfId="16" stopIfTrue="1">
      <formula>AND($G$5=TRUE,R198&lt;&gt;(ROUND((1+(M$189/100))*(R28+T28)/(2*365),0)+J198))</formula>
    </cfRule>
  </conditionalFormatting>
  <conditionalFormatting sqref="E415">
    <cfRule type="expression" priority="198" dxfId="16" stopIfTrue="1">
      <formula>AND($G$5=TRUE,E415&lt;&gt;SUM(BC400:BC405))</formula>
    </cfRule>
  </conditionalFormatting>
  <conditionalFormatting sqref="G415">
    <cfRule type="expression" priority="199" dxfId="16" stopIfTrue="1">
      <formula>AND($G$5=TRUE,G415&lt;&gt;SUM(BE400:BF405))</formula>
    </cfRule>
  </conditionalFormatting>
  <conditionalFormatting sqref="S414:S415">
    <cfRule type="expression" priority="200" dxfId="16" stopIfTrue="1">
      <formula>AND($G$5=TRUE,S414&lt;&gt;SUM(AC392:AD394))</formula>
    </cfRule>
  </conditionalFormatting>
  <conditionalFormatting sqref="S411:S412">
    <cfRule type="expression" priority="201" dxfId="16" stopIfTrue="1">
      <formula>AND($G$5=TRUE,S411&lt;&gt;SUM(AC391:AD393))</formula>
    </cfRule>
  </conditionalFormatting>
  <conditionalFormatting sqref="S413">
    <cfRule type="expression" priority="202" dxfId="16" stopIfTrue="1">
      <formula>AND($G$5=TRUE,S413&lt;&gt;SUM(AC392:AD394))</formula>
    </cfRule>
  </conditionalFormatting>
  <conditionalFormatting sqref="G385">
    <cfRule type="expression" priority="203" dxfId="16" stopIfTrue="1">
      <formula>AND($G$5=TRUE,G385&lt;&gt;SUM(G378:H384))</formula>
    </cfRule>
  </conditionalFormatting>
  <conditionalFormatting sqref="F415">
    <cfRule type="expression" priority="204" dxfId="16" stopIfTrue="1">
      <formula>AND($G$5=TRUE,F415&lt;&gt;CD411)</formula>
    </cfRule>
  </conditionalFormatting>
  <conditionalFormatting sqref="Q346">
    <cfRule type="expression" priority="205" dxfId="16" stopIfTrue="1">
      <formula>AND($G$5=TRUE,Q346&lt;&gt;H385)</formula>
    </cfRule>
  </conditionalFormatting>
  <conditionalFormatting sqref="S346">
    <cfRule type="expression" priority="206" dxfId="16" stopIfTrue="1">
      <formula>AND($G$5=TRUE,S346&lt;&gt;G385)</formula>
    </cfRule>
  </conditionalFormatting>
  <conditionalFormatting sqref="E374:E380">
    <cfRule type="expression" priority="207" dxfId="16" stopIfTrue="1">
      <formula>AND($G$5=TRUE,E374&lt;&gt;Q98)</formula>
    </cfRule>
  </conditionalFormatting>
  <conditionalFormatting sqref="E381:E384">
    <cfRule type="expression" priority="208" dxfId="16" stopIfTrue="1">
      <formula>AND($G$5=TRUE,E381&lt;&gt;Q104)</formula>
    </cfRule>
  </conditionalFormatting>
  <conditionalFormatting sqref="E404">
    <cfRule type="expression" priority="209" dxfId="16" stopIfTrue="1">
      <formula>AND($G$5=TRUE,E404&lt;&gt;SUM(E388:E398))</formula>
    </cfRule>
  </conditionalFormatting>
  <conditionalFormatting sqref="G404">
    <cfRule type="expression" priority="210" dxfId="16" stopIfTrue="1">
      <formula>AND($G$5=TRUE,G404&lt;&gt;SUM(G392:H398))</formula>
    </cfRule>
  </conditionalFormatting>
  <conditionalFormatting sqref="E388:E394">
    <cfRule type="expression" priority="211" dxfId="16" stopIfTrue="1">
      <formula>AND($G$5=TRUE,E388&lt;&gt;Q111+Q124+Q141)</formula>
    </cfRule>
  </conditionalFormatting>
  <conditionalFormatting sqref="E395:E403">
    <cfRule type="expression" priority="212" dxfId="16" stopIfTrue="1">
      <formula>AND($G$5=TRUE,E395&lt;&gt;Q117+Q130+Q147)</formula>
    </cfRule>
  </conditionalFormatting>
  <conditionalFormatting sqref="E413:E414">
    <cfRule type="expression" priority="213" dxfId="16" stopIfTrue="1">
      <formula>AND($G$5=TRUE,E413&lt;&gt;Q159)</formula>
    </cfRule>
  </conditionalFormatting>
  <conditionalFormatting sqref="E407:E412">
    <cfRule type="expression" priority="214" dxfId="16" stopIfTrue="1">
      <formula>AND($G$5=TRUE,E407&lt;&gt;Q154)</formula>
    </cfRule>
  </conditionalFormatting>
  <conditionalFormatting sqref="Q348">
    <cfRule type="expression" priority="215" dxfId="16" stopIfTrue="1">
      <formula>AND($G$5=TRUE,Q348&lt;&gt;H415)</formula>
    </cfRule>
  </conditionalFormatting>
  <conditionalFormatting sqref="S348">
    <cfRule type="expression" priority="216" dxfId="16" stopIfTrue="1">
      <formula>AND($G$5=TRUE,S348&lt;&gt;G415)</formula>
    </cfRule>
  </conditionalFormatting>
  <conditionalFormatting sqref="Q347">
    <cfRule type="expression" priority="217" dxfId="16" stopIfTrue="1">
      <formula>AND($G$5=TRUE,Q347&lt;&gt;H404)</formula>
    </cfRule>
  </conditionalFormatting>
  <conditionalFormatting sqref="S347">
    <cfRule type="expression" priority="218" dxfId="16" stopIfTrue="1">
      <formula>AND($G$5=TRUE,S347&lt;&gt;G404)</formula>
    </cfRule>
  </conditionalFormatting>
  <conditionalFormatting sqref="G669">
    <cfRule type="expression" priority="219" dxfId="16" stopIfTrue="1">
      <formula>AND($G$5=TRUE,G669&lt;&gt;SUM(O687:P708))</formula>
    </cfRule>
  </conditionalFormatting>
  <conditionalFormatting sqref="F665">
    <cfRule type="expression" priority="220" dxfId="16" stopIfTrue="1">
      <formula>AND($G$5=TRUE,F665&lt;&gt;SUM(K666:L683))</formula>
    </cfRule>
  </conditionalFormatting>
  <conditionalFormatting sqref="G655">
    <cfRule type="expression" priority="221" dxfId="16" stopIfTrue="1">
      <formula>AND($G$5=TRUE,G655&lt;&gt;SUM(O667:P686))</formula>
    </cfRule>
  </conditionalFormatting>
  <conditionalFormatting sqref="G667 E667:E668 F668:H668 G657:G661">
    <cfRule type="expression" priority="222" dxfId="16" stopIfTrue="1">
      <formula>AND($G$5=TRUE,E657&lt;&gt;SUM(M675:N692))</formula>
    </cfRule>
  </conditionalFormatting>
  <conditionalFormatting sqref="G656 G649:G652">
    <cfRule type="expression" priority="223" dxfId="16" stopIfTrue="1">
      <formula>AND($G$5=TRUE,G649&lt;&gt;SUM(O664:P684))</formula>
    </cfRule>
  </conditionalFormatting>
  <conditionalFormatting sqref="F669 F656:F659 F651:F652">
    <cfRule type="expression" priority="224" dxfId="16" stopIfTrue="1">
      <formula>AND($G$5=TRUE,F651&lt;&gt;SUM(K652:L675))</formula>
    </cfRule>
  </conditionalFormatting>
  <conditionalFormatting sqref="G638">
    <cfRule type="expression" priority="225" dxfId="16" stopIfTrue="1">
      <formula>AND($G$5=TRUE,G638&lt;&gt;SUM(O652:P675))</formula>
    </cfRule>
  </conditionalFormatting>
  <conditionalFormatting sqref="E662:E663">
    <cfRule type="expression" priority="226" dxfId="16" stopIfTrue="1">
      <formula>AND($G$5=TRUE,E662&lt;&gt;SUM(F664:G685))</formula>
    </cfRule>
  </conditionalFormatting>
  <conditionalFormatting sqref="K656:K658 F660:F661">
    <cfRule type="expression" priority="227" dxfId="16" stopIfTrue="1">
      <formula>AND($G$5=TRUE,F656&lt;&gt;SUM(K658:L680))</formula>
    </cfRule>
  </conditionalFormatting>
  <conditionalFormatting sqref="K659">
    <cfRule type="expression" priority="228" dxfId="16" stopIfTrue="1">
      <formula>AND($G$5=TRUE,K659&lt;&gt;SUM(P662:Q683))</formula>
    </cfRule>
  </conditionalFormatting>
  <conditionalFormatting sqref="G642:G646">
    <cfRule type="expression" priority="229" dxfId="16" stopIfTrue="1">
      <formula>AND($G$5=TRUE,G642&lt;&gt;SUM(O656:P678))</formula>
    </cfRule>
  </conditionalFormatting>
  <conditionalFormatting sqref="E660:E661">
    <cfRule type="expression" priority="230" dxfId="16" stopIfTrue="1">
      <formula>AND($G$5=TRUE,E660&lt;&gt;SUM(F662:G684))</formula>
    </cfRule>
  </conditionalFormatting>
  <conditionalFormatting sqref="K650:K652">
    <cfRule type="expression" priority="231" dxfId="16" stopIfTrue="1">
      <formula>AND($G$5=TRUE,K650&lt;&gt;SUM(P652:Q675))</formula>
    </cfRule>
  </conditionalFormatting>
  <conditionalFormatting sqref="K660:K661">
    <cfRule type="expression" priority="232" dxfId="16" stopIfTrue="1">
      <formula>AND($G$5=TRUE,K660&lt;&gt;SUM(P664:Q684))</formula>
    </cfRule>
  </conditionalFormatting>
  <conditionalFormatting sqref="G647:G648">
    <cfRule type="expression" priority="233" dxfId="16" stopIfTrue="1">
      <formula>AND($G$5=TRUE,G647&lt;&gt;SUM(O662:P683))</formula>
    </cfRule>
  </conditionalFormatting>
  <conditionalFormatting sqref="E496:G496">
    <cfRule type="expression" priority="234" dxfId="16" stopIfTrue="1">
      <formula>AND($G$5=TRUE,E496&lt;&gt;SUM(F533:G546))</formula>
    </cfRule>
  </conditionalFormatting>
  <conditionalFormatting sqref="E543:E547">
    <cfRule type="expression" priority="235" dxfId="16" stopIfTrue="1">
      <formula>AND($G$5=TRUE,E543&lt;&gt;SUM(F559:G603))</formula>
    </cfRule>
  </conditionalFormatting>
  <conditionalFormatting sqref="G484">
    <cfRule type="expression" priority="236" dxfId="16" stopIfTrue="1">
      <formula>AND($G$5=TRUE,G484&lt;&gt;SUM(O515:P552))</formula>
    </cfRule>
  </conditionalFormatting>
  <conditionalFormatting sqref="F484">
    <cfRule type="expression" priority="237" dxfId="16" stopIfTrue="1">
      <formula>AND($G$5=TRUE,F484&lt;&gt;SUM(K514:L551))</formula>
    </cfRule>
  </conditionalFormatting>
  <conditionalFormatting sqref="E484">
    <cfRule type="expression" priority="238" dxfId="16" stopIfTrue="1">
      <formula>AND($G$5=TRUE,E484&lt;&gt;SUM(F514:G551))</formula>
    </cfRule>
  </conditionalFormatting>
  <conditionalFormatting sqref="G507:G509">
    <cfRule type="expression" priority="239" dxfId="16" stopIfTrue="1">
      <formula>AND($G$5=TRUE,G507&lt;&gt;SUM(O542:P557))</formula>
    </cfRule>
  </conditionalFormatting>
  <conditionalFormatting sqref="G514:G519">
    <cfRule type="expression" priority="240" dxfId="16" stopIfTrue="1">
      <formula>AND($G$5=TRUE,G514&lt;&gt;SUM(O535:P566))</formula>
    </cfRule>
  </conditionalFormatting>
  <conditionalFormatting sqref="F514:F519">
    <cfRule type="expression" priority="241" dxfId="16" stopIfTrue="1">
      <formula>AND($G$5=TRUE,F514&lt;&gt;SUM(K534:L566))</formula>
    </cfRule>
  </conditionalFormatting>
  <conditionalFormatting sqref="F507:F509">
    <cfRule type="expression" priority="242" dxfId="16" stopIfTrue="1">
      <formula>AND($G$5=TRUE,F507&lt;&gt;SUM(K526:L557))</formula>
    </cfRule>
  </conditionalFormatting>
  <conditionalFormatting sqref="E497:G498">
    <cfRule type="expression" priority="243" dxfId="16" stopIfTrue="1">
      <formula>AND($G$5=TRUE,E497&lt;&gt;SUM(F534:G548))</formula>
    </cfRule>
  </conditionalFormatting>
  <conditionalFormatting sqref="E507:E509">
    <cfRule type="expression" priority="244" dxfId="16" stopIfTrue="1">
      <formula>AND($G$5=TRUE,E507&lt;&gt;SUM(F542:G557))</formula>
    </cfRule>
  </conditionalFormatting>
  <conditionalFormatting sqref="E514:E519">
    <cfRule type="expression" priority="245" dxfId="16" stopIfTrue="1">
      <formula>AND($G$5=TRUE,E514&lt;&gt;SUM(F534:G566))</formula>
    </cfRule>
  </conditionalFormatting>
  <conditionalFormatting sqref="K200:K202">
    <cfRule type="expression" priority="246" dxfId="16" stopIfTrue="1">
      <formula>AND($G$5=TRUE,K200&lt;&gt;AJ200+AM200)</formula>
    </cfRule>
  </conditionalFormatting>
  <conditionalFormatting sqref="G215:H215 M215">
    <cfRule type="expression" priority="247" dxfId="16" stopIfTrue="1">
      <formula>AND($G$5=TRUE,G215&lt;&gt;SUM(G190:H202))</formula>
    </cfRule>
  </conditionalFormatting>
  <conditionalFormatting sqref="E215:F215">
    <cfRule type="expression" priority="248" dxfId="16" stopIfTrue="1">
      <formula>AND($G$5=TRUE,E215&lt;&gt;SUM(E190:E202))</formula>
    </cfRule>
  </conditionalFormatting>
  <conditionalFormatting sqref="L203:M203 G203:H203 L210:M210">
    <cfRule type="expression" priority="249" dxfId="16" stopIfTrue="1">
      <formula>AND($G$5=TRUE,G203&lt;&gt;SUM(G189:H202))</formula>
    </cfRule>
  </conditionalFormatting>
  <conditionalFormatting sqref="G210:H210 G204:H205 L204:M205">
    <cfRule type="expression" priority="250" dxfId="16" stopIfTrue="1">
      <formula>AND($G$5=TRUE,G204&lt;&gt;SUM(G190:H202))</formula>
    </cfRule>
  </conditionalFormatting>
  <conditionalFormatting sqref="E203:F203">
    <cfRule type="expression" priority="251" dxfId="16" stopIfTrue="1">
      <formula>AND($G$5=TRUE,E203&lt;&gt;SUM(E189:E202))</formula>
    </cfRule>
  </conditionalFormatting>
  <conditionalFormatting sqref="E204:F205 E210:F210">
    <cfRule type="expression" priority="252" dxfId="16" stopIfTrue="1">
      <formula>AND($G$5=TRUE,E204&lt;&gt;SUM(E190:E202))</formula>
    </cfRule>
  </conditionalFormatting>
  <conditionalFormatting sqref="G211:H211 M211">
    <cfRule type="expression" priority="253" dxfId="16" stopIfTrue="1">
      <formula>AND($G$5=TRUE,G211&lt;&gt;SUM(G191:H203))</formula>
    </cfRule>
  </conditionalFormatting>
  <conditionalFormatting sqref="M212">
    <cfRule type="expression" priority="254" dxfId="16" stopIfTrue="1">
      <formula>AND($G$5=TRUE,M212&lt;&gt;SUM(M191:N203))</formula>
    </cfRule>
  </conditionalFormatting>
  <conditionalFormatting sqref="E211:F211">
    <cfRule type="expression" priority="255" dxfId="16" stopIfTrue="1">
      <formula>AND($G$5=TRUE,E211&lt;&gt;SUM(E191:E203))</formula>
    </cfRule>
  </conditionalFormatting>
  <conditionalFormatting sqref="M213:M214">
    <cfRule type="expression" priority="256" dxfId="16" stopIfTrue="1">
      <formula>AND($G$5=TRUE,M213&lt;&gt;SUM(M191:N203))</formula>
    </cfRule>
  </conditionalFormatting>
  <conditionalFormatting sqref="L211:L215 O213:O214">
    <cfRule type="expression" priority="257" dxfId="16" stopIfTrue="1">
      <formula>AND($G$5=TRUE,L211&lt;&gt;(ROUND((1+(G$189/100))*(L31+N31)/(2*365),0)+D211))</formula>
    </cfRule>
  </conditionalFormatting>
  <conditionalFormatting sqref="P196:Q196">
    <cfRule type="expression" priority="258" dxfId="16" stopIfTrue="1">
      <formula>AND($G$5=TRUE,P196&lt;&gt;(ROUND((1+(J$189/100))*(O25+Q25)/(2*365),0)+G200))</formula>
    </cfRule>
  </conditionalFormatting>
  <conditionalFormatting sqref="R196">
    <cfRule type="expression" priority="259" dxfId="16" stopIfTrue="1">
      <formula>AND($G$5=TRUE,R196&lt;&gt;(ROUND((1+(M$189/100))*(R25+T25)/(2*365),0)+J200))</formula>
    </cfRule>
  </conditionalFormatting>
  <conditionalFormatting sqref="R203">
    <cfRule type="expression" priority="260" dxfId="16" stopIfTrue="1">
      <formula>AND($G$5=TRUE,R203&lt;&gt;(ROUND((1+(M$189/100))*(R30+T30)/(2*365),0)+J202))</formula>
    </cfRule>
  </conditionalFormatting>
  <conditionalFormatting sqref="O207:O208 R209">
    <cfRule type="expression" priority="261" dxfId="16" stopIfTrue="1">
      <formula>AND($G$5=TRUE,O207&lt;&gt;(ROUND((1+(J$189/100))*(O34+Q34)/(2*365),0)+G207))</formula>
    </cfRule>
  </conditionalFormatting>
  <conditionalFormatting sqref="O209 R210">
    <cfRule type="expression" priority="262" dxfId="16" stopIfTrue="1">
      <formula>AND($G$5=TRUE,O209&lt;&gt;(ROUND((1+(J$189/100))*(O32+Q32)/(2*365),0)+G209))</formula>
    </cfRule>
  </conditionalFormatting>
  <conditionalFormatting sqref="O210:O211">
    <cfRule type="expression" priority="263" dxfId="16" stopIfTrue="1">
      <formula>AND($G$5=TRUE,O210&lt;&gt;(ROUND((1+(J$189/100))*(O32+Q32)/(2*365),0)+G210))</formula>
    </cfRule>
  </conditionalFormatting>
  <conditionalFormatting sqref="O212">
    <cfRule type="expression" priority="264" dxfId="16" stopIfTrue="1">
      <formula>AND($G$5=TRUE,O212&lt;&gt;(ROUND((1+(J$189/100))*(O33+Q33)/(2*365),0)+G212))</formula>
    </cfRule>
  </conditionalFormatting>
  <conditionalFormatting sqref="R216">
    <cfRule type="expression" priority="265" dxfId="16" stopIfTrue="1">
      <formula>AND($G$5=TRUE,R216&lt;&gt;(ROUND((1+(M$189/100))*(R35+T35)/(2*365),0)+J219))</formula>
    </cfRule>
  </conditionalFormatting>
  <conditionalFormatting sqref="O215">
    <cfRule type="expression" priority="266" dxfId="16" stopIfTrue="1">
      <formula>AND($G$5=TRUE,O215&lt;&gt;(ROUND((1+(J$189/100))*(O32+Q32)/(2*365),0)+G215))</formula>
    </cfRule>
  </conditionalFormatting>
  <conditionalFormatting sqref="R215">
    <cfRule type="expression" priority="267" dxfId="16" stopIfTrue="1">
      <formula>AND($G$5=TRUE,R215&lt;&gt;(ROUND((1+(M$189/100))*(R33+T33)/(2*365),0)+J216))</formula>
    </cfRule>
  </conditionalFormatting>
  <conditionalFormatting sqref="R211">
    <cfRule type="expression" priority="268" dxfId="16" stopIfTrue="1">
      <formula>AND($G$5=TRUE,R211&lt;&gt;(ROUND((1+(M$189/100))*(R34+T34)/(2*365),0)+J216))</formula>
    </cfRule>
  </conditionalFormatting>
  <conditionalFormatting sqref="R213:R214">
    <cfRule type="expression" priority="269" dxfId="16" stopIfTrue="1">
      <formula>AND($G$5=TRUE,R213&lt;&gt;(ROUND((1+(M$189/100))*(R34+T34)/(2*365),0)+J216))</formula>
    </cfRule>
  </conditionalFormatting>
  <conditionalFormatting sqref="P199:Q199">
    <cfRule type="expression" priority="270" dxfId="16" stopIfTrue="1">
      <formula>AND($G$5=TRUE,P199&lt;&gt;(ROUND((1+(J$189/100))*(O29+Q29)/(2*365),0)+G216))</formula>
    </cfRule>
  </conditionalFormatting>
  <conditionalFormatting sqref="P206:Q206">
    <cfRule type="expression" priority="271" dxfId="16" stopIfTrue="1">
      <formula>AND($G$5=TRUE,P206&lt;&gt;(ROUND((1+(J$189/100))*(O30+Q30)/(2*365),0)+G217))</formula>
    </cfRule>
  </conditionalFormatting>
  <conditionalFormatting sqref="R199">
    <cfRule type="expression" priority="272" dxfId="16" stopIfTrue="1">
      <formula>AND($G$5=TRUE,R199&lt;&gt;(ROUND((1+(M$189/100))*(R29+T29)/(2*365),0)+J216))</formula>
    </cfRule>
  </conditionalFormatting>
  <conditionalFormatting sqref="R206">
    <cfRule type="expression" priority="273" dxfId="16" stopIfTrue="1">
      <formula>AND($G$5=TRUE,R206&lt;&gt;(ROUND((1+(M$189/100))*(R30+T30)/(2*365),0)+J217))</formula>
    </cfRule>
  </conditionalFormatting>
  <conditionalFormatting sqref="E330">
    <cfRule type="expression" priority="274" dxfId="16" stopIfTrue="1">
      <formula>AND($G$5=TRUE,E331&lt;&gt;F45)</formula>
    </cfRule>
  </conditionalFormatting>
  <conditionalFormatting sqref="G261 F271:G271 E419 G420:H420 E422 M407:R407 M383:R392 S398:T399 M400:T400 E362:F366 S405:T407 Q404 K362:K366 E367 S367:T367 S361:T362 S355:T355 B352:D352 S382:T392 F327:F333 S236:S251 S352:T353 F224 F217:F219 F206:F209 F53:F57 F169:F176 F189:F202 F165:F166 F154:F161 F66:F68 F71:F76 F124:F134 F79 F82:F86 F111:F121 O4:R4 F11:F16 F19:F25 F39:F44 F98:F108 F141:F151 F28:F36 F62:F63 F51 F212:F214">
    <cfRule type="expression" priority="275" dxfId="13" stopIfTrue="1">
      <formula>$O$3=TRUE</formula>
    </cfRule>
  </conditionalFormatting>
  <conditionalFormatting sqref="I257 V456:V609 V367:V368 I286:I287 V363:V365 V392:V394 I352 V371:V379 I264 I247 I238:I239 V246:V248 V236:V239 V256:V273 I268:I269 I327:I333 I334:J346 I226:I230 I217:I219 I224 I168:I176 I189:I202 V183:V232 V176 V171:V173 U18 H18 I98:I108 V137:V160 I165:I166 V3:V92 I90 I79 I66:I68 I62:I63 I82:I86 I71:I76 I11:I16 I28:I36 I39:I44 I19:I25 I51 H5:H6 V94:V135 I111:I121 I124:I134 I141:I151 I154:I160 H9 V162:V169 I53:I57">
    <cfRule type="expression" priority="276" dxfId="18" stopIfTrue="1">
      <formula>$F$5=TRUE</formula>
    </cfRule>
  </conditionalFormatting>
  <conditionalFormatting sqref="S321">
    <cfRule type="expression" priority="277" dxfId="13" stopIfTrue="1">
      <formula>OR($P$3=3,$P$3=4)</formula>
    </cfRule>
  </conditionalFormatting>
  <conditionalFormatting sqref="R297 R289:R292 G671 R327:R333 O327:P333 G279:G284 E237:E239 Q256:R269 E226:E227 E217:E224 E206:E209 S176:T178 E169:E182 E189:E202 S181:T182 O169:Q175 E165:E166 O165:Q166 E11:E16 E19:E25 E28:E36 E39:E44 E51 E62:E63 E66:E68 E71:E76 E79 E82:E86 E90 E98:E108 E111:E121 E124:E134 E141:E151 E154:E161 O11:Q16 O19:Q25 O28:Q36 O39:Q44 O51:Q51 O62:Q63 O66:Q68 O71:Q76 O79:Q79 O82:Q86 O90:Q90 O98:Q108 O111:Q121 O124:Q134 O141:Q151 O154:Q161 O53:Q56 E53:E56 E212:E214">
    <cfRule type="expression" priority="278" dxfId="19" stopIfTrue="1">
      <formula>$P$3=3</formula>
    </cfRule>
    <cfRule type="expression" priority="279" dxfId="19" stopIfTrue="1">
      <formula>$P$3=4</formula>
    </cfRule>
    <cfRule type="expression" priority="280" dxfId="13" stopIfTrue="1">
      <formula>$O$3=TRUE</formula>
    </cfRule>
  </conditionalFormatting>
  <conditionalFormatting sqref="V294 J3 J5:J6">
    <cfRule type="expression" priority="281" dxfId="20" stopIfTrue="1">
      <formula>$G$5=FALSE</formula>
    </cfRule>
  </conditionalFormatting>
  <conditionalFormatting sqref="G422">
    <cfRule type="expression" priority="282" dxfId="12" stopIfTrue="1">
      <formula>$K$2=TRUE</formula>
    </cfRule>
  </conditionalFormatting>
  <conditionalFormatting sqref="N329:N332 N334:N345 N327">
    <cfRule type="expression" priority="283" dxfId="11" stopIfTrue="1">
      <formula>$O$3=TRUE</formula>
    </cfRule>
  </conditionalFormatting>
  <conditionalFormatting sqref="M382:R382">
    <cfRule type="expression" priority="284" dxfId="18" stopIfTrue="1">
      <formula>$O$3=TRUE</formula>
    </cfRule>
  </conditionalFormatting>
  <conditionalFormatting sqref="R278">
    <cfRule type="expression" priority="285" dxfId="16" stopIfTrue="1">
      <formula>AND($G$5=TRUE,R278&lt;&gt;#REF!)</formula>
    </cfRule>
  </conditionalFormatting>
  <conditionalFormatting sqref="M236:R251">
    <cfRule type="expression" priority="286" dxfId="13" stopIfTrue="1">
      <formula>$O$3=TRUE</formula>
    </cfRule>
  </conditionalFormatting>
  <conditionalFormatting sqref="L231:M232">
    <cfRule type="expression" priority="287" dxfId="16" stopIfTrue="1">
      <formula>AND($G$5=TRUE,L231&lt;&gt;#REF!)</formula>
    </cfRule>
  </conditionalFormatting>
  <conditionalFormatting sqref="O176:Q176">
    <cfRule type="expression" priority="288" dxfId="19" stopIfTrue="1">
      <formula>$P$3=3</formula>
    </cfRule>
    <cfRule type="expression" priority="289" dxfId="19" stopIfTrue="1">
      <formula>$P$3=4</formula>
    </cfRule>
    <cfRule type="expression" priority="290" dxfId="18" stopIfTrue="1">
      <formula>$O$3=TRUE</formula>
    </cfRule>
  </conditionalFormatting>
  <conditionalFormatting sqref="F18 F9 F5:F6">
    <cfRule type="expression" priority="291" dxfId="16" stopIfTrue="1">
      <formula>AND($G$5=TRUE,F5&lt;&gt;#REF!-#REF!)</formula>
    </cfRule>
    <cfRule type="expression" priority="292" dxfId="17" stopIfTrue="1">
      <formula>$F$5=TRUE</formula>
    </cfRule>
  </conditionalFormatting>
  <conditionalFormatting sqref="K18:L18 K9:L9 K5:L6">
    <cfRule type="expression" priority="293" dxfId="16" stopIfTrue="1">
      <formula>AND($G$5=TRUE,K5&lt;&gt;#REF!*#REF!)</formula>
    </cfRule>
  </conditionalFormatting>
  <conditionalFormatting sqref="L91:M92 Q91:R92">
    <cfRule type="expression" priority="294" dxfId="16" stopIfTrue="1">
      <formula>AND($G$5=TRUE,L91&lt;&gt;#REF!)</formula>
    </cfRule>
  </conditionalFormatting>
  <conditionalFormatting sqref="S91 F91:G91">
    <cfRule type="expression" priority="295" dxfId="16" stopIfTrue="1">
      <formula>AND($G$5=TRUE,F91&lt;&gt;SUM(#REF!))</formula>
    </cfRule>
  </conditionalFormatting>
  <conditionalFormatting sqref="L4">
    <cfRule type="expression" priority="296" dxfId="21" stopIfTrue="1">
      <formula>$B$5=TRUE</formula>
    </cfRule>
  </conditionalFormatting>
  <dataValidations count="16">
    <dataValidation type="whole" operator="greaterThan" allowBlank="1" showInputMessage="1" showErrorMessage="1" errorTitle="Alleen positieve aantallen!" error="U kunt hier alleen een positief aantal invoeren!" sqref="E419 Q404 N334:N345 R327:R345 F327:F333 G327:G345 L327:L345 N329:N332 Q256:Q269 E226:E227 E217:E224 E206:E209 Q53:Q60 O177:R179 E181:E182 O189:O190 O193:O196 O198:O199 E189:E202 E167:F168 O169:P174 Q168:Q174 O175:Q176 O181:R182 E169:E176 O167 E165:E166 O58 O165:Q166 E111:E122 Q82:Q87 Q71:Q77 F37 O122 O152 O135:O136 E90 E124:E136 O90:Q90 O87 E141:E152 O93 E93:F93 Q93 O109 S90 E79:E80 E51 Q62:Q64 O51:Q51 Q39:Q46 O71:P76 O53:P57 E66:E69 O62:P63 E62:E64 O77 O66:P68 E71:E77 Q66:Q69 E19:E26 Q11:Q17 O17 O98:P108 Q19:Q26 O39:P44 P46 E39:E46 O28:P36 O11:P16 E28:E37 F26 O19:P25 F45:F46 O37 Q28:Q37 O59:P60 O45:O46 O79:Q80 O64 Q141:Q152 O162 E98:E109 E82:E88 F135:F136 O111:P121 O26 O124:P134 O69 F152 F162 D18:E18 D9:E9 D5:E6 O154:P161 O141:P151 E11:E17 Q98:Q109 Q111:Q122 Q124:Q136">
      <formula1>-1</formula1>
    </dataValidation>
    <dataValidation type="whole" operator="greaterThan" allowBlank="1" showInputMessage="1" showErrorMessage="1" errorTitle="Alleen positieve aantallen!" error="U kunt hier alleen een positief aantal invoeren!" sqref="O82:P86 Q154:Q162 E154:E162 E53:E60 E212:E214">
      <formula1>-1</formula1>
    </dataValidation>
    <dataValidation type="whole" operator="greaterThan" allowBlank="1" showInputMessage="1" showErrorMessage="1" errorTitle="Alleen positieve bedragen!" error="U kunt hier alleen een positief (afgerond) bedrag invullen!" sqref="G279:G284">
      <formula1>-1</formula1>
    </dataValidation>
    <dataValidation type="whole" operator="greaterThan" allowBlank="1" showInputMessage="1" showErrorMessage="1" errorTitle="Alleen positieve bedragen!" error="U kunt hier alleen een positief (afgerond) bedrag invoeren!" sqref="R289:R292 K367 S405 S397:S400 F367">
      <formula1>-1</formula1>
    </dataValidation>
    <dataValidation type="whole" operator="lessThan" allowBlank="1" showInputMessage="1" showErrorMessage="1" errorTitle="Alleen negatieve bedragen!" error="U kunt hier alleen een negatief (afgerond) bedragen invoeren!" sqref="U362:U363">
      <formula1>1</formula1>
    </dataValidation>
    <dataValidation type="whole" allowBlank="1" showInputMessage="1" showErrorMessage="1" errorTitle="Geheel getal" error="U kunt hier hier alleen een geheel getal invoeren!" sqref="E463">
      <formula1>-10000000</formula1>
      <formula2>10000000</formula2>
    </dataValidation>
    <dataValidation errorStyle="warning" allowBlank="1" showInputMessage="1" showErrorMessage="1" promptTitle="B III-564" prompt="Hieronder kunt u de inkomsten opgeven volgens de beleidsregel III-564 &quot;aanvullende inkomsten zorginstellingen&quot;. " sqref="M381"/>
    <dataValidation allowBlank="1" showInputMessage="1" showErrorMessage="1" promptTitle="Afwezigheidsdagen" prompt="hieronder wordt verstaan het etmaal, waarin de klinisch opgenomen patient gedurende de nacht (de periode tussen 00.00 tot 06.00 uur) niet in de instelling aanwezig is.&#10;Voor weekend-verlof gelden twee afwezigheidsdagen.&#10;&#10;" sqref="F325"/>
    <dataValidation errorStyle="information" type="whole" operator="notBetween" allowBlank="1" showErrorMessage="1" promptTitle=";-)" prompt="U denkt dat u er in slaagt om meer dan 25% extra productie te scoren? " errorTitle="Attentie !" error="U denkt dat u erin slaagt om 20% extra productie te scoren? " sqref="F17">
      <formula1>0.8*(O17+Q17/2)</formula1>
      <formula2>1.2*(O17+Q17/2)</formula2>
    </dataValidation>
    <dataValidation type="whole" operator="greaterThan" allowBlank="1" showInputMessage="1" showErrorMessage="1" errorTitle="Alleen negatieve bedragen!" error="U kunt hier alleen een positief (afgerond) bedrag invoeren!" sqref="S367:T367 S361:T362">
      <formula1>0</formula1>
    </dataValidation>
    <dataValidation type="list" allowBlank="1" showInputMessage="1" showErrorMessage="1" sqref="E422">
      <formula1>"ja,nee,n.v.t.,ja/nee"</formula1>
    </dataValidation>
    <dataValidation type="whole" operator="lessThan" allowBlank="1" showInputMessage="1" showErrorMessage="1" errorTitle="Alleen negatieve waarde !" error="U kunt hier alleen een negatief getal invoeren!" sqref="E178">
      <formula1>0</formula1>
    </dataValidation>
    <dataValidation type="whole" operator="lessThan" allowBlank="1" showInputMessage="1" showErrorMessage="1" error="U kunt hier alleen een negatief bedrag invullen.&#10;" sqref="S177:T178">
      <formula1>0</formula1>
    </dataValidation>
    <dataValidation type="whole" operator="lessThan" allowBlank="1" showInputMessage="1" showErrorMessage="1" error="U kunt hier alleen een negatief bedrag invoeren!" sqref="E177">
      <formula1>0</formula1>
    </dataValidation>
    <dataValidation type="whole" operator="lessThanOrEqual" allowBlank="1" showInputMessage="1" showErrorMessage="1" errorTitle="Mutatie nacalculatie productie" error="De mutatie nacalculatie productie moet kleiner of gelijk zijn aan 0" sqref="R297">
      <formula1>0</formula1>
    </dataValidation>
    <dataValidation type="whole" allowBlank="1" showErrorMessage="1" prompt="AUB geen decimalen invullen." error="AUB geen decimalen" sqref="F172 F176">
      <formula1>1</formula1>
      <formula2>99999999</formula2>
    </dataValidation>
  </dataValidations>
  <printOptions horizontalCentered="1"/>
  <pageMargins left="0" right="0" top="0.2362204724409449" bottom="0.2362204724409449" header="0.11811023622047245" footer="0.11811023622047245"/>
  <pageSetup firstPageNumber="7" useFirstPageNumber="1" horizontalDpi="300" verticalDpi="300" orientation="landscape" pageOrder="overThenDown" paperSize="9" scale="90" r:id="rId3"/>
  <headerFooter alignWithMargins="0">
    <oddFooter>&amp;RPagina &amp;P</oddFooter>
  </headerFooter>
  <rowBreaks count="16" manualBreakCount="16">
    <brk id="46" max="255" man="1"/>
    <brk id="93" max="255" man="1"/>
    <brk id="136" max="255" man="1"/>
    <brk id="184" min="10" max="19" man="1"/>
    <brk id="232" max="255" man="1"/>
    <brk id="274" min="10" max="19" man="1"/>
    <brk id="322" max="255" man="1"/>
    <brk id="369" max="255" man="1"/>
    <brk id="416" min="10" max="19" man="1"/>
    <brk id="462" min="10" max="19" man="1"/>
    <brk id="503" min="10" max="19" man="1"/>
    <brk id="552" min="10" max="19" man="1"/>
    <brk id="589" min="10" max="19" man="1"/>
    <brk id="622" min="10" max="19" man="1"/>
    <brk id="672" min="10" max="19" man="1"/>
    <brk id="705" min="10" max="19" man="1"/>
  </rowBreaks>
  <drawing r:id="rId2"/>
  <legacyDrawing r:id="rId1"/>
</worksheet>
</file>

<file path=xl/worksheets/sheet5.xml><?xml version="1.0" encoding="utf-8"?>
<worksheet xmlns="http://schemas.openxmlformats.org/spreadsheetml/2006/main" xmlns:r="http://schemas.openxmlformats.org/officeDocument/2006/relationships">
  <dimension ref="A1:L294"/>
  <sheetViews>
    <sheetView workbookViewId="0" topLeftCell="A1">
      <selection activeCell="A2" sqref="A2"/>
    </sheetView>
  </sheetViews>
  <sheetFormatPr defaultColWidth="9.140625" defaultRowHeight="12.75"/>
  <cols>
    <col min="1" max="1" width="9.140625" style="1005" customWidth="1"/>
    <col min="2" max="2" width="49.00390625" style="1005" customWidth="1"/>
    <col min="3" max="3" width="13.7109375" style="1005" customWidth="1"/>
    <col min="4" max="4" width="10.7109375" style="1009" bestFit="1" customWidth="1"/>
    <col min="5" max="5" width="10.28125" style="1005" customWidth="1"/>
    <col min="6" max="6" width="9.140625" style="1005" customWidth="1"/>
    <col min="7" max="7" width="9.7109375" style="1009" customWidth="1"/>
    <col min="8" max="8" width="10.421875" style="1005" customWidth="1"/>
    <col min="9" max="9" width="18.28125" style="1005" customWidth="1"/>
    <col min="10" max="11" width="9.140625" style="1005" customWidth="1"/>
    <col min="12" max="12" width="10.7109375" style="1005" bestFit="1" customWidth="1"/>
    <col min="13" max="16384" width="9.140625" style="1005" customWidth="1"/>
  </cols>
  <sheetData>
    <row r="1" spans="1:11" ht="12.75">
      <c r="A1" s="1056">
        <f ca="1">TODAY()</f>
        <v>38999</v>
      </c>
      <c r="C1" s="1006" t="s">
        <v>636</v>
      </c>
      <c r="D1" s="1007"/>
      <c r="E1" s="1006"/>
      <c r="F1" s="1006" t="s">
        <v>637</v>
      </c>
      <c r="G1" s="1007"/>
      <c r="H1" s="1006"/>
      <c r="I1" s="1006" t="s">
        <v>1132</v>
      </c>
      <c r="J1" s="1006" t="s">
        <v>1759</v>
      </c>
      <c r="K1" s="1006">
        <f>0.85*E5+0.15*H5</f>
        <v>1.0049</v>
      </c>
    </row>
    <row r="2" ht="13.5" thickBot="1">
      <c r="B2" s="1008" t="s">
        <v>2002</v>
      </c>
    </row>
    <row r="3" spans="5:8" ht="13.5" thickBot="1">
      <c r="E3" s="1077" t="s">
        <v>385</v>
      </c>
      <c r="F3" s="1078"/>
      <c r="G3" s="1079"/>
      <c r="H3" s="1005" t="s">
        <v>384</v>
      </c>
    </row>
    <row r="4" spans="2:9" ht="13.5" thickBot="1">
      <c r="B4" s="1010" t="s">
        <v>1564</v>
      </c>
      <c r="E4" s="1006" t="s">
        <v>2061</v>
      </c>
      <c r="H4" s="1006" t="s">
        <v>2062</v>
      </c>
      <c r="I4" s="1044" t="s">
        <v>2063</v>
      </c>
    </row>
    <row r="5" spans="1:11" ht="13.5" thickBot="1">
      <c r="A5" s="1011" t="s">
        <v>2173</v>
      </c>
      <c r="B5" s="1012" t="s">
        <v>2202</v>
      </c>
      <c r="C5" s="1005" t="s">
        <v>2174</v>
      </c>
      <c r="D5" s="1009">
        <v>53.5</v>
      </c>
      <c r="E5" s="1045">
        <v>1.004</v>
      </c>
      <c r="F5" s="1005" t="s">
        <v>1133</v>
      </c>
      <c r="G5" s="1009">
        <v>12.94</v>
      </c>
      <c r="H5" s="1045">
        <v>1.01</v>
      </c>
      <c r="I5" s="1013">
        <f aca="true" t="shared" si="0" ref="I5:I10">ROUND((D5*E5),2)+ROUND((G5*H5),2)</f>
        <v>66.78</v>
      </c>
      <c r="J5" s="1009">
        <f aca="true" t="shared" si="1" ref="J5:J10">ROUND(D5*E5,2)</f>
        <v>53.71</v>
      </c>
      <c r="K5" s="1009">
        <f aca="true" t="shared" si="2" ref="K5:K10">ROUND(G5*H5,2)</f>
        <v>13.07</v>
      </c>
    </row>
    <row r="6" spans="1:11" ht="12.75">
      <c r="A6" s="1014" t="s">
        <v>1294</v>
      </c>
      <c r="B6" s="1012" t="s">
        <v>2203</v>
      </c>
      <c r="C6" s="1005" t="s">
        <v>2175</v>
      </c>
      <c r="D6" s="1009">
        <v>67.75</v>
      </c>
      <c r="E6" s="1043">
        <f>$E$5</f>
        <v>1.004</v>
      </c>
      <c r="F6" s="1005" t="s">
        <v>1133</v>
      </c>
      <c r="G6" s="1009">
        <v>12.94</v>
      </c>
      <c r="H6" s="1043">
        <f>$H$5</f>
        <v>1.01</v>
      </c>
      <c r="I6" s="1015">
        <f t="shared" si="0"/>
        <v>81.09</v>
      </c>
      <c r="J6" s="1009">
        <f t="shared" si="1"/>
        <v>68.02</v>
      </c>
      <c r="K6" s="1009">
        <f t="shared" si="2"/>
        <v>13.07</v>
      </c>
    </row>
    <row r="7" spans="1:11" ht="12.75">
      <c r="A7" s="1014" t="s">
        <v>1295</v>
      </c>
      <c r="B7" s="1012" t="s">
        <v>2204</v>
      </c>
      <c r="C7" s="1005" t="s">
        <v>2176</v>
      </c>
      <c r="D7" s="1009">
        <v>91.66</v>
      </c>
      <c r="E7" s="1043">
        <f>$E$5</f>
        <v>1.004</v>
      </c>
      <c r="F7" s="1005" t="s">
        <v>1133</v>
      </c>
      <c r="G7" s="1009">
        <v>12.94</v>
      </c>
      <c r="H7" s="1043">
        <f>$H$5</f>
        <v>1.01</v>
      </c>
      <c r="I7" s="1015">
        <f t="shared" si="0"/>
        <v>105.1</v>
      </c>
      <c r="J7" s="1009">
        <f t="shared" si="1"/>
        <v>92.03</v>
      </c>
      <c r="K7" s="1009">
        <f t="shared" si="2"/>
        <v>13.07</v>
      </c>
    </row>
    <row r="8" spans="1:11" ht="12.75">
      <c r="A8" s="1014" t="s">
        <v>1296</v>
      </c>
      <c r="B8" s="1012" t="s">
        <v>546</v>
      </c>
      <c r="C8" s="1005" t="s">
        <v>2177</v>
      </c>
      <c r="D8" s="1009">
        <v>100.35</v>
      </c>
      <c r="E8" s="1043">
        <f>$E$5</f>
        <v>1.004</v>
      </c>
      <c r="F8" s="1005" t="s">
        <v>1133</v>
      </c>
      <c r="G8" s="1009">
        <v>12.94</v>
      </c>
      <c r="H8" s="1043">
        <f>$H$5</f>
        <v>1.01</v>
      </c>
      <c r="I8" s="1015">
        <f t="shared" si="0"/>
        <v>113.82</v>
      </c>
      <c r="J8" s="1009">
        <f t="shared" si="1"/>
        <v>100.75</v>
      </c>
      <c r="K8" s="1009">
        <f t="shared" si="2"/>
        <v>13.07</v>
      </c>
    </row>
    <row r="9" spans="1:11" ht="12.75">
      <c r="A9" s="1014" t="s">
        <v>1297</v>
      </c>
      <c r="B9" s="1012" t="s">
        <v>547</v>
      </c>
      <c r="C9" s="1005" t="s">
        <v>2178</v>
      </c>
      <c r="D9" s="1009">
        <v>138.72</v>
      </c>
      <c r="E9" s="1043">
        <f>$E$5</f>
        <v>1.004</v>
      </c>
      <c r="F9" s="1005" t="s">
        <v>1133</v>
      </c>
      <c r="G9" s="1009">
        <v>12.94</v>
      </c>
      <c r="H9" s="1043">
        <f>$H$5</f>
        <v>1.01</v>
      </c>
      <c r="I9" s="1015">
        <f t="shared" si="0"/>
        <v>152.34</v>
      </c>
      <c r="J9" s="1009">
        <f t="shared" si="1"/>
        <v>139.27</v>
      </c>
      <c r="K9" s="1009">
        <f t="shared" si="2"/>
        <v>13.07</v>
      </c>
    </row>
    <row r="10" spans="1:11" ht="13.5" thickBot="1">
      <c r="A10" s="1016" t="s">
        <v>1298</v>
      </c>
      <c r="B10" s="1017" t="s">
        <v>548</v>
      </c>
      <c r="C10" s="1005" t="s">
        <v>2179</v>
      </c>
      <c r="D10" s="1009">
        <v>191.98</v>
      </c>
      <c r="E10" s="1043">
        <f>$E$5</f>
        <v>1.004</v>
      </c>
      <c r="F10" s="1005" t="s">
        <v>1133</v>
      </c>
      <c r="G10" s="1009">
        <v>12.94</v>
      </c>
      <c r="H10" s="1043">
        <f>$H$5</f>
        <v>1.01</v>
      </c>
      <c r="I10" s="1018">
        <f t="shared" si="0"/>
        <v>205.82</v>
      </c>
      <c r="J10" s="1009">
        <f t="shared" si="1"/>
        <v>192.75</v>
      </c>
      <c r="K10" s="1009">
        <f t="shared" si="2"/>
        <v>13.07</v>
      </c>
    </row>
    <row r="11" spans="2:9" ht="12.75">
      <c r="B11" s="1019"/>
      <c r="I11" s="1020"/>
    </row>
    <row r="12" spans="2:9" ht="13.5" thickBot="1">
      <c r="B12" s="1010" t="s">
        <v>1565</v>
      </c>
      <c r="I12" s="1020"/>
    </row>
    <row r="13" spans="1:11" ht="12.75">
      <c r="A13" s="1011" t="s">
        <v>1299</v>
      </c>
      <c r="B13" s="1012" t="s">
        <v>549</v>
      </c>
      <c r="C13" s="1005" t="s">
        <v>2185</v>
      </c>
      <c r="D13" s="1009">
        <v>120.8</v>
      </c>
      <c r="E13" s="1043">
        <f aca="true" t="shared" si="3" ref="E13:E19">$E$5</f>
        <v>1.004</v>
      </c>
      <c r="F13" s="1005" t="s">
        <v>1134</v>
      </c>
      <c r="G13" s="1009">
        <v>12.94</v>
      </c>
      <c r="H13" s="1043">
        <f aca="true" t="shared" si="4" ref="H13:H19">$H$5</f>
        <v>1.01</v>
      </c>
      <c r="I13" s="1013">
        <f aca="true" t="shared" si="5" ref="I13:I19">ROUND((D13*E13),2)+ROUND((G13*H13),2)</f>
        <v>134.35</v>
      </c>
      <c r="J13" s="1009">
        <f aca="true" t="shared" si="6" ref="J13:J19">ROUND(D13*E13,2)</f>
        <v>121.28</v>
      </c>
      <c r="K13" s="1009">
        <f aca="true" t="shared" si="7" ref="K13:K19">ROUND(G13*H13,2)</f>
        <v>13.07</v>
      </c>
    </row>
    <row r="14" spans="1:11" ht="12.75">
      <c r="A14" s="1014" t="s">
        <v>1300</v>
      </c>
      <c r="B14" s="1012" t="s">
        <v>550</v>
      </c>
      <c r="C14" s="1005" t="s">
        <v>2180</v>
      </c>
      <c r="D14" s="1009">
        <v>170.3</v>
      </c>
      <c r="E14" s="1043">
        <f t="shared" si="3"/>
        <v>1.004</v>
      </c>
      <c r="F14" s="1005" t="s">
        <v>1134</v>
      </c>
      <c r="G14" s="1009">
        <v>12.94</v>
      </c>
      <c r="H14" s="1043">
        <f t="shared" si="4"/>
        <v>1.01</v>
      </c>
      <c r="I14" s="1015">
        <f t="shared" si="5"/>
        <v>184.04999999999998</v>
      </c>
      <c r="J14" s="1009">
        <f t="shared" si="6"/>
        <v>170.98</v>
      </c>
      <c r="K14" s="1009">
        <f t="shared" si="7"/>
        <v>13.07</v>
      </c>
    </row>
    <row r="15" spans="1:11" ht="12.75">
      <c r="A15" s="1014" t="s">
        <v>1301</v>
      </c>
      <c r="B15" s="1012" t="s">
        <v>551</v>
      </c>
      <c r="C15" s="1005" t="s">
        <v>2181</v>
      </c>
      <c r="D15" s="1009">
        <v>152.38</v>
      </c>
      <c r="E15" s="1043">
        <f t="shared" si="3"/>
        <v>1.004</v>
      </c>
      <c r="F15" s="1005" t="s">
        <v>1134</v>
      </c>
      <c r="G15" s="1009">
        <v>12.94</v>
      </c>
      <c r="H15" s="1043">
        <f t="shared" si="4"/>
        <v>1.01</v>
      </c>
      <c r="I15" s="1015">
        <f t="shared" si="5"/>
        <v>166.06</v>
      </c>
      <c r="J15" s="1009">
        <f t="shared" si="6"/>
        <v>152.99</v>
      </c>
      <c r="K15" s="1009">
        <f t="shared" si="7"/>
        <v>13.07</v>
      </c>
    </row>
    <row r="16" spans="1:11" ht="12.75">
      <c r="A16" s="1014" t="s">
        <v>1302</v>
      </c>
      <c r="B16" s="1012" t="s">
        <v>552</v>
      </c>
      <c r="C16" s="1005" t="s">
        <v>2182</v>
      </c>
      <c r="D16" s="1009">
        <v>201.85</v>
      </c>
      <c r="E16" s="1043">
        <f t="shared" si="3"/>
        <v>1.004</v>
      </c>
      <c r="F16" s="1005" t="s">
        <v>1134</v>
      </c>
      <c r="G16" s="1009">
        <v>12.94</v>
      </c>
      <c r="H16" s="1043">
        <f t="shared" si="4"/>
        <v>1.01</v>
      </c>
      <c r="I16" s="1015">
        <f t="shared" si="5"/>
        <v>215.73</v>
      </c>
      <c r="J16" s="1009">
        <f t="shared" si="6"/>
        <v>202.66</v>
      </c>
      <c r="K16" s="1009">
        <f t="shared" si="7"/>
        <v>13.07</v>
      </c>
    </row>
    <row r="17" spans="1:11" ht="12.75">
      <c r="A17" s="1014" t="s">
        <v>1303</v>
      </c>
      <c r="B17" s="1012" t="s">
        <v>553</v>
      </c>
      <c r="C17" s="1005" t="s">
        <v>2183</v>
      </c>
      <c r="D17" s="1009">
        <v>204.72</v>
      </c>
      <c r="E17" s="1043">
        <f t="shared" si="3"/>
        <v>1.004</v>
      </c>
      <c r="F17" s="1005" t="s">
        <v>1134</v>
      </c>
      <c r="G17" s="1009">
        <v>12.94</v>
      </c>
      <c r="H17" s="1043">
        <f t="shared" si="4"/>
        <v>1.01</v>
      </c>
      <c r="I17" s="1015">
        <f t="shared" si="5"/>
        <v>218.60999999999999</v>
      </c>
      <c r="J17" s="1009">
        <f t="shared" si="6"/>
        <v>205.54</v>
      </c>
      <c r="K17" s="1009">
        <f t="shared" si="7"/>
        <v>13.07</v>
      </c>
    </row>
    <row r="18" spans="1:11" ht="12.75">
      <c r="A18" s="1016" t="s">
        <v>1304</v>
      </c>
      <c r="B18" s="1017" t="s">
        <v>1772</v>
      </c>
      <c r="C18" s="1005" t="s">
        <v>2184</v>
      </c>
      <c r="D18" s="1009">
        <v>264.38</v>
      </c>
      <c r="E18" s="1043">
        <f t="shared" si="3"/>
        <v>1.004</v>
      </c>
      <c r="F18" s="1005" t="s">
        <v>1134</v>
      </c>
      <c r="G18" s="1009">
        <v>12.94</v>
      </c>
      <c r="H18" s="1043">
        <f t="shared" si="4"/>
        <v>1.01</v>
      </c>
      <c r="I18" s="1015">
        <f t="shared" si="5"/>
        <v>278.51</v>
      </c>
      <c r="J18" s="1009">
        <f t="shared" si="6"/>
        <v>265.44</v>
      </c>
      <c r="K18" s="1009">
        <f t="shared" si="7"/>
        <v>13.07</v>
      </c>
    </row>
    <row r="19" spans="1:11" ht="13.5" thickBot="1">
      <c r="A19" s="1016" t="s">
        <v>2252</v>
      </c>
      <c r="B19" s="1017" t="s">
        <v>2254</v>
      </c>
      <c r="C19" s="1005" t="s">
        <v>2253</v>
      </c>
      <c r="D19" s="1009">
        <v>185.84</v>
      </c>
      <c r="E19" s="1043">
        <f t="shared" si="3"/>
        <v>1.004</v>
      </c>
      <c r="F19" s="1005" t="s">
        <v>1134</v>
      </c>
      <c r="G19" s="1009">
        <v>12.94</v>
      </c>
      <c r="H19" s="1043">
        <f t="shared" si="4"/>
        <v>1.01</v>
      </c>
      <c r="I19" s="1018">
        <f t="shared" si="5"/>
        <v>199.65</v>
      </c>
      <c r="J19" s="1009">
        <f t="shared" si="6"/>
        <v>186.58</v>
      </c>
      <c r="K19" s="1009">
        <f t="shared" si="7"/>
        <v>13.07</v>
      </c>
    </row>
    <row r="20" spans="2:9" ht="12.75">
      <c r="B20" s="1010"/>
      <c r="I20" s="1020"/>
    </row>
    <row r="21" spans="2:9" ht="13.5" thickBot="1">
      <c r="B21" s="1010" t="s">
        <v>1566</v>
      </c>
      <c r="I21" s="1020"/>
    </row>
    <row r="22" spans="1:11" ht="12.75">
      <c r="A22" s="1011" t="s">
        <v>1290</v>
      </c>
      <c r="B22" s="1012" t="s">
        <v>1571</v>
      </c>
      <c r="C22" s="1005" t="s">
        <v>2186</v>
      </c>
      <c r="D22" s="1009">
        <v>69.92</v>
      </c>
      <c r="E22" s="1043">
        <f aca="true" t="shared" si="8" ref="E22:E30">$E$5</f>
        <v>1.004</v>
      </c>
      <c r="F22" s="1005" t="s">
        <v>10</v>
      </c>
      <c r="G22" s="1009">
        <v>11.67</v>
      </c>
      <c r="H22" s="1043">
        <f aca="true" t="shared" si="9" ref="H22:H30">$H$5</f>
        <v>1.01</v>
      </c>
      <c r="I22" s="1013">
        <f aca="true" t="shared" si="10" ref="I22:I30">ROUND((D22*E22),2)+ROUND((G22*H22),2)</f>
        <v>81.99000000000001</v>
      </c>
      <c r="J22" s="1009">
        <f aca="true" t="shared" si="11" ref="J22:J30">ROUND(D22*E22,2)</f>
        <v>70.2</v>
      </c>
      <c r="K22" s="1009">
        <f aca="true" t="shared" si="12" ref="K22:K30">ROUND(G22*H22,2)</f>
        <v>11.79</v>
      </c>
    </row>
    <row r="23" spans="1:11" ht="12.75">
      <c r="A23" s="1014" t="s">
        <v>1291</v>
      </c>
      <c r="B23" s="1012" t="s">
        <v>1771</v>
      </c>
      <c r="C23" s="1005" t="s">
        <v>2187</v>
      </c>
      <c r="D23" s="1009">
        <v>100.04</v>
      </c>
      <c r="E23" s="1043">
        <f t="shared" si="8"/>
        <v>1.004</v>
      </c>
      <c r="F23" s="1005" t="s">
        <v>10</v>
      </c>
      <c r="G23" s="1009">
        <v>11.67</v>
      </c>
      <c r="H23" s="1043">
        <f t="shared" si="9"/>
        <v>1.01</v>
      </c>
      <c r="I23" s="1015">
        <f t="shared" si="10"/>
        <v>112.22999999999999</v>
      </c>
      <c r="J23" s="1009">
        <f t="shared" si="11"/>
        <v>100.44</v>
      </c>
      <c r="K23" s="1009">
        <f t="shared" si="12"/>
        <v>11.79</v>
      </c>
    </row>
    <row r="24" spans="1:11" ht="12.75">
      <c r="A24" s="1014" t="s">
        <v>1292</v>
      </c>
      <c r="B24" s="1012" t="s">
        <v>1770</v>
      </c>
      <c r="C24" s="1005" t="s">
        <v>2188</v>
      </c>
      <c r="D24" s="1009">
        <v>160.98</v>
      </c>
      <c r="E24" s="1043">
        <f t="shared" si="8"/>
        <v>1.004</v>
      </c>
      <c r="F24" s="1005" t="s">
        <v>10</v>
      </c>
      <c r="G24" s="1009">
        <v>11.67</v>
      </c>
      <c r="H24" s="1043">
        <f t="shared" si="9"/>
        <v>1.01</v>
      </c>
      <c r="I24" s="1015">
        <f t="shared" si="10"/>
        <v>173.41</v>
      </c>
      <c r="J24" s="1009">
        <f t="shared" si="11"/>
        <v>161.62</v>
      </c>
      <c r="K24" s="1009">
        <f t="shared" si="12"/>
        <v>11.79</v>
      </c>
    </row>
    <row r="25" spans="1:11" ht="12.75">
      <c r="A25" s="1014" t="s">
        <v>1293</v>
      </c>
      <c r="B25" s="1012" t="s">
        <v>554</v>
      </c>
      <c r="C25" s="1005" t="s">
        <v>2189</v>
      </c>
      <c r="D25" s="1009">
        <v>31.79</v>
      </c>
      <c r="E25" s="1043">
        <f t="shared" si="8"/>
        <v>1.004</v>
      </c>
      <c r="F25" s="1005" t="s">
        <v>2189</v>
      </c>
      <c r="G25" s="1009">
        <v>6.32</v>
      </c>
      <c r="H25" s="1043">
        <f t="shared" si="9"/>
        <v>1.01</v>
      </c>
      <c r="I25" s="1015">
        <f t="shared" si="10"/>
        <v>38.300000000000004</v>
      </c>
      <c r="J25" s="1009">
        <f t="shared" si="11"/>
        <v>31.92</v>
      </c>
      <c r="K25" s="1009">
        <f t="shared" si="12"/>
        <v>6.38</v>
      </c>
    </row>
    <row r="26" spans="1:11" ht="12.75">
      <c r="A26" s="1014" t="s">
        <v>1305</v>
      </c>
      <c r="B26" s="1012" t="s">
        <v>1677</v>
      </c>
      <c r="C26" s="1005" t="s">
        <v>2190</v>
      </c>
      <c r="D26" s="1009">
        <v>30.6</v>
      </c>
      <c r="E26" s="1043">
        <f t="shared" si="8"/>
        <v>1.004</v>
      </c>
      <c r="F26" s="1005" t="s">
        <v>10</v>
      </c>
      <c r="G26" s="1009">
        <v>11.67</v>
      </c>
      <c r="H26" s="1043">
        <f t="shared" si="9"/>
        <v>1.01</v>
      </c>
      <c r="I26" s="1015">
        <f t="shared" si="10"/>
        <v>42.51</v>
      </c>
      <c r="J26" s="1009">
        <f t="shared" si="11"/>
        <v>30.72</v>
      </c>
      <c r="K26" s="1009">
        <f t="shared" si="12"/>
        <v>11.79</v>
      </c>
    </row>
    <row r="27" spans="1:11" ht="12.75">
      <c r="A27" s="1014" t="s">
        <v>1306</v>
      </c>
      <c r="B27" s="1012" t="s">
        <v>1771</v>
      </c>
      <c r="C27" s="1005" t="s">
        <v>2191</v>
      </c>
      <c r="D27" s="1009">
        <v>82.91</v>
      </c>
      <c r="E27" s="1043">
        <f t="shared" si="8"/>
        <v>1.004</v>
      </c>
      <c r="F27" s="1005" t="s">
        <v>10</v>
      </c>
      <c r="G27" s="1009">
        <v>11.67</v>
      </c>
      <c r="H27" s="1043">
        <f t="shared" si="9"/>
        <v>1.01</v>
      </c>
      <c r="I27" s="1015">
        <f t="shared" si="10"/>
        <v>95.03</v>
      </c>
      <c r="J27" s="1009">
        <f t="shared" si="11"/>
        <v>83.24</v>
      </c>
      <c r="K27" s="1009">
        <f t="shared" si="12"/>
        <v>11.79</v>
      </c>
    </row>
    <row r="28" spans="1:11" ht="12.75">
      <c r="A28" s="1014" t="s">
        <v>1307</v>
      </c>
      <c r="B28" s="1012" t="s">
        <v>1773</v>
      </c>
      <c r="C28" s="1005" t="s">
        <v>2192</v>
      </c>
      <c r="D28" s="1009">
        <v>49.62</v>
      </c>
      <c r="E28" s="1043">
        <f t="shared" si="8"/>
        <v>1.004</v>
      </c>
      <c r="F28" s="1005" t="s">
        <v>10</v>
      </c>
      <c r="G28" s="1009">
        <v>11.67</v>
      </c>
      <c r="H28" s="1043">
        <f t="shared" si="9"/>
        <v>1.01</v>
      </c>
      <c r="I28" s="1015">
        <f t="shared" si="10"/>
        <v>61.61</v>
      </c>
      <c r="J28" s="1009">
        <f t="shared" si="11"/>
        <v>49.82</v>
      </c>
      <c r="K28" s="1009">
        <f t="shared" si="12"/>
        <v>11.79</v>
      </c>
    </row>
    <row r="29" spans="1:11" ht="12.75">
      <c r="A29" s="1014" t="s">
        <v>1308</v>
      </c>
      <c r="B29" s="1012" t="s">
        <v>1771</v>
      </c>
      <c r="C29" s="1005" t="s">
        <v>2193</v>
      </c>
      <c r="D29" s="1009">
        <v>91.84</v>
      </c>
      <c r="E29" s="1043">
        <f t="shared" si="8"/>
        <v>1.004</v>
      </c>
      <c r="F29" s="1005" t="s">
        <v>10</v>
      </c>
      <c r="G29" s="1009">
        <v>11.67</v>
      </c>
      <c r="H29" s="1043">
        <f t="shared" si="9"/>
        <v>1.01</v>
      </c>
      <c r="I29" s="1015">
        <f t="shared" si="10"/>
        <v>104</v>
      </c>
      <c r="J29" s="1009">
        <f t="shared" si="11"/>
        <v>92.21</v>
      </c>
      <c r="K29" s="1009">
        <f t="shared" si="12"/>
        <v>11.79</v>
      </c>
    </row>
    <row r="30" spans="1:11" ht="13.5" thickBot="1">
      <c r="A30" s="1016" t="s">
        <v>1309</v>
      </c>
      <c r="B30" s="1017" t="s">
        <v>1774</v>
      </c>
      <c r="C30" s="1005" t="s">
        <v>2194</v>
      </c>
      <c r="D30" s="1009">
        <v>133.58</v>
      </c>
      <c r="E30" s="1043">
        <f t="shared" si="8"/>
        <v>1.004</v>
      </c>
      <c r="F30" s="1005" t="s">
        <v>10</v>
      </c>
      <c r="G30" s="1009">
        <v>11.67</v>
      </c>
      <c r="H30" s="1043">
        <f t="shared" si="9"/>
        <v>1.01</v>
      </c>
      <c r="I30" s="1018">
        <f t="shared" si="10"/>
        <v>145.9</v>
      </c>
      <c r="J30" s="1009">
        <f t="shared" si="11"/>
        <v>134.11</v>
      </c>
      <c r="K30" s="1009">
        <f t="shared" si="12"/>
        <v>11.79</v>
      </c>
    </row>
    <row r="31" ht="12.75">
      <c r="I31" s="1020"/>
    </row>
    <row r="32" spans="2:9" ht="13.5" thickBot="1">
      <c r="B32" s="1010" t="s">
        <v>1567</v>
      </c>
      <c r="I32" s="1020"/>
    </row>
    <row r="33" spans="1:11" ht="12.75">
      <c r="A33" s="1011" t="s">
        <v>1310</v>
      </c>
      <c r="B33" s="1012" t="s">
        <v>555</v>
      </c>
      <c r="C33" s="1005" t="s">
        <v>2200</v>
      </c>
      <c r="D33" s="1009">
        <v>172.96</v>
      </c>
      <c r="E33" s="1043">
        <f aca="true" t="shared" si="13" ref="E33:E38">$E$5</f>
        <v>1.004</v>
      </c>
      <c r="F33" s="1005" t="s">
        <v>11</v>
      </c>
      <c r="G33" s="1009">
        <v>12.72</v>
      </c>
      <c r="H33" s="1043">
        <f aca="true" t="shared" si="14" ref="H33:H38">$H$5</f>
        <v>1.01</v>
      </c>
      <c r="I33" s="1013">
        <f aca="true" t="shared" si="15" ref="I33:I38">ROUND((D33*E33),2)+ROUND((G33*H33),2)</f>
        <v>186.5</v>
      </c>
      <c r="J33" s="1009">
        <f aca="true" t="shared" si="16" ref="J33:J38">ROUND(D33*E33,2)</f>
        <v>173.65</v>
      </c>
      <c r="K33" s="1009">
        <f aca="true" t="shared" si="17" ref="K33:K38">ROUND(G33*H33,2)</f>
        <v>12.85</v>
      </c>
    </row>
    <row r="34" spans="1:11" ht="12.75">
      <c r="A34" s="1014" t="s">
        <v>1311</v>
      </c>
      <c r="B34" s="1012" t="s">
        <v>556</v>
      </c>
      <c r="C34" s="1005" t="s">
        <v>2195</v>
      </c>
      <c r="D34" s="1009">
        <v>231.45</v>
      </c>
      <c r="E34" s="1043">
        <f t="shared" si="13"/>
        <v>1.004</v>
      </c>
      <c r="F34" s="1005" t="s">
        <v>11</v>
      </c>
      <c r="G34" s="1009">
        <v>12.72</v>
      </c>
      <c r="H34" s="1043">
        <f t="shared" si="14"/>
        <v>1.01</v>
      </c>
      <c r="I34" s="1015">
        <f t="shared" si="15"/>
        <v>245.23</v>
      </c>
      <c r="J34" s="1009">
        <f t="shared" si="16"/>
        <v>232.38</v>
      </c>
      <c r="K34" s="1009">
        <f t="shared" si="17"/>
        <v>12.85</v>
      </c>
    </row>
    <row r="35" spans="1:11" ht="12.75">
      <c r="A35" s="1014" t="s">
        <v>1312</v>
      </c>
      <c r="B35" s="1012" t="s">
        <v>557</v>
      </c>
      <c r="C35" s="1005" t="s">
        <v>2196</v>
      </c>
      <c r="D35" s="1009">
        <v>176.15</v>
      </c>
      <c r="E35" s="1043">
        <f t="shared" si="13"/>
        <v>1.004</v>
      </c>
      <c r="F35" s="1005" t="s">
        <v>11</v>
      </c>
      <c r="G35" s="1009">
        <v>12.72</v>
      </c>
      <c r="H35" s="1043">
        <f t="shared" si="14"/>
        <v>1.01</v>
      </c>
      <c r="I35" s="1015">
        <f t="shared" si="15"/>
        <v>189.7</v>
      </c>
      <c r="J35" s="1009">
        <f t="shared" si="16"/>
        <v>176.85</v>
      </c>
      <c r="K35" s="1009">
        <f t="shared" si="17"/>
        <v>12.85</v>
      </c>
    </row>
    <row r="36" spans="1:11" ht="12.75">
      <c r="A36" s="1014" t="s">
        <v>1313</v>
      </c>
      <c r="B36" s="1012" t="s">
        <v>558</v>
      </c>
      <c r="C36" s="1005" t="s">
        <v>2197</v>
      </c>
      <c r="D36" s="1009">
        <v>269.42</v>
      </c>
      <c r="E36" s="1043">
        <f t="shared" si="13"/>
        <v>1.004</v>
      </c>
      <c r="F36" s="1005" t="s">
        <v>11</v>
      </c>
      <c r="G36" s="1009">
        <v>12.72</v>
      </c>
      <c r="H36" s="1043">
        <f t="shared" si="14"/>
        <v>1.01</v>
      </c>
      <c r="I36" s="1015">
        <f t="shared" si="15"/>
        <v>283.35</v>
      </c>
      <c r="J36" s="1009">
        <f t="shared" si="16"/>
        <v>270.5</v>
      </c>
      <c r="K36" s="1009">
        <f t="shared" si="17"/>
        <v>12.85</v>
      </c>
    </row>
    <row r="37" spans="1:11" ht="12.75">
      <c r="A37" s="1014" t="s">
        <v>1314</v>
      </c>
      <c r="B37" s="1012" t="s">
        <v>559</v>
      </c>
      <c r="C37" s="1005" t="s">
        <v>2198</v>
      </c>
      <c r="D37" s="1009">
        <v>229.04</v>
      </c>
      <c r="E37" s="1043">
        <f t="shared" si="13"/>
        <v>1.004</v>
      </c>
      <c r="F37" s="1005" t="s">
        <v>11</v>
      </c>
      <c r="G37" s="1009">
        <v>12.72</v>
      </c>
      <c r="H37" s="1043">
        <f t="shared" si="14"/>
        <v>1.01</v>
      </c>
      <c r="I37" s="1015">
        <f t="shared" si="15"/>
        <v>242.81</v>
      </c>
      <c r="J37" s="1009">
        <f t="shared" si="16"/>
        <v>229.96</v>
      </c>
      <c r="K37" s="1009">
        <f t="shared" si="17"/>
        <v>12.85</v>
      </c>
    </row>
    <row r="38" spans="1:11" ht="13.5" thickBot="1">
      <c r="A38" s="1016" t="s">
        <v>1315</v>
      </c>
      <c r="B38" s="1017" t="s">
        <v>560</v>
      </c>
      <c r="C38" s="1005" t="s">
        <v>2199</v>
      </c>
      <c r="D38" s="1009">
        <v>291.93</v>
      </c>
      <c r="E38" s="1043">
        <f t="shared" si="13"/>
        <v>1.004</v>
      </c>
      <c r="F38" s="1005" t="s">
        <v>11</v>
      </c>
      <c r="G38" s="1009">
        <v>12.72</v>
      </c>
      <c r="H38" s="1043">
        <f t="shared" si="14"/>
        <v>1.01</v>
      </c>
      <c r="I38" s="1018">
        <f t="shared" si="15"/>
        <v>305.95000000000005</v>
      </c>
      <c r="J38" s="1009">
        <f t="shared" si="16"/>
        <v>293.1</v>
      </c>
      <c r="K38" s="1009">
        <f t="shared" si="17"/>
        <v>12.85</v>
      </c>
    </row>
    <row r="39" ht="13.5" thickBot="1">
      <c r="I39" s="1020"/>
    </row>
    <row r="40" spans="2:11" ht="13.5" thickBot="1">
      <c r="B40" s="1021" t="s">
        <v>12</v>
      </c>
      <c r="C40" s="1005" t="s">
        <v>1511</v>
      </c>
      <c r="D40" s="1009">
        <v>278.67</v>
      </c>
      <c r="E40" s="1043">
        <f>$E$5</f>
        <v>1.004</v>
      </c>
      <c r="F40" s="1005" t="s">
        <v>1511</v>
      </c>
      <c r="G40" s="1009">
        <v>12.72</v>
      </c>
      <c r="H40" s="1043">
        <f>$H$5</f>
        <v>1.01</v>
      </c>
      <c r="I40" s="1022">
        <f>ROUND((D40*E40),2)+ROUND((G40*H40),2)</f>
        <v>292.63</v>
      </c>
      <c r="J40" s="1009">
        <f>ROUND(D40*E40,2)</f>
        <v>279.78</v>
      </c>
      <c r="K40" s="1009">
        <f>ROUND(G40*H40,2)</f>
        <v>12.85</v>
      </c>
    </row>
    <row r="41" ht="12.75">
      <c r="I41" s="1020"/>
    </row>
    <row r="42" spans="2:9" ht="13.5" thickBot="1">
      <c r="B42" s="1010" t="s">
        <v>2277</v>
      </c>
      <c r="I42" s="1020"/>
    </row>
    <row r="43" spans="1:11" ht="12.75">
      <c r="A43" s="1011" t="s">
        <v>612</v>
      </c>
      <c r="B43" s="1012" t="s">
        <v>73</v>
      </c>
      <c r="C43" s="1005" t="s">
        <v>74</v>
      </c>
      <c r="D43" s="1009">
        <v>21.59</v>
      </c>
      <c r="E43" s="1043">
        <f>$E$5</f>
        <v>1.004</v>
      </c>
      <c r="F43" s="1005" t="s">
        <v>13</v>
      </c>
      <c r="G43" s="1009">
        <v>8.36</v>
      </c>
      <c r="H43" s="1043">
        <f>$H$5</f>
        <v>1.01</v>
      </c>
      <c r="I43" s="1013">
        <f>ROUND((D43*E43),2)+ROUND((G43*H43),2)</f>
        <v>30.119999999999997</v>
      </c>
      <c r="J43" s="1009">
        <f>ROUND(D43*E43,2)</f>
        <v>21.68</v>
      </c>
      <c r="K43" s="1009">
        <f>ROUND(G43*H43,2)</f>
        <v>8.44</v>
      </c>
    </row>
    <row r="44" spans="1:11" ht="12.75">
      <c r="A44" s="1014" t="s">
        <v>613</v>
      </c>
      <c r="B44" s="1012" t="s">
        <v>75</v>
      </c>
      <c r="C44" s="1005" t="s">
        <v>76</v>
      </c>
      <c r="D44" s="1009">
        <v>64.07</v>
      </c>
      <c r="E44" s="1043">
        <f>$E$5</f>
        <v>1.004</v>
      </c>
      <c r="F44" s="1005" t="s">
        <v>13</v>
      </c>
      <c r="G44" s="1009">
        <v>8.36</v>
      </c>
      <c r="H44" s="1043">
        <f>$H$5</f>
        <v>1.01</v>
      </c>
      <c r="I44" s="1015">
        <f>ROUND((D44*E44),2)+ROUND((G44*H44),2)</f>
        <v>72.77</v>
      </c>
      <c r="J44" s="1009">
        <f>ROUND(D44*E44,2)</f>
        <v>64.33</v>
      </c>
      <c r="K44" s="1009">
        <f>ROUND(G44*H44,2)</f>
        <v>8.44</v>
      </c>
    </row>
    <row r="45" spans="1:11" ht="12.75">
      <c r="A45" s="1014" t="s">
        <v>614</v>
      </c>
      <c r="B45" s="1012" t="s">
        <v>77</v>
      </c>
      <c r="C45" s="1005" t="s">
        <v>1142</v>
      </c>
      <c r="D45" s="1009">
        <v>32.06</v>
      </c>
      <c r="E45" s="1043">
        <f>$E$5</f>
        <v>1.004</v>
      </c>
      <c r="F45" s="1005" t="s">
        <v>13</v>
      </c>
      <c r="G45" s="1009">
        <v>8.36</v>
      </c>
      <c r="H45" s="1043">
        <f>$H$5</f>
        <v>1.01</v>
      </c>
      <c r="I45" s="1015">
        <f>ROUND((D45*E45),2)+ROUND((G45*H45),2)</f>
        <v>40.629999999999995</v>
      </c>
      <c r="J45" s="1009">
        <f>ROUND(D45*E45,2)</f>
        <v>32.19</v>
      </c>
      <c r="K45" s="1009">
        <f>ROUND(G45*H45,2)</f>
        <v>8.44</v>
      </c>
    </row>
    <row r="46" spans="1:11" ht="12.75">
      <c r="A46" s="1014" t="s">
        <v>615</v>
      </c>
      <c r="B46" s="1017" t="s">
        <v>1896</v>
      </c>
      <c r="C46" s="1005" t="s">
        <v>1897</v>
      </c>
      <c r="D46" s="1009">
        <v>72.51</v>
      </c>
      <c r="E46" s="1043">
        <f>$E$5</f>
        <v>1.004</v>
      </c>
      <c r="F46" s="1005" t="s">
        <v>13</v>
      </c>
      <c r="G46" s="1009">
        <v>8.36</v>
      </c>
      <c r="H46" s="1043">
        <f>$H$5</f>
        <v>1.01</v>
      </c>
      <c r="I46" s="1015">
        <f>ROUND((D46*E46),2)+ROUND((G46*H46),2)</f>
        <v>81.24</v>
      </c>
      <c r="J46" s="1009">
        <f>ROUND(D46*E46,2)</f>
        <v>72.8</v>
      </c>
      <c r="K46" s="1009">
        <f>ROUND(G46*H46,2)</f>
        <v>8.44</v>
      </c>
    </row>
    <row r="47" spans="1:11" ht="13.5" thickBot="1">
      <c r="A47" s="1014" t="s">
        <v>173</v>
      </c>
      <c r="B47" s="1017" t="s">
        <v>1896</v>
      </c>
      <c r="C47" s="1005" t="s">
        <v>172</v>
      </c>
      <c r="D47" s="1009">
        <v>100.18</v>
      </c>
      <c r="E47" s="1043">
        <f>$E$5</f>
        <v>1.004</v>
      </c>
      <c r="F47" s="1005" t="s">
        <v>13</v>
      </c>
      <c r="G47" s="1009">
        <v>8.36</v>
      </c>
      <c r="H47" s="1043">
        <f>$H$5</f>
        <v>1.01</v>
      </c>
      <c r="I47" s="1018">
        <f>ROUND((D47*E47),2)+ROUND((G47*H47),2)</f>
        <v>109.02</v>
      </c>
      <c r="J47" s="1009">
        <f>ROUND(D47*E47,2)</f>
        <v>100.58</v>
      </c>
      <c r="K47" s="1009">
        <f>ROUND(G47*H47,2)</f>
        <v>8.44</v>
      </c>
    </row>
    <row r="48" ht="12.75">
      <c r="I48" s="1020"/>
    </row>
    <row r="49" spans="2:9" ht="12.75">
      <c r="B49" s="1008" t="s">
        <v>2003</v>
      </c>
      <c r="I49" s="1020"/>
    </row>
    <row r="50" spans="2:9" ht="13.5" thickBot="1">
      <c r="B50" s="1010" t="s">
        <v>1510</v>
      </c>
      <c r="I50" s="1020"/>
    </row>
    <row r="51" spans="1:11" ht="12.75">
      <c r="A51" s="1011" t="s">
        <v>802</v>
      </c>
      <c r="B51" s="1012" t="s">
        <v>561</v>
      </c>
      <c r="C51" s="1005" t="s">
        <v>1326</v>
      </c>
      <c r="D51" s="1009">
        <v>94.2</v>
      </c>
      <c r="E51" s="1043">
        <f>$E$5</f>
        <v>1.004</v>
      </c>
      <c r="F51" s="1005" t="s">
        <v>14</v>
      </c>
      <c r="G51" s="1009">
        <v>13.01</v>
      </c>
      <c r="H51" s="1043">
        <f>$H$5</f>
        <v>1.01</v>
      </c>
      <c r="I51" s="1013">
        <f>ROUND((D51*E51),2)+ROUND((G51*H51),2)</f>
        <v>107.72</v>
      </c>
      <c r="J51" s="1009">
        <f>ROUND(D51*E51,2)</f>
        <v>94.58</v>
      </c>
      <c r="K51" s="1009">
        <f>ROUND(G51*H51,2)</f>
        <v>13.14</v>
      </c>
    </row>
    <row r="52" spans="1:11" ht="13.5" thickBot="1">
      <c r="A52" s="1016" t="s">
        <v>803</v>
      </c>
      <c r="B52" s="1012" t="s">
        <v>1287</v>
      </c>
      <c r="C52" s="1005" t="s">
        <v>1327</v>
      </c>
      <c r="D52" s="1009">
        <v>118.96</v>
      </c>
      <c r="E52" s="1043">
        <f>$E$5</f>
        <v>1.004</v>
      </c>
      <c r="F52" s="1005" t="s">
        <v>14</v>
      </c>
      <c r="G52" s="1009">
        <v>13.01</v>
      </c>
      <c r="H52" s="1043">
        <f>$H$5</f>
        <v>1.01</v>
      </c>
      <c r="I52" s="1018">
        <f>ROUND((D52*E52),2)+ROUND((G52*H52),2)</f>
        <v>132.57999999999998</v>
      </c>
      <c r="J52" s="1009">
        <f>ROUND(D52*E52,2)</f>
        <v>119.44</v>
      </c>
      <c r="K52" s="1009">
        <f>ROUND(G52*H52,2)</f>
        <v>13.14</v>
      </c>
    </row>
    <row r="53" ht="12.75">
      <c r="I53" s="1020"/>
    </row>
    <row r="54" spans="2:9" ht="13.5" thickBot="1">
      <c r="B54" s="1010" t="s">
        <v>2255</v>
      </c>
      <c r="I54" s="1020"/>
    </row>
    <row r="55" spans="1:11" ht="12.75">
      <c r="A55" s="1011" t="s">
        <v>804</v>
      </c>
      <c r="B55" s="1012" t="s">
        <v>2201</v>
      </c>
      <c r="C55" s="1005" t="s">
        <v>1328</v>
      </c>
      <c r="D55" s="1009">
        <v>198.2</v>
      </c>
      <c r="E55" s="1043">
        <f>$E$5</f>
        <v>1.004</v>
      </c>
      <c r="F55" s="1005" t="s">
        <v>15</v>
      </c>
      <c r="G55" s="1009">
        <v>19.08</v>
      </c>
      <c r="H55" s="1043">
        <f>$H$5</f>
        <v>1.01</v>
      </c>
      <c r="I55" s="1013">
        <f>ROUND((D55*E55),2)+ROUND((G55*H55),2)</f>
        <v>218.26000000000002</v>
      </c>
      <c r="J55" s="1009">
        <f>ROUND(D55*E55,2)</f>
        <v>198.99</v>
      </c>
      <c r="K55" s="1009">
        <f>ROUND(G55*H55,2)</f>
        <v>19.27</v>
      </c>
    </row>
    <row r="56" spans="1:11" ht="12.75">
      <c r="A56" s="1014" t="s">
        <v>805</v>
      </c>
      <c r="B56" s="1012" t="s">
        <v>1676</v>
      </c>
      <c r="C56" s="1005" t="s">
        <v>1329</v>
      </c>
      <c r="D56" s="1009">
        <v>137.3</v>
      </c>
      <c r="E56" s="1043">
        <f>$E$5</f>
        <v>1.004</v>
      </c>
      <c r="F56" s="1005" t="s">
        <v>15</v>
      </c>
      <c r="G56" s="1009">
        <v>19.08</v>
      </c>
      <c r="H56" s="1043">
        <f>$H$5</f>
        <v>1.01</v>
      </c>
      <c r="I56" s="1015">
        <f>ROUND((D56*E56),2)+ROUND((G56*H56),2)</f>
        <v>157.12</v>
      </c>
      <c r="J56" s="1009">
        <f>ROUND(D56*E56,2)</f>
        <v>137.85</v>
      </c>
      <c r="K56" s="1009">
        <f>ROUND(G56*H56,2)</f>
        <v>19.27</v>
      </c>
    </row>
    <row r="57" spans="1:11" ht="13.5" thickBot="1">
      <c r="A57" s="1016" t="s">
        <v>806</v>
      </c>
      <c r="B57" s="1012" t="s">
        <v>1288</v>
      </c>
      <c r="C57" s="1005" t="s">
        <v>1330</v>
      </c>
      <c r="D57" s="1009">
        <v>159.68</v>
      </c>
      <c r="E57" s="1043">
        <f>$E$5</f>
        <v>1.004</v>
      </c>
      <c r="F57" s="1005" t="s">
        <v>15</v>
      </c>
      <c r="G57" s="1009">
        <v>19.08</v>
      </c>
      <c r="H57" s="1043">
        <f>$H$5</f>
        <v>1.01</v>
      </c>
      <c r="I57" s="1018">
        <f>ROUND((D57*E57),2)+ROUND((G57*H57),2)</f>
        <v>179.59</v>
      </c>
      <c r="J57" s="1009">
        <f>ROUND(D57*E57,2)</f>
        <v>160.32</v>
      </c>
      <c r="K57" s="1009">
        <f>ROUND(G57*H57,2)</f>
        <v>19.27</v>
      </c>
    </row>
    <row r="58" spans="2:9" ht="12.75">
      <c r="B58" s="1019"/>
      <c r="I58" s="1020"/>
    </row>
    <row r="59" spans="2:9" ht="13.5" thickBot="1">
      <c r="B59" s="1010" t="s">
        <v>2256</v>
      </c>
      <c r="I59" s="1020"/>
    </row>
    <row r="60" spans="1:11" ht="12.75">
      <c r="A60" s="1011" t="s">
        <v>807</v>
      </c>
      <c r="B60" s="1012" t="s">
        <v>1740</v>
      </c>
      <c r="C60" s="1005" t="s">
        <v>1331</v>
      </c>
      <c r="D60" s="1009">
        <v>96.64</v>
      </c>
      <c r="E60" s="1043">
        <f aca="true" t="shared" si="18" ref="E60:E65">$E$5</f>
        <v>1.004</v>
      </c>
      <c r="F60" s="1005" t="s">
        <v>16</v>
      </c>
      <c r="G60" s="1009">
        <v>11.39</v>
      </c>
      <c r="H60" s="1043">
        <f aca="true" t="shared" si="19" ref="H60:H65">$H$5</f>
        <v>1.01</v>
      </c>
      <c r="I60" s="1013">
        <f aca="true" t="shared" si="20" ref="I60:I65">ROUND((D60*E60),2)+ROUND((G60*H60),2)</f>
        <v>108.53</v>
      </c>
      <c r="J60" s="1009">
        <f aca="true" t="shared" si="21" ref="J60:J65">ROUND(D60*E60,2)</f>
        <v>97.03</v>
      </c>
      <c r="K60" s="1009">
        <f aca="true" t="shared" si="22" ref="K60:K65">ROUND(G60*H60,2)</f>
        <v>11.5</v>
      </c>
    </row>
    <row r="61" spans="1:11" ht="12.75">
      <c r="A61" s="1014" t="s">
        <v>808</v>
      </c>
      <c r="B61" s="1012" t="s">
        <v>1289</v>
      </c>
      <c r="C61" s="1005" t="s">
        <v>1332</v>
      </c>
      <c r="D61" s="1009">
        <v>124.49</v>
      </c>
      <c r="E61" s="1043">
        <f t="shared" si="18"/>
        <v>1.004</v>
      </c>
      <c r="F61" s="1005" t="s">
        <v>16</v>
      </c>
      <c r="G61" s="1009">
        <v>11.39</v>
      </c>
      <c r="H61" s="1043">
        <f t="shared" si="19"/>
        <v>1.01</v>
      </c>
      <c r="I61" s="1015">
        <f t="shared" si="20"/>
        <v>136.49</v>
      </c>
      <c r="J61" s="1009">
        <f t="shared" si="21"/>
        <v>124.99</v>
      </c>
      <c r="K61" s="1009">
        <f t="shared" si="22"/>
        <v>11.5</v>
      </c>
    </row>
    <row r="62" spans="1:11" ht="12.75">
      <c r="A62" s="1014" t="s">
        <v>809</v>
      </c>
      <c r="B62" s="1012" t="s">
        <v>1570</v>
      </c>
      <c r="C62" s="1005" t="s">
        <v>1671</v>
      </c>
      <c r="D62" s="1009">
        <v>110.67</v>
      </c>
      <c r="E62" s="1043">
        <f t="shared" si="18"/>
        <v>1.004</v>
      </c>
      <c r="F62" s="1005" t="s">
        <v>16</v>
      </c>
      <c r="G62" s="1009">
        <v>11.39</v>
      </c>
      <c r="H62" s="1043">
        <f t="shared" si="19"/>
        <v>1.01</v>
      </c>
      <c r="I62" s="1015">
        <f t="shared" si="20"/>
        <v>122.61</v>
      </c>
      <c r="J62" s="1009">
        <f t="shared" si="21"/>
        <v>111.11</v>
      </c>
      <c r="K62" s="1009">
        <f t="shared" si="22"/>
        <v>11.5</v>
      </c>
    </row>
    <row r="63" spans="1:11" ht="12.75">
      <c r="A63" s="1014" t="s">
        <v>810</v>
      </c>
      <c r="B63" s="1012" t="s">
        <v>1289</v>
      </c>
      <c r="C63" s="1005" t="s">
        <v>1672</v>
      </c>
      <c r="D63" s="1009">
        <v>141.79</v>
      </c>
      <c r="E63" s="1043">
        <f t="shared" si="18"/>
        <v>1.004</v>
      </c>
      <c r="F63" s="1005" t="s">
        <v>16</v>
      </c>
      <c r="G63" s="1009">
        <v>11.39</v>
      </c>
      <c r="H63" s="1043">
        <f t="shared" si="19"/>
        <v>1.01</v>
      </c>
      <c r="I63" s="1015">
        <f t="shared" si="20"/>
        <v>153.86</v>
      </c>
      <c r="J63" s="1009">
        <f t="shared" si="21"/>
        <v>142.36</v>
      </c>
      <c r="K63" s="1009">
        <f t="shared" si="22"/>
        <v>11.5</v>
      </c>
    </row>
    <row r="64" spans="1:11" ht="12.75">
      <c r="A64" s="1014" t="s">
        <v>811</v>
      </c>
      <c r="B64" s="1012" t="s">
        <v>1316</v>
      </c>
      <c r="C64" s="1005" t="s">
        <v>1673</v>
      </c>
      <c r="D64" s="1009">
        <v>49.97</v>
      </c>
      <c r="E64" s="1043">
        <f t="shared" si="18"/>
        <v>1.004</v>
      </c>
      <c r="F64" s="1005" t="s">
        <v>16</v>
      </c>
      <c r="G64" s="1009">
        <v>11.39</v>
      </c>
      <c r="H64" s="1043">
        <f t="shared" si="19"/>
        <v>1.01</v>
      </c>
      <c r="I64" s="1015">
        <f t="shared" si="20"/>
        <v>61.67</v>
      </c>
      <c r="J64" s="1009">
        <f t="shared" si="21"/>
        <v>50.17</v>
      </c>
      <c r="K64" s="1009">
        <f t="shared" si="22"/>
        <v>11.5</v>
      </c>
    </row>
    <row r="65" spans="1:11" ht="13.5" thickBot="1">
      <c r="A65" s="1016" t="s">
        <v>812</v>
      </c>
      <c r="B65" s="1012" t="s">
        <v>217</v>
      </c>
      <c r="C65" s="1005" t="s">
        <v>1674</v>
      </c>
      <c r="D65" s="1009">
        <v>74.1</v>
      </c>
      <c r="E65" s="1043">
        <f t="shared" si="18"/>
        <v>1.004</v>
      </c>
      <c r="F65" s="1005" t="s">
        <v>16</v>
      </c>
      <c r="G65" s="1009">
        <v>11.39</v>
      </c>
      <c r="H65" s="1043">
        <f t="shared" si="19"/>
        <v>1.01</v>
      </c>
      <c r="I65" s="1018">
        <f t="shared" si="20"/>
        <v>85.9</v>
      </c>
      <c r="J65" s="1009">
        <f t="shared" si="21"/>
        <v>74.4</v>
      </c>
      <c r="K65" s="1009">
        <f t="shared" si="22"/>
        <v>11.5</v>
      </c>
    </row>
    <row r="66" spans="2:9" ht="12.75">
      <c r="B66" s="1019"/>
      <c r="I66" s="1020"/>
    </row>
    <row r="67" spans="2:9" ht="13.5" thickBot="1">
      <c r="B67" s="1010"/>
      <c r="I67" s="1020"/>
    </row>
    <row r="68" spans="2:11" ht="13.5" thickBot="1">
      <c r="B68" s="1021" t="s">
        <v>2257</v>
      </c>
      <c r="C68" s="1005" t="s">
        <v>1675</v>
      </c>
      <c r="D68" s="1009">
        <v>154.93</v>
      </c>
      <c r="E68" s="1043">
        <f>$E$5</f>
        <v>1.004</v>
      </c>
      <c r="F68" s="1005" t="s">
        <v>1675</v>
      </c>
      <c r="G68" s="1009">
        <v>13.37</v>
      </c>
      <c r="H68" s="1043">
        <f>$H$5</f>
        <v>1.01</v>
      </c>
      <c r="I68" s="1022">
        <f>ROUND((D68*E68),2)+ROUND((G68*H68),2)</f>
        <v>169.05</v>
      </c>
      <c r="J68" s="1009">
        <f>ROUND(D68*E68,2)</f>
        <v>155.55</v>
      </c>
      <c r="K68" s="1009">
        <f>ROUND(G68*H68,2)</f>
        <v>13.5</v>
      </c>
    </row>
    <row r="69" spans="2:9" ht="12.75">
      <c r="B69" s="1023"/>
      <c r="I69" s="1020"/>
    </row>
    <row r="70" spans="2:9" ht="13.5" thickBot="1">
      <c r="B70" s="1010" t="s">
        <v>211</v>
      </c>
      <c r="I70" s="1020"/>
    </row>
    <row r="71" spans="1:10" ht="12.75">
      <c r="A71" s="1011" t="s">
        <v>2169</v>
      </c>
      <c r="B71" s="1012" t="s">
        <v>2171</v>
      </c>
      <c r="C71" s="1005" t="s">
        <v>1322</v>
      </c>
      <c r="D71" s="1009">
        <v>304.54</v>
      </c>
      <c r="E71" s="1043">
        <f>$E$5</f>
        <v>1.004</v>
      </c>
      <c r="I71" s="1013">
        <f>ROUND((D71*E71),2)+ROUND((G71*H71),2)</f>
        <v>305.76</v>
      </c>
      <c r="J71" s="1009">
        <f>ROUND(D71*E71,2)</f>
        <v>305.76</v>
      </c>
    </row>
    <row r="72" spans="1:10" ht="12.75">
      <c r="A72" s="1014" t="s">
        <v>2168</v>
      </c>
      <c r="B72" s="1012" t="s">
        <v>1317</v>
      </c>
      <c r="C72" s="1005" t="s">
        <v>1321</v>
      </c>
      <c r="D72" s="1009">
        <v>304.54</v>
      </c>
      <c r="E72" s="1043">
        <f>$E$5</f>
        <v>1.004</v>
      </c>
      <c r="I72" s="1015">
        <f>ROUND((D72*E72),2)+ROUND((G72*H72),2)</f>
        <v>305.76</v>
      </c>
      <c r="J72" s="1009">
        <f>ROUND(D72*E72,2)</f>
        <v>305.76</v>
      </c>
    </row>
    <row r="73" spans="1:10" ht="12.75">
      <c r="A73" s="1014" t="s">
        <v>2170</v>
      </c>
      <c r="B73" s="1012" t="s">
        <v>1318</v>
      </c>
      <c r="C73" s="1005" t="s">
        <v>1323</v>
      </c>
      <c r="D73" s="1009">
        <v>858.43</v>
      </c>
      <c r="E73" s="1043">
        <f>$E$5</f>
        <v>1.004</v>
      </c>
      <c r="I73" s="1015">
        <f>ROUND((D73*E73),2)+ROUND((G73*H73),2)</f>
        <v>861.86</v>
      </c>
      <c r="J73" s="1009">
        <f>ROUND(D73*E73,2)</f>
        <v>861.86</v>
      </c>
    </row>
    <row r="74" spans="1:10" ht="12.75">
      <c r="A74" s="1014" t="s">
        <v>17</v>
      </c>
      <c r="B74" s="1012" t="s">
        <v>1320</v>
      </c>
      <c r="C74" s="1005" t="s">
        <v>1324</v>
      </c>
      <c r="D74" s="1009">
        <v>2483.7</v>
      </c>
      <c r="E74" s="1043">
        <f>$E$5</f>
        <v>1.004</v>
      </c>
      <c r="I74" s="1015">
        <f>ROUND((D74*E74),2)+ROUND((G74*H74),2)</f>
        <v>2493.63</v>
      </c>
      <c r="J74" s="1009">
        <f>ROUND(D74*E74,2)</f>
        <v>2493.63</v>
      </c>
    </row>
    <row r="75" spans="1:10" ht="13.5" thickBot="1">
      <c r="A75" s="1016" t="s">
        <v>18</v>
      </c>
      <c r="B75" s="1012" t="s">
        <v>1319</v>
      </c>
      <c r="C75" s="1005" t="s">
        <v>1325</v>
      </c>
      <c r="D75" s="1009">
        <v>1200.46</v>
      </c>
      <c r="E75" s="1043">
        <f>$E$5</f>
        <v>1.004</v>
      </c>
      <c r="I75" s="1018">
        <f>ROUND((D75*E75),2)+ROUND((G75*H75),2)</f>
        <v>1205.26</v>
      </c>
      <c r="J75" s="1009">
        <f>ROUND(D75*E75,2)</f>
        <v>1205.26</v>
      </c>
    </row>
    <row r="76" ht="12.75">
      <c r="I76" s="1020"/>
    </row>
    <row r="77" ht="12.75">
      <c r="I77" s="1020"/>
    </row>
    <row r="78" spans="2:9" ht="13.5" thickBot="1">
      <c r="B78" s="1010" t="s">
        <v>2258</v>
      </c>
      <c r="I78" s="1020"/>
    </row>
    <row r="79" spans="1:9" ht="12.75">
      <c r="A79" s="1011" t="s">
        <v>866</v>
      </c>
      <c r="B79" s="1024" t="s">
        <v>2158</v>
      </c>
      <c r="C79" s="1005" t="s">
        <v>1678</v>
      </c>
      <c r="D79" s="1009">
        <v>19.05</v>
      </c>
      <c r="E79" s="1043">
        <f aca="true" t="shared" si="23" ref="E79:E89">$E$5</f>
        <v>1.004</v>
      </c>
      <c r="I79" s="1013">
        <f aca="true" t="shared" si="24" ref="I79:I89">ROUND((D79*E79),2)+ROUND((G79*H79),2)</f>
        <v>19.13</v>
      </c>
    </row>
    <row r="80" spans="1:9" ht="12.75">
      <c r="A80" s="1014" t="s">
        <v>867</v>
      </c>
      <c r="B80" s="1024" t="s">
        <v>2159</v>
      </c>
      <c r="C80" s="1005" t="s">
        <v>1679</v>
      </c>
      <c r="D80" s="1009">
        <v>136.52</v>
      </c>
      <c r="E80" s="1043">
        <f t="shared" si="23"/>
        <v>1.004</v>
      </c>
      <c r="F80" s="1025" t="s">
        <v>1439</v>
      </c>
      <c r="G80" s="1009">
        <v>9.69</v>
      </c>
      <c r="H80" s="1043">
        <f aca="true" t="shared" si="25" ref="H80:H89">$H$5</f>
        <v>1.01</v>
      </c>
      <c r="I80" s="1015">
        <f t="shared" si="24"/>
        <v>146.85999999999999</v>
      </c>
    </row>
    <row r="81" spans="1:9" ht="12.75">
      <c r="A81" s="1014" t="s">
        <v>868</v>
      </c>
      <c r="B81" s="1024" t="s">
        <v>2160</v>
      </c>
      <c r="C81" s="1005" t="s">
        <v>1680</v>
      </c>
      <c r="D81" s="1009">
        <v>388.5</v>
      </c>
      <c r="E81" s="1043">
        <f t="shared" si="23"/>
        <v>1.004</v>
      </c>
      <c r="F81" s="1025" t="s">
        <v>1439</v>
      </c>
      <c r="G81" s="1009">
        <v>9.69</v>
      </c>
      <c r="H81" s="1043">
        <f t="shared" si="25"/>
        <v>1.01</v>
      </c>
      <c r="I81" s="1015">
        <f t="shared" si="24"/>
        <v>399.84000000000003</v>
      </c>
    </row>
    <row r="82" spans="1:9" ht="12.75">
      <c r="A82" s="1014" t="s">
        <v>869</v>
      </c>
      <c r="B82" s="1024" t="s">
        <v>2161</v>
      </c>
      <c r="C82" s="1005" t="s">
        <v>1681</v>
      </c>
      <c r="D82" s="1009">
        <v>128.71</v>
      </c>
      <c r="E82" s="1043">
        <f t="shared" si="23"/>
        <v>1.004</v>
      </c>
      <c r="F82" s="1025" t="s">
        <v>1439</v>
      </c>
      <c r="G82" s="1009">
        <v>9.69</v>
      </c>
      <c r="H82" s="1043">
        <f t="shared" si="25"/>
        <v>1.01</v>
      </c>
      <c r="I82" s="1015">
        <f t="shared" si="24"/>
        <v>139.01</v>
      </c>
    </row>
    <row r="83" spans="1:9" ht="12.75">
      <c r="A83" s="1014" t="s">
        <v>870</v>
      </c>
      <c r="B83" s="1024" t="s">
        <v>2162</v>
      </c>
      <c r="C83" s="1005" t="s">
        <v>1682</v>
      </c>
      <c r="D83" s="1009">
        <v>79.41</v>
      </c>
      <c r="E83" s="1043">
        <f t="shared" si="23"/>
        <v>1.004</v>
      </c>
      <c r="F83" s="1025" t="s">
        <v>1439</v>
      </c>
      <c r="G83" s="1009">
        <v>9.69</v>
      </c>
      <c r="H83" s="1043">
        <f t="shared" si="25"/>
        <v>1.01</v>
      </c>
      <c r="I83" s="1015">
        <f t="shared" si="24"/>
        <v>89.52000000000001</v>
      </c>
    </row>
    <row r="84" spans="1:9" ht="12.75">
      <c r="A84" s="1014" t="s">
        <v>871</v>
      </c>
      <c r="B84" s="1024" t="s">
        <v>893</v>
      </c>
      <c r="C84" s="1005" t="s">
        <v>1683</v>
      </c>
      <c r="D84" s="1009">
        <v>73.99</v>
      </c>
      <c r="E84" s="1043">
        <f t="shared" si="23"/>
        <v>1.004</v>
      </c>
      <c r="F84" s="1025" t="s">
        <v>1439</v>
      </c>
      <c r="G84" s="1009">
        <v>9.69</v>
      </c>
      <c r="H84" s="1043">
        <f t="shared" si="25"/>
        <v>1.01</v>
      </c>
      <c r="I84" s="1015">
        <f t="shared" si="24"/>
        <v>84.08000000000001</v>
      </c>
    </row>
    <row r="85" spans="1:9" ht="12.75">
      <c r="A85" s="1026" t="s">
        <v>1438</v>
      </c>
      <c r="B85" s="1024" t="s">
        <v>1437</v>
      </c>
      <c r="C85" s="1005" t="s">
        <v>1439</v>
      </c>
      <c r="D85" s="1009">
        <v>37</v>
      </c>
      <c r="E85" s="1043">
        <f t="shared" si="23"/>
        <v>1.004</v>
      </c>
      <c r="F85" s="1025" t="s">
        <v>1439</v>
      </c>
      <c r="G85" s="1009">
        <v>9.69</v>
      </c>
      <c r="H85" s="1043">
        <f t="shared" si="25"/>
        <v>1.01</v>
      </c>
      <c r="I85" s="1015">
        <f t="shared" si="24"/>
        <v>46.94</v>
      </c>
    </row>
    <row r="86" spans="1:9" ht="12.75">
      <c r="A86" s="1014" t="s">
        <v>872</v>
      </c>
      <c r="B86" s="1024" t="s">
        <v>2163</v>
      </c>
      <c r="C86" s="1005" t="s">
        <v>1684</v>
      </c>
      <c r="D86" s="1009">
        <v>48.26</v>
      </c>
      <c r="E86" s="1043">
        <f t="shared" si="23"/>
        <v>1.004</v>
      </c>
      <c r="F86" s="1025" t="s">
        <v>1439</v>
      </c>
      <c r="G86" s="1009">
        <v>9.69</v>
      </c>
      <c r="H86" s="1043">
        <f t="shared" si="25"/>
        <v>1.01</v>
      </c>
      <c r="I86" s="1015">
        <f t="shared" si="24"/>
        <v>58.24</v>
      </c>
    </row>
    <row r="87" spans="1:9" ht="12.75">
      <c r="A87" s="1014" t="s">
        <v>887</v>
      </c>
      <c r="B87" s="1024" t="s">
        <v>894</v>
      </c>
      <c r="C87" s="1005" t="s">
        <v>1685</v>
      </c>
      <c r="D87" s="1009">
        <v>180.64</v>
      </c>
      <c r="E87" s="1043">
        <f t="shared" si="23"/>
        <v>1.004</v>
      </c>
      <c r="F87" s="1025" t="s">
        <v>1439</v>
      </c>
      <c r="G87" s="1009">
        <v>9.69</v>
      </c>
      <c r="H87" s="1043">
        <f t="shared" si="25"/>
        <v>1.01</v>
      </c>
      <c r="I87" s="1015">
        <f t="shared" si="24"/>
        <v>191.15</v>
      </c>
    </row>
    <row r="88" spans="1:9" ht="12.75">
      <c r="A88" s="1014" t="s">
        <v>888</v>
      </c>
      <c r="B88" s="1024" t="s">
        <v>902</v>
      </c>
      <c r="C88" s="1005" t="s">
        <v>1686</v>
      </c>
      <c r="D88" s="1009">
        <v>700.4</v>
      </c>
      <c r="E88" s="1043">
        <f t="shared" si="23"/>
        <v>1.004</v>
      </c>
      <c r="F88" s="1025" t="s">
        <v>1439</v>
      </c>
      <c r="G88" s="1009">
        <v>9.69</v>
      </c>
      <c r="H88" s="1043">
        <f t="shared" si="25"/>
        <v>1.01</v>
      </c>
      <c r="I88" s="1015">
        <f t="shared" si="24"/>
        <v>712.99</v>
      </c>
    </row>
    <row r="89" spans="1:9" ht="13.5" thickBot="1">
      <c r="A89" s="1016" t="s">
        <v>889</v>
      </c>
      <c r="B89" s="1024" t="s">
        <v>2303</v>
      </c>
      <c r="C89" s="1005" t="s">
        <v>1687</v>
      </c>
      <c r="D89" s="1009">
        <v>28.3</v>
      </c>
      <c r="E89" s="1043">
        <f t="shared" si="23"/>
        <v>1.004</v>
      </c>
      <c r="F89" s="1025" t="s">
        <v>1687</v>
      </c>
      <c r="G89" s="1009">
        <v>7.82</v>
      </c>
      <c r="H89" s="1043">
        <f t="shared" si="25"/>
        <v>1.01</v>
      </c>
      <c r="I89" s="1018">
        <f t="shared" si="24"/>
        <v>36.31</v>
      </c>
    </row>
    <row r="90" spans="2:9" ht="12.75">
      <c r="B90" s="1027"/>
      <c r="F90" s="1025"/>
      <c r="I90" s="1020"/>
    </row>
    <row r="91" spans="2:9" ht="13.5" thickBot="1">
      <c r="B91" s="1010" t="s">
        <v>2259</v>
      </c>
      <c r="F91" s="1025"/>
      <c r="I91" s="1020"/>
    </row>
    <row r="92" spans="1:9" ht="12.75">
      <c r="A92" s="1011" t="s">
        <v>873</v>
      </c>
      <c r="B92" s="1024" t="s">
        <v>2158</v>
      </c>
      <c r="C92" s="1005" t="s">
        <v>2225</v>
      </c>
      <c r="D92" s="1009">
        <v>19.05</v>
      </c>
      <c r="E92" s="1043">
        <f aca="true" t="shared" si="26" ref="E92:E102">$E$5</f>
        <v>1.004</v>
      </c>
      <c r="I92" s="1013">
        <f aca="true" t="shared" si="27" ref="I92:I102">ROUND((D92*E92),2)+ROUND((G92*H92),2)</f>
        <v>19.13</v>
      </c>
    </row>
    <row r="93" spans="1:9" ht="12.75">
      <c r="A93" s="1014" t="s">
        <v>874</v>
      </c>
      <c r="B93" s="1024" t="s">
        <v>2159</v>
      </c>
      <c r="C93" s="1005" t="s">
        <v>1688</v>
      </c>
      <c r="D93" s="1009">
        <v>174.12</v>
      </c>
      <c r="E93" s="1043">
        <f t="shared" si="26"/>
        <v>1.004</v>
      </c>
      <c r="F93" s="1005" t="s">
        <v>1441</v>
      </c>
      <c r="G93" s="1009">
        <v>9.69</v>
      </c>
      <c r="H93" s="1043">
        <f aca="true" t="shared" si="28" ref="H93:H102">$H$5</f>
        <v>1.01</v>
      </c>
      <c r="I93" s="1015">
        <f t="shared" si="27"/>
        <v>184.60999999999999</v>
      </c>
    </row>
    <row r="94" spans="1:9" ht="12.75">
      <c r="A94" s="1014" t="s">
        <v>875</v>
      </c>
      <c r="B94" s="1024" t="s">
        <v>2160</v>
      </c>
      <c r="C94" s="1005" t="s">
        <v>1689</v>
      </c>
      <c r="D94" s="1009">
        <v>371.18</v>
      </c>
      <c r="E94" s="1043">
        <f t="shared" si="26"/>
        <v>1.004</v>
      </c>
      <c r="F94" s="1005" t="s">
        <v>1441</v>
      </c>
      <c r="G94" s="1009">
        <v>9.69</v>
      </c>
      <c r="H94" s="1043">
        <f t="shared" si="28"/>
        <v>1.01</v>
      </c>
      <c r="I94" s="1015">
        <f t="shared" si="27"/>
        <v>382.45000000000005</v>
      </c>
    </row>
    <row r="95" spans="1:9" ht="12.75">
      <c r="A95" s="1014" t="s">
        <v>876</v>
      </c>
      <c r="B95" s="1024" t="s">
        <v>2161</v>
      </c>
      <c r="C95" s="1005" t="s">
        <v>1690</v>
      </c>
      <c r="D95" s="1009">
        <v>83.92</v>
      </c>
      <c r="E95" s="1043">
        <f t="shared" si="26"/>
        <v>1.004</v>
      </c>
      <c r="F95" s="1005" t="s">
        <v>1441</v>
      </c>
      <c r="G95" s="1009">
        <v>9.69</v>
      </c>
      <c r="H95" s="1043">
        <f t="shared" si="28"/>
        <v>1.01</v>
      </c>
      <c r="I95" s="1015">
        <f t="shared" si="27"/>
        <v>94.05000000000001</v>
      </c>
    </row>
    <row r="96" spans="1:9" ht="12.75">
      <c r="A96" s="1014" t="s">
        <v>877</v>
      </c>
      <c r="B96" s="1024" t="s">
        <v>2162</v>
      </c>
      <c r="C96" s="1005" t="s">
        <v>1691</v>
      </c>
      <c r="D96" s="1009">
        <v>53.47</v>
      </c>
      <c r="E96" s="1043">
        <f t="shared" si="26"/>
        <v>1.004</v>
      </c>
      <c r="F96" s="1005" t="s">
        <v>1441</v>
      </c>
      <c r="G96" s="1009">
        <v>9.69</v>
      </c>
      <c r="H96" s="1043">
        <f t="shared" si="28"/>
        <v>1.01</v>
      </c>
      <c r="I96" s="1015">
        <f t="shared" si="27"/>
        <v>63.47</v>
      </c>
    </row>
    <row r="97" spans="1:9" ht="12.75">
      <c r="A97" s="1014" t="s">
        <v>878</v>
      </c>
      <c r="B97" s="1024" t="s">
        <v>893</v>
      </c>
      <c r="C97" s="1005" t="s">
        <v>1692</v>
      </c>
      <c r="D97" s="1009">
        <v>69.76</v>
      </c>
      <c r="E97" s="1043">
        <f t="shared" si="26"/>
        <v>1.004</v>
      </c>
      <c r="F97" s="1005" t="s">
        <v>1441</v>
      </c>
      <c r="G97" s="1009">
        <v>9.69</v>
      </c>
      <c r="H97" s="1043">
        <f t="shared" si="28"/>
        <v>1.01</v>
      </c>
      <c r="I97" s="1015">
        <f t="shared" si="27"/>
        <v>79.83000000000001</v>
      </c>
    </row>
    <row r="98" spans="1:9" ht="12.75">
      <c r="A98" s="1028" t="s">
        <v>1440</v>
      </c>
      <c r="B98" s="1024" t="s">
        <v>1437</v>
      </c>
      <c r="C98" s="1005" t="s">
        <v>1441</v>
      </c>
      <c r="D98" s="1009">
        <v>34.88</v>
      </c>
      <c r="E98" s="1043">
        <f t="shared" si="26"/>
        <v>1.004</v>
      </c>
      <c r="F98" s="1005" t="s">
        <v>1441</v>
      </c>
      <c r="G98" s="1009">
        <v>9.69</v>
      </c>
      <c r="H98" s="1043">
        <f t="shared" si="28"/>
        <v>1.01</v>
      </c>
      <c r="I98" s="1015">
        <f t="shared" si="27"/>
        <v>44.81</v>
      </c>
    </row>
    <row r="99" spans="1:9" ht="12.75">
      <c r="A99" s="1014" t="s">
        <v>879</v>
      </c>
      <c r="B99" s="1024" t="s">
        <v>2163</v>
      </c>
      <c r="C99" s="1005" t="s">
        <v>2221</v>
      </c>
      <c r="D99" s="1009">
        <v>45.26</v>
      </c>
      <c r="E99" s="1043">
        <f t="shared" si="26"/>
        <v>1.004</v>
      </c>
      <c r="F99" s="1005" t="s">
        <v>1441</v>
      </c>
      <c r="G99" s="1009">
        <v>9.69</v>
      </c>
      <c r="H99" s="1043">
        <f t="shared" si="28"/>
        <v>1.01</v>
      </c>
      <c r="I99" s="1015">
        <f t="shared" si="27"/>
        <v>55.23</v>
      </c>
    </row>
    <row r="100" spans="1:9" ht="12.75">
      <c r="A100" s="1014" t="s">
        <v>890</v>
      </c>
      <c r="B100" s="1024" t="s">
        <v>894</v>
      </c>
      <c r="C100" s="1005" t="s">
        <v>2222</v>
      </c>
      <c r="D100" s="1009">
        <v>180.64</v>
      </c>
      <c r="E100" s="1043">
        <f t="shared" si="26"/>
        <v>1.004</v>
      </c>
      <c r="F100" s="1005" t="s">
        <v>1441</v>
      </c>
      <c r="G100" s="1009">
        <v>9.69</v>
      </c>
      <c r="H100" s="1043">
        <f t="shared" si="28"/>
        <v>1.01</v>
      </c>
      <c r="I100" s="1015">
        <f t="shared" si="27"/>
        <v>191.15</v>
      </c>
    </row>
    <row r="101" spans="1:9" ht="12.75">
      <c r="A101" s="1014" t="s">
        <v>891</v>
      </c>
      <c r="B101" s="1024" t="s">
        <v>902</v>
      </c>
      <c r="C101" s="1005" t="s">
        <v>2223</v>
      </c>
      <c r="D101" s="1009">
        <v>700.4</v>
      </c>
      <c r="E101" s="1043">
        <f t="shared" si="26"/>
        <v>1.004</v>
      </c>
      <c r="F101" s="1005" t="s">
        <v>1441</v>
      </c>
      <c r="G101" s="1009">
        <v>9.69</v>
      </c>
      <c r="H101" s="1043">
        <f t="shared" si="28"/>
        <v>1.01</v>
      </c>
      <c r="I101" s="1015">
        <f t="shared" si="27"/>
        <v>712.99</v>
      </c>
    </row>
    <row r="102" spans="1:9" ht="13.5" thickBot="1">
      <c r="A102" s="1016" t="s">
        <v>892</v>
      </c>
      <c r="B102" s="1024" t="s">
        <v>2303</v>
      </c>
      <c r="C102" s="1005" t="s">
        <v>2224</v>
      </c>
      <c r="D102" s="1009">
        <v>28.3</v>
      </c>
      <c r="E102" s="1043">
        <f t="shared" si="26"/>
        <v>1.004</v>
      </c>
      <c r="F102" s="1005" t="s">
        <v>2224</v>
      </c>
      <c r="G102" s="1009">
        <v>7.82</v>
      </c>
      <c r="H102" s="1043">
        <f t="shared" si="28"/>
        <v>1.01</v>
      </c>
      <c r="I102" s="1018">
        <f t="shared" si="27"/>
        <v>36.31</v>
      </c>
    </row>
    <row r="103" ht="12.75">
      <c r="I103" s="1020"/>
    </row>
    <row r="104" spans="2:9" ht="13.5" thickBot="1">
      <c r="B104" s="1010" t="s">
        <v>2260</v>
      </c>
      <c r="I104" s="1020"/>
    </row>
    <row r="105" spans="1:9" ht="12.75">
      <c r="A105" s="1011" t="s">
        <v>592</v>
      </c>
      <c r="B105" s="1024" t="s">
        <v>2158</v>
      </c>
      <c r="C105" s="1005" t="s">
        <v>2226</v>
      </c>
      <c r="D105" s="1009">
        <v>19.05</v>
      </c>
      <c r="E105" s="1043">
        <f aca="true" t="shared" si="29" ref="E105:E115">$E$5</f>
        <v>1.004</v>
      </c>
      <c r="I105" s="1013">
        <f aca="true" t="shared" si="30" ref="I105:I115">ROUND((D105*E105),2)+ROUND((G105*H105),2)</f>
        <v>19.13</v>
      </c>
    </row>
    <row r="106" spans="1:9" ht="12.75">
      <c r="A106" s="1011" t="s">
        <v>593</v>
      </c>
      <c r="B106" s="1024" t="s">
        <v>2159</v>
      </c>
      <c r="C106" s="1005" t="s">
        <v>2227</v>
      </c>
      <c r="D106" s="1009">
        <v>174.12</v>
      </c>
      <c r="E106" s="1043">
        <f t="shared" si="29"/>
        <v>1.004</v>
      </c>
      <c r="F106" s="1005" t="s">
        <v>1443</v>
      </c>
      <c r="G106" s="1009">
        <v>9.69</v>
      </c>
      <c r="H106" s="1043">
        <f aca="true" t="shared" si="31" ref="H106:H115">$H$5</f>
        <v>1.01</v>
      </c>
      <c r="I106" s="1015">
        <f t="shared" si="30"/>
        <v>184.60999999999999</v>
      </c>
    </row>
    <row r="107" spans="1:9" ht="12.75">
      <c r="A107" s="1011" t="s">
        <v>594</v>
      </c>
      <c r="B107" s="1024" t="s">
        <v>2160</v>
      </c>
      <c r="C107" s="1005" t="s">
        <v>2228</v>
      </c>
      <c r="D107" s="1009">
        <v>371.18</v>
      </c>
      <c r="E107" s="1043">
        <f t="shared" si="29"/>
        <v>1.004</v>
      </c>
      <c r="F107" s="1005" t="s">
        <v>1443</v>
      </c>
      <c r="G107" s="1009">
        <v>9.69</v>
      </c>
      <c r="H107" s="1043">
        <f t="shared" si="31"/>
        <v>1.01</v>
      </c>
      <c r="I107" s="1015">
        <f t="shared" si="30"/>
        <v>382.45000000000005</v>
      </c>
    </row>
    <row r="108" spans="1:9" ht="12.75">
      <c r="A108" s="1011" t="s">
        <v>595</v>
      </c>
      <c r="B108" s="1024" t="s">
        <v>2161</v>
      </c>
      <c r="C108" s="1005" t="s">
        <v>2229</v>
      </c>
      <c r="D108" s="1009">
        <v>83.92</v>
      </c>
      <c r="E108" s="1043">
        <f t="shared" si="29"/>
        <v>1.004</v>
      </c>
      <c r="F108" s="1005" t="s">
        <v>1443</v>
      </c>
      <c r="G108" s="1009">
        <v>9.69</v>
      </c>
      <c r="H108" s="1043">
        <f t="shared" si="31"/>
        <v>1.01</v>
      </c>
      <c r="I108" s="1015">
        <f t="shared" si="30"/>
        <v>94.05000000000001</v>
      </c>
    </row>
    <row r="109" spans="1:9" ht="12.75">
      <c r="A109" s="1011" t="s">
        <v>596</v>
      </c>
      <c r="B109" s="1024" t="s">
        <v>2162</v>
      </c>
      <c r="C109" s="1005" t="s">
        <v>2230</v>
      </c>
      <c r="D109" s="1009">
        <v>53.47</v>
      </c>
      <c r="E109" s="1043">
        <f t="shared" si="29"/>
        <v>1.004</v>
      </c>
      <c r="F109" s="1005" t="s">
        <v>1443</v>
      </c>
      <c r="G109" s="1009">
        <v>9.69</v>
      </c>
      <c r="H109" s="1043">
        <f t="shared" si="31"/>
        <v>1.01</v>
      </c>
      <c r="I109" s="1015">
        <f t="shared" si="30"/>
        <v>63.47</v>
      </c>
    </row>
    <row r="110" spans="1:9" ht="12.75">
      <c r="A110" s="1011" t="s">
        <v>597</v>
      </c>
      <c r="B110" s="1024" t="s">
        <v>893</v>
      </c>
      <c r="C110" s="1005" t="s">
        <v>2231</v>
      </c>
      <c r="D110" s="1009">
        <v>69.76</v>
      </c>
      <c r="E110" s="1043">
        <f t="shared" si="29"/>
        <v>1.004</v>
      </c>
      <c r="F110" s="1005" t="s">
        <v>1443</v>
      </c>
      <c r="G110" s="1009">
        <v>9.69</v>
      </c>
      <c r="H110" s="1043">
        <f t="shared" si="31"/>
        <v>1.01</v>
      </c>
      <c r="I110" s="1015">
        <f t="shared" si="30"/>
        <v>79.83000000000001</v>
      </c>
    </row>
    <row r="111" spans="1:9" ht="12.75">
      <c r="A111" s="1028" t="s">
        <v>1442</v>
      </c>
      <c r="B111" s="1024" t="s">
        <v>1437</v>
      </c>
      <c r="C111" s="1005" t="s">
        <v>1443</v>
      </c>
      <c r="D111" s="1009">
        <v>34.88</v>
      </c>
      <c r="E111" s="1043">
        <f t="shared" si="29"/>
        <v>1.004</v>
      </c>
      <c r="F111" s="1005" t="s">
        <v>1443</v>
      </c>
      <c r="G111" s="1009">
        <v>9.69</v>
      </c>
      <c r="H111" s="1043">
        <f t="shared" si="31"/>
        <v>1.01</v>
      </c>
      <c r="I111" s="1015">
        <f t="shared" si="30"/>
        <v>44.81</v>
      </c>
    </row>
    <row r="112" spans="1:9" ht="12.75">
      <c r="A112" s="1011" t="s">
        <v>598</v>
      </c>
      <c r="B112" s="1024" t="s">
        <v>2163</v>
      </c>
      <c r="C112" s="1005" t="s">
        <v>2232</v>
      </c>
      <c r="D112" s="1009">
        <v>45.26</v>
      </c>
      <c r="E112" s="1043">
        <f t="shared" si="29"/>
        <v>1.004</v>
      </c>
      <c r="F112" s="1005" t="s">
        <v>1443</v>
      </c>
      <c r="G112" s="1009">
        <v>9.69</v>
      </c>
      <c r="H112" s="1043">
        <f t="shared" si="31"/>
        <v>1.01</v>
      </c>
      <c r="I112" s="1015">
        <f t="shared" si="30"/>
        <v>55.23</v>
      </c>
    </row>
    <row r="113" spans="1:9" ht="12.75">
      <c r="A113" s="1011" t="s">
        <v>599</v>
      </c>
      <c r="B113" s="1024" t="s">
        <v>894</v>
      </c>
      <c r="C113" s="1005" t="s">
        <v>2233</v>
      </c>
      <c r="D113" s="1009">
        <v>180.64</v>
      </c>
      <c r="E113" s="1043">
        <f t="shared" si="29"/>
        <v>1.004</v>
      </c>
      <c r="F113" s="1005" t="s">
        <v>1443</v>
      </c>
      <c r="G113" s="1009">
        <v>9.69</v>
      </c>
      <c r="H113" s="1043">
        <f t="shared" si="31"/>
        <v>1.01</v>
      </c>
      <c r="I113" s="1015">
        <f t="shared" si="30"/>
        <v>191.15</v>
      </c>
    </row>
    <row r="114" spans="1:9" ht="12.75">
      <c r="A114" s="1011" t="s">
        <v>600</v>
      </c>
      <c r="B114" s="1024" t="s">
        <v>902</v>
      </c>
      <c r="C114" s="1005" t="s">
        <v>2234</v>
      </c>
      <c r="D114" s="1009">
        <v>700.4</v>
      </c>
      <c r="E114" s="1043">
        <f t="shared" si="29"/>
        <v>1.004</v>
      </c>
      <c r="F114" s="1005" t="s">
        <v>1443</v>
      </c>
      <c r="G114" s="1009">
        <v>9.69</v>
      </c>
      <c r="H114" s="1043">
        <f t="shared" si="31"/>
        <v>1.01</v>
      </c>
      <c r="I114" s="1015">
        <f t="shared" si="30"/>
        <v>712.99</v>
      </c>
    </row>
    <row r="115" spans="1:9" ht="13.5" thickBot="1">
      <c r="A115" s="1011" t="s">
        <v>601</v>
      </c>
      <c r="B115" s="1024" t="s">
        <v>2303</v>
      </c>
      <c r="C115" s="1005" t="s">
        <v>2235</v>
      </c>
      <c r="D115" s="1009">
        <v>28.3</v>
      </c>
      <c r="E115" s="1043">
        <f t="shared" si="29"/>
        <v>1.004</v>
      </c>
      <c r="F115" s="1005" t="s">
        <v>2235</v>
      </c>
      <c r="G115" s="1009">
        <v>7.82</v>
      </c>
      <c r="H115" s="1043">
        <f t="shared" si="31"/>
        <v>1.01</v>
      </c>
      <c r="I115" s="1018">
        <f t="shared" si="30"/>
        <v>36.31</v>
      </c>
    </row>
    <row r="116" ht="12.75">
      <c r="I116" s="1020"/>
    </row>
    <row r="117" spans="2:9" ht="13.5" thickBot="1">
      <c r="B117" s="1029" t="s">
        <v>2261</v>
      </c>
      <c r="I117" s="1020"/>
    </row>
    <row r="118" spans="1:9" ht="12.75">
      <c r="A118" s="1011" t="s">
        <v>602</v>
      </c>
      <c r="B118" s="1024" t="s">
        <v>2158</v>
      </c>
      <c r="C118" s="1005" t="s">
        <v>2245</v>
      </c>
      <c r="D118" s="1009">
        <v>19.05</v>
      </c>
      <c r="E118" s="1043">
        <f aca="true" t="shared" si="32" ref="E118:E128">$E$5</f>
        <v>1.004</v>
      </c>
      <c r="I118" s="1013">
        <f aca="true" t="shared" si="33" ref="I118:I128">ROUND((D118*E118),2)+ROUND((G118*H118),2)</f>
        <v>19.13</v>
      </c>
    </row>
    <row r="119" spans="1:9" ht="12.75">
      <c r="A119" s="1011" t="s">
        <v>603</v>
      </c>
      <c r="B119" s="1024" t="s">
        <v>2159</v>
      </c>
      <c r="C119" s="1005" t="s">
        <v>2236</v>
      </c>
      <c r="D119" s="1009">
        <v>174.12</v>
      </c>
      <c r="E119" s="1043">
        <f t="shared" si="32"/>
        <v>1.004</v>
      </c>
      <c r="F119" s="1005" t="s">
        <v>1446</v>
      </c>
      <c r="G119" s="1009">
        <v>9.69</v>
      </c>
      <c r="H119" s="1043">
        <f aca="true" t="shared" si="34" ref="H119:H128">$H$5</f>
        <v>1.01</v>
      </c>
      <c r="I119" s="1015">
        <f t="shared" si="33"/>
        <v>184.60999999999999</v>
      </c>
    </row>
    <row r="120" spans="1:9" ht="12.75">
      <c r="A120" s="1011" t="s">
        <v>604</v>
      </c>
      <c r="B120" s="1024" t="s">
        <v>2160</v>
      </c>
      <c r="C120" s="1005" t="s">
        <v>2237</v>
      </c>
      <c r="D120" s="1009">
        <v>371.18</v>
      </c>
      <c r="E120" s="1043">
        <f t="shared" si="32"/>
        <v>1.004</v>
      </c>
      <c r="F120" s="1005" t="s">
        <v>1446</v>
      </c>
      <c r="G120" s="1009">
        <v>9.69</v>
      </c>
      <c r="H120" s="1043">
        <f t="shared" si="34"/>
        <v>1.01</v>
      </c>
      <c r="I120" s="1015">
        <f t="shared" si="33"/>
        <v>382.45000000000005</v>
      </c>
    </row>
    <row r="121" spans="1:9" ht="12.75">
      <c r="A121" s="1011" t="s">
        <v>605</v>
      </c>
      <c r="B121" s="1024" t="s">
        <v>2161</v>
      </c>
      <c r="C121" s="1005" t="s">
        <v>2238</v>
      </c>
      <c r="D121" s="1009">
        <v>83.92</v>
      </c>
      <c r="E121" s="1043">
        <f t="shared" si="32"/>
        <v>1.004</v>
      </c>
      <c r="F121" s="1005" t="s">
        <v>1446</v>
      </c>
      <c r="G121" s="1009">
        <v>9.69</v>
      </c>
      <c r="H121" s="1043">
        <f t="shared" si="34"/>
        <v>1.01</v>
      </c>
      <c r="I121" s="1015">
        <f t="shared" si="33"/>
        <v>94.05000000000001</v>
      </c>
    </row>
    <row r="122" spans="1:9" ht="12.75">
      <c r="A122" s="1011" t="s">
        <v>606</v>
      </c>
      <c r="B122" s="1024" t="s">
        <v>2162</v>
      </c>
      <c r="C122" s="1005" t="s">
        <v>2239</v>
      </c>
      <c r="D122" s="1009">
        <v>53.47</v>
      </c>
      <c r="E122" s="1043">
        <f t="shared" si="32"/>
        <v>1.004</v>
      </c>
      <c r="F122" s="1005" t="s">
        <v>1446</v>
      </c>
      <c r="G122" s="1009">
        <v>9.69</v>
      </c>
      <c r="H122" s="1043">
        <f t="shared" si="34"/>
        <v>1.01</v>
      </c>
      <c r="I122" s="1015">
        <f t="shared" si="33"/>
        <v>63.47</v>
      </c>
    </row>
    <row r="123" spans="1:9" ht="12.75">
      <c r="A123" s="1011" t="s">
        <v>607</v>
      </c>
      <c r="B123" s="1024" t="s">
        <v>893</v>
      </c>
      <c r="C123" s="1005" t="s">
        <v>2240</v>
      </c>
      <c r="D123" s="1009">
        <v>69.76</v>
      </c>
      <c r="E123" s="1043">
        <f t="shared" si="32"/>
        <v>1.004</v>
      </c>
      <c r="F123" s="1005" t="s">
        <v>1446</v>
      </c>
      <c r="G123" s="1009">
        <v>9.69</v>
      </c>
      <c r="H123" s="1043">
        <f t="shared" si="34"/>
        <v>1.01</v>
      </c>
      <c r="I123" s="1015">
        <f t="shared" si="33"/>
        <v>79.83000000000001</v>
      </c>
    </row>
    <row r="124" spans="1:9" ht="12.75">
      <c r="A124" s="1028" t="s">
        <v>1444</v>
      </c>
      <c r="B124" s="1024" t="s">
        <v>1437</v>
      </c>
      <c r="C124" s="1005" t="s">
        <v>1446</v>
      </c>
      <c r="D124" s="1009">
        <v>34.88</v>
      </c>
      <c r="E124" s="1043">
        <f t="shared" si="32"/>
        <v>1.004</v>
      </c>
      <c r="F124" s="1005" t="s">
        <v>1446</v>
      </c>
      <c r="G124" s="1009">
        <v>9.69</v>
      </c>
      <c r="H124" s="1043">
        <f t="shared" si="34"/>
        <v>1.01</v>
      </c>
      <c r="I124" s="1015">
        <f t="shared" si="33"/>
        <v>44.81</v>
      </c>
    </row>
    <row r="125" spans="1:9" ht="12.75">
      <c r="A125" s="1011" t="s">
        <v>608</v>
      </c>
      <c r="B125" s="1024" t="s">
        <v>2163</v>
      </c>
      <c r="C125" s="1005" t="s">
        <v>2241</v>
      </c>
      <c r="D125" s="1009">
        <v>45.26</v>
      </c>
      <c r="E125" s="1043">
        <f t="shared" si="32"/>
        <v>1.004</v>
      </c>
      <c r="F125" s="1005" t="s">
        <v>1446</v>
      </c>
      <c r="G125" s="1009">
        <v>9.69</v>
      </c>
      <c r="H125" s="1043">
        <f t="shared" si="34"/>
        <v>1.01</v>
      </c>
      <c r="I125" s="1015">
        <f t="shared" si="33"/>
        <v>55.23</v>
      </c>
    </row>
    <row r="126" spans="1:9" ht="12.75">
      <c r="A126" s="1011" t="s">
        <v>609</v>
      </c>
      <c r="B126" s="1024" t="s">
        <v>894</v>
      </c>
      <c r="C126" s="1005" t="s">
        <v>2242</v>
      </c>
      <c r="D126" s="1009">
        <v>180.64</v>
      </c>
      <c r="E126" s="1043">
        <f t="shared" si="32"/>
        <v>1.004</v>
      </c>
      <c r="F126" s="1005" t="s">
        <v>1446</v>
      </c>
      <c r="G126" s="1009">
        <v>9.69</v>
      </c>
      <c r="H126" s="1043">
        <f t="shared" si="34"/>
        <v>1.01</v>
      </c>
      <c r="I126" s="1015">
        <f t="shared" si="33"/>
        <v>191.15</v>
      </c>
    </row>
    <row r="127" spans="1:9" ht="12.75">
      <c r="A127" s="1011" t="s">
        <v>610</v>
      </c>
      <c r="B127" s="1024" t="s">
        <v>902</v>
      </c>
      <c r="C127" s="1005" t="s">
        <v>2243</v>
      </c>
      <c r="D127" s="1009">
        <v>700.4</v>
      </c>
      <c r="E127" s="1043">
        <f t="shared" si="32"/>
        <v>1.004</v>
      </c>
      <c r="F127" s="1005" t="s">
        <v>1446</v>
      </c>
      <c r="G127" s="1009">
        <v>9.69</v>
      </c>
      <c r="H127" s="1043">
        <f t="shared" si="34"/>
        <v>1.01</v>
      </c>
      <c r="I127" s="1015">
        <f t="shared" si="33"/>
        <v>712.99</v>
      </c>
    </row>
    <row r="128" spans="1:9" ht="13.5" thickBot="1">
      <c r="A128" s="1011" t="s">
        <v>611</v>
      </c>
      <c r="B128" s="1024" t="s">
        <v>2303</v>
      </c>
      <c r="C128" s="1005" t="s">
        <v>2244</v>
      </c>
      <c r="D128" s="1009">
        <v>28.3</v>
      </c>
      <c r="E128" s="1043">
        <f t="shared" si="32"/>
        <v>1.004</v>
      </c>
      <c r="F128" s="1005" t="s">
        <v>2244</v>
      </c>
      <c r="G128" s="1009">
        <v>7.82</v>
      </c>
      <c r="H128" s="1043">
        <f t="shared" si="34"/>
        <v>1.01</v>
      </c>
      <c r="I128" s="1018">
        <f t="shared" si="33"/>
        <v>36.31</v>
      </c>
    </row>
    <row r="129" ht="12.75">
      <c r="I129" s="1020"/>
    </row>
    <row r="130" spans="2:9" ht="13.5" thickBot="1">
      <c r="B130" s="1010" t="s">
        <v>1563</v>
      </c>
      <c r="I130" s="1020"/>
    </row>
    <row r="131" spans="1:9" ht="12.75">
      <c r="A131" s="1011" t="s">
        <v>880</v>
      </c>
      <c r="B131" s="1024" t="s">
        <v>2158</v>
      </c>
      <c r="C131" s="1005" t="s">
        <v>662</v>
      </c>
      <c r="D131" s="1009">
        <v>19.05</v>
      </c>
      <c r="E131" s="1043">
        <f aca="true" t="shared" si="35" ref="E131:E138">$E$5</f>
        <v>1.004</v>
      </c>
      <c r="F131" s="1025"/>
      <c r="I131" s="1013">
        <f aca="true" t="shared" si="36" ref="I131:I138">ROUND((D131*E131),2)+ROUND((G131*H131),2)</f>
        <v>19.13</v>
      </c>
    </row>
    <row r="132" spans="1:9" ht="12.75">
      <c r="A132" s="1014" t="s">
        <v>881</v>
      </c>
      <c r="B132" s="1024" t="s">
        <v>2159</v>
      </c>
      <c r="C132" s="1005" t="s">
        <v>663</v>
      </c>
      <c r="D132" s="1009">
        <v>341.27</v>
      </c>
      <c r="E132" s="1043">
        <f t="shared" si="35"/>
        <v>1.004</v>
      </c>
      <c r="F132" s="1025" t="s">
        <v>1447</v>
      </c>
      <c r="G132" s="1009">
        <v>9.62</v>
      </c>
      <c r="H132" s="1043">
        <f aca="true" t="shared" si="37" ref="H132:H138">$H$5</f>
        <v>1.01</v>
      </c>
      <c r="I132" s="1015">
        <f t="shared" si="36"/>
        <v>352.36</v>
      </c>
    </row>
    <row r="133" spans="1:9" ht="12.75">
      <c r="A133" s="1014" t="s">
        <v>882</v>
      </c>
      <c r="B133" s="1024" t="s">
        <v>2161</v>
      </c>
      <c r="C133" s="1005" t="s">
        <v>664</v>
      </c>
      <c r="D133" s="1009">
        <v>175.42</v>
      </c>
      <c r="E133" s="1043">
        <f t="shared" si="35"/>
        <v>1.004</v>
      </c>
      <c r="F133" s="1025" t="s">
        <v>1447</v>
      </c>
      <c r="G133" s="1009">
        <v>9.62</v>
      </c>
      <c r="H133" s="1043">
        <f t="shared" si="37"/>
        <v>1.01</v>
      </c>
      <c r="I133" s="1015">
        <f t="shared" si="36"/>
        <v>185.84</v>
      </c>
    </row>
    <row r="134" spans="1:9" ht="12.75">
      <c r="A134" s="1014" t="s">
        <v>883</v>
      </c>
      <c r="B134" s="1024" t="s">
        <v>2162</v>
      </c>
      <c r="C134" s="1005" t="s">
        <v>665</v>
      </c>
      <c r="D134" s="1009">
        <v>99.78</v>
      </c>
      <c r="E134" s="1043">
        <f t="shared" si="35"/>
        <v>1.004</v>
      </c>
      <c r="F134" s="1025" t="s">
        <v>1447</v>
      </c>
      <c r="G134" s="1009">
        <v>9.62</v>
      </c>
      <c r="H134" s="1043">
        <f t="shared" si="37"/>
        <v>1.01</v>
      </c>
      <c r="I134" s="1015">
        <f t="shared" si="36"/>
        <v>109.9</v>
      </c>
    </row>
    <row r="135" spans="1:9" ht="12.75">
      <c r="A135" s="1014" t="s">
        <v>884</v>
      </c>
      <c r="B135" s="1024" t="s">
        <v>893</v>
      </c>
      <c r="C135" s="1005" t="s">
        <v>666</v>
      </c>
      <c r="D135" s="1009">
        <v>91.58</v>
      </c>
      <c r="E135" s="1043">
        <f t="shared" si="35"/>
        <v>1.004</v>
      </c>
      <c r="F135" s="1025" t="s">
        <v>1447</v>
      </c>
      <c r="G135" s="1009">
        <v>9.62</v>
      </c>
      <c r="H135" s="1043">
        <f t="shared" si="37"/>
        <v>1.01</v>
      </c>
      <c r="I135" s="1015">
        <f t="shared" si="36"/>
        <v>101.67</v>
      </c>
    </row>
    <row r="136" spans="1:9" ht="12.75">
      <c r="A136" s="1028" t="s">
        <v>1445</v>
      </c>
      <c r="B136" s="1024" t="s">
        <v>1437</v>
      </c>
      <c r="C136" s="1005" t="s">
        <v>1447</v>
      </c>
      <c r="D136" s="1009">
        <v>45.79</v>
      </c>
      <c r="E136" s="1043">
        <f t="shared" si="35"/>
        <v>1.004</v>
      </c>
      <c r="F136" s="1025" t="s">
        <v>1447</v>
      </c>
      <c r="G136" s="1009">
        <v>9.62</v>
      </c>
      <c r="H136" s="1043">
        <f t="shared" si="37"/>
        <v>1.01</v>
      </c>
      <c r="I136" s="1015">
        <f t="shared" si="36"/>
        <v>55.69</v>
      </c>
    </row>
    <row r="137" spans="1:9" ht="12.75">
      <c r="A137" s="1030" t="s">
        <v>2246</v>
      </c>
      <c r="B137" s="1024" t="s">
        <v>2163</v>
      </c>
      <c r="C137" s="1005" t="s">
        <v>667</v>
      </c>
      <c r="D137" s="1009">
        <v>61.63</v>
      </c>
      <c r="E137" s="1043">
        <f t="shared" si="35"/>
        <v>1.004</v>
      </c>
      <c r="F137" s="1025" t="s">
        <v>1447</v>
      </c>
      <c r="G137" s="1009">
        <v>9.62</v>
      </c>
      <c r="H137" s="1043">
        <f t="shared" si="37"/>
        <v>1.01</v>
      </c>
      <c r="I137" s="1015">
        <f t="shared" si="36"/>
        <v>71.60000000000001</v>
      </c>
    </row>
    <row r="138" spans="1:9" ht="13.5" thickBot="1">
      <c r="A138" s="1028" t="s">
        <v>2279</v>
      </c>
      <c r="B138" s="1024" t="s">
        <v>2303</v>
      </c>
      <c r="C138" s="1005" t="s">
        <v>900</v>
      </c>
      <c r="D138" s="1009">
        <v>71.92</v>
      </c>
      <c r="E138" s="1043">
        <f t="shared" si="35"/>
        <v>1.004</v>
      </c>
      <c r="F138" s="1025" t="s">
        <v>900</v>
      </c>
      <c r="G138" s="1009">
        <v>19.87</v>
      </c>
      <c r="H138" s="1043">
        <f t="shared" si="37"/>
        <v>1.01</v>
      </c>
      <c r="I138" s="1018">
        <f t="shared" si="36"/>
        <v>92.28</v>
      </c>
    </row>
    <row r="139" spans="2:9" ht="12.75">
      <c r="B139" s="1027"/>
      <c r="F139" s="1025"/>
      <c r="I139" s="1020"/>
    </row>
    <row r="140" spans="2:9" ht="13.5" thickBot="1">
      <c r="B140" s="1027"/>
      <c r="F140" s="1025"/>
      <c r="I140" s="1020"/>
    </row>
    <row r="141" spans="1:9" ht="12.75">
      <c r="A141" s="1011" t="s">
        <v>813</v>
      </c>
      <c r="B141" s="1031" t="s">
        <v>1448</v>
      </c>
      <c r="C141" s="1005" t="s">
        <v>1451</v>
      </c>
      <c r="D141" s="1009">
        <v>60.07</v>
      </c>
      <c r="E141" s="1043">
        <f>$E$5</f>
        <v>1.004</v>
      </c>
      <c r="F141" s="1005" t="s">
        <v>19</v>
      </c>
      <c r="G141" s="1009">
        <v>4.8</v>
      </c>
      <c r="H141" s="1043">
        <f>$H$5</f>
        <v>1.01</v>
      </c>
      <c r="I141" s="1013">
        <f>ROUND((D141*E141),2)+ROUND((G141*H141),2)</f>
        <v>65.16</v>
      </c>
    </row>
    <row r="142" spans="1:9" ht="13.5" thickBot="1">
      <c r="A142" s="1014" t="s">
        <v>813</v>
      </c>
      <c r="B142" s="1031" t="s">
        <v>1449</v>
      </c>
      <c r="C142" s="1005" t="s">
        <v>1450</v>
      </c>
      <c r="D142" s="1009">
        <v>60.07</v>
      </c>
      <c r="E142" s="1043">
        <f>$E$5</f>
        <v>1.004</v>
      </c>
      <c r="F142" s="1005" t="s">
        <v>19</v>
      </c>
      <c r="G142" s="1009">
        <v>4.8</v>
      </c>
      <c r="H142" s="1043">
        <f>$H$5</f>
        <v>1.01</v>
      </c>
      <c r="I142" s="1018">
        <f>ROUND((D142*E142),2)+ROUND((G142*H142),2)</f>
        <v>65.16</v>
      </c>
    </row>
    <row r="143" ht="12.75">
      <c r="I143" s="1020"/>
    </row>
    <row r="144" spans="2:9" ht="13.5" thickBot="1">
      <c r="B144" s="1010" t="s">
        <v>1743</v>
      </c>
      <c r="I144" s="1020"/>
    </row>
    <row r="145" spans="1:9" ht="12.75">
      <c r="A145" s="1014" t="s">
        <v>814</v>
      </c>
      <c r="B145" s="1012" t="s">
        <v>2280</v>
      </c>
      <c r="C145" s="1005" t="s">
        <v>895</v>
      </c>
      <c r="D145" s="1009">
        <v>114.8</v>
      </c>
      <c r="E145" s="1043">
        <f aca="true" t="shared" si="38" ref="E145:E151">$E$5</f>
        <v>1.004</v>
      </c>
      <c r="F145" s="1005" t="s">
        <v>20</v>
      </c>
      <c r="G145" s="1009">
        <v>12.03</v>
      </c>
      <c r="H145" s="1043">
        <f aca="true" t="shared" si="39" ref="H145:H151">$H$5</f>
        <v>1.01</v>
      </c>
      <c r="I145" s="1013">
        <f aca="true" t="shared" si="40" ref="I145:I151">ROUND((D145*E145),2)+ROUND((G145*H145),2)</f>
        <v>127.41000000000001</v>
      </c>
    </row>
    <row r="146" spans="1:9" ht="12.75">
      <c r="A146" s="1014" t="s">
        <v>814</v>
      </c>
      <c r="B146" s="1012" t="s">
        <v>847</v>
      </c>
      <c r="C146" s="1005" t="s">
        <v>896</v>
      </c>
      <c r="D146" s="1009">
        <v>114.8</v>
      </c>
      <c r="E146" s="1043">
        <f t="shared" si="38"/>
        <v>1.004</v>
      </c>
      <c r="F146" s="1005" t="s">
        <v>20</v>
      </c>
      <c r="G146" s="1009">
        <v>12.03</v>
      </c>
      <c r="H146" s="1043">
        <f t="shared" si="39"/>
        <v>1.01</v>
      </c>
      <c r="I146" s="1015">
        <f t="shared" si="40"/>
        <v>127.41000000000001</v>
      </c>
    </row>
    <row r="147" spans="1:9" ht="12.75">
      <c r="A147" s="1014" t="s">
        <v>815</v>
      </c>
      <c r="B147" s="1012" t="s">
        <v>1572</v>
      </c>
      <c r="C147" s="1005" t="s">
        <v>222</v>
      </c>
      <c r="D147" s="1009">
        <v>132.78</v>
      </c>
      <c r="E147" s="1043">
        <f t="shared" si="38"/>
        <v>1.004</v>
      </c>
      <c r="F147" s="1005" t="s">
        <v>222</v>
      </c>
      <c r="G147" s="1009">
        <v>11.02</v>
      </c>
      <c r="H147" s="1043">
        <f t="shared" si="39"/>
        <v>1.01</v>
      </c>
      <c r="I147" s="1015">
        <f t="shared" si="40"/>
        <v>144.44</v>
      </c>
    </row>
    <row r="148" spans="1:9" ht="12.75">
      <c r="A148" s="1014" t="s">
        <v>2060</v>
      </c>
      <c r="B148" s="1014" t="s">
        <v>21</v>
      </c>
      <c r="C148" s="1005" t="s">
        <v>862</v>
      </c>
      <c r="D148" s="1009">
        <v>1293</v>
      </c>
      <c r="E148" s="1043">
        <f t="shared" si="38"/>
        <v>1.004</v>
      </c>
      <c r="F148" s="1005" t="str">
        <f>C148</f>
        <v>LZAC</v>
      </c>
      <c r="G148" s="1009">
        <v>181.28</v>
      </c>
      <c r="H148" s="1043">
        <f t="shared" si="39"/>
        <v>1.01</v>
      </c>
      <c r="I148" s="1015">
        <f t="shared" si="40"/>
        <v>1481.26</v>
      </c>
    </row>
    <row r="149" spans="1:9" ht="12.75">
      <c r="A149" s="1014" t="s">
        <v>817</v>
      </c>
      <c r="B149" s="1017" t="s">
        <v>1573</v>
      </c>
      <c r="C149" s="1005" t="s">
        <v>897</v>
      </c>
      <c r="D149" s="1009">
        <v>66.03</v>
      </c>
      <c r="E149" s="1043">
        <f t="shared" si="38"/>
        <v>1.004</v>
      </c>
      <c r="F149" s="1005" t="s">
        <v>897</v>
      </c>
      <c r="G149" s="1009">
        <v>9.26</v>
      </c>
      <c r="H149" s="1043">
        <f t="shared" si="39"/>
        <v>1.01</v>
      </c>
      <c r="I149" s="1015">
        <f t="shared" si="40"/>
        <v>75.64</v>
      </c>
    </row>
    <row r="150" spans="1:9" ht="12.75">
      <c r="A150" s="1014" t="s">
        <v>2059</v>
      </c>
      <c r="B150" s="1032" t="s">
        <v>2013</v>
      </c>
      <c r="C150" s="1005" t="s">
        <v>898</v>
      </c>
      <c r="D150" s="1009">
        <v>2162.24</v>
      </c>
      <c r="E150" s="1043">
        <f t="shared" si="38"/>
        <v>1.004</v>
      </c>
      <c r="F150" s="1005" t="s">
        <v>898</v>
      </c>
      <c r="G150" s="1009">
        <v>793.9</v>
      </c>
      <c r="H150" s="1043">
        <f t="shared" si="39"/>
        <v>1.01</v>
      </c>
      <c r="I150" s="1015">
        <f t="shared" si="40"/>
        <v>2972.73</v>
      </c>
    </row>
    <row r="151" spans="1:9" ht="13.5" thickBot="1">
      <c r="A151" s="1014" t="s">
        <v>818</v>
      </c>
      <c r="B151" s="1012" t="s">
        <v>1574</v>
      </c>
      <c r="C151" s="1005" t="s">
        <v>899</v>
      </c>
      <c r="D151" s="1009">
        <v>5.11</v>
      </c>
      <c r="E151" s="1043">
        <f t="shared" si="38"/>
        <v>1.004</v>
      </c>
      <c r="F151" s="1005" t="s">
        <v>899</v>
      </c>
      <c r="G151" s="1009">
        <v>2.28</v>
      </c>
      <c r="H151" s="1043">
        <f t="shared" si="39"/>
        <v>1.01</v>
      </c>
      <c r="I151" s="1018">
        <f t="shared" si="40"/>
        <v>7.43</v>
      </c>
    </row>
    <row r="152" spans="2:9" ht="12.75">
      <c r="B152" s="1019"/>
      <c r="I152" s="1020"/>
    </row>
    <row r="153" spans="2:9" ht="13.5" thickBot="1">
      <c r="B153" s="1019"/>
      <c r="I153" s="1020"/>
    </row>
    <row r="154" spans="2:11" ht="12.75">
      <c r="B154" s="1012" t="s">
        <v>906</v>
      </c>
      <c r="C154" s="1005" t="s">
        <v>2172</v>
      </c>
      <c r="D154" s="1009">
        <v>15609.92</v>
      </c>
      <c r="E154" s="1043">
        <f aca="true" t="shared" si="41" ref="E154:E167">$E$5</f>
        <v>1.004</v>
      </c>
      <c r="F154" s="1005" t="str">
        <f aca="true" t="shared" si="42" ref="F154:F160">C154</f>
        <v>BAD</v>
      </c>
      <c r="G154" s="1009">
        <v>4137.97</v>
      </c>
      <c r="H154" s="1043">
        <f aca="true" t="shared" si="43" ref="H154:H167">$H$5</f>
        <v>1.01</v>
      </c>
      <c r="I154" s="1013">
        <f aca="true" t="shared" si="44" ref="I154:I167">ROUND((D154*E154),2)+ROUND((G154*H154),2)</f>
        <v>19851.71</v>
      </c>
      <c r="J154" s="1009">
        <f aca="true" t="shared" si="45" ref="J154:J165">ROUND(D154*E154,2)</f>
        <v>15672.36</v>
      </c>
      <c r="K154" s="1009">
        <f aca="true" t="shared" si="46" ref="K154:K165">ROUND(G154*H154,2)</f>
        <v>4179.35</v>
      </c>
    </row>
    <row r="155" spans="2:11" ht="12.75">
      <c r="B155" s="1012" t="s">
        <v>1513</v>
      </c>
      <c r="C155" s="1005" t="s">
        <v>1517</v>
      </c>
      <c r="D155" s="1009">
        <v>48383.23</v>
      </c>
      <c r="E155" s="1043">
        <f t="shared" si="41"/>
        <v>1.004</v>
      </c>
      <c r="F155" s="1005" t="str">
        <f t="shared" si="42"/>
        <v>BKZ</v>
      </c>
      <c r="G155" s="1009">
        <v>3240.72</v>
      </c>
      <c r="H155" s="1043">
        <f t="shared" si="43"/>
        <v>1.01</v>
      </c>
      <c r="I155" s="1015">
        <f t="shared" si="44"/>
        <v>51849.89</v>
      </c>
      <c r="J155" s="1009">
        <f t="shared" si="45"/>
        <v>48576.76</v>
      </c>
      <c r="K155" s="1009">
        <f t="shared" si="46"/>
        <v>3273.13</v>
      </c>
    </row>
    <row r="156" spans="2:11" ht="12.75">
      <c r="B156" s="1012" t="s">
        <v>1726</v>
      </c>
      <c r="C156" s="1005" t="s">
        <v>1518</v>
      </c>
      <c r="D156" s="1009">
        <v>24423.55</v>
      </c>
      <c r="E156" s="1043">
        <f t="shared" si="41"/>
        <v>1.004</v>
      </c>
      <c r="F156" s="1005" t="str">
        <f t="shared" si="42"/>
        <v>BKB</v>
      </c>
      <c r="G156" s="1009">
        <v>3240.72</v>
      </c>
      <c r="H156" s="1043">
        <f t="shared" si="43"/>
        <v>1.01</v>
      </c>
      <c r="I156" s="1015">
        <f t="shared" si="44"/>
        <v>27794.370000000003</v>
      </c>
      <c r="J156" s="1009">
        <f t="shared" si="45"/>
        <v>24521.24</v>
      </c>
      <c r="K156" s="1009">
        <f t="shared" si="46"/>
        <v>3273.13</v>
      </c>
    </row>
    <row r="157" spans="2:11" ht="12.75">
      <c r="B157" s="1012" t="s">
        <v>907</v>
      </c>
      <c r="C157" s="1005" t="s">
        <v>1519</v>
      </c>
      <c r="D157" s="1009">
        <v>17961.83</v>
      </c>
      <c r="E157" s="1043">
        <f t="shared" si="41"/>
        <v>1.004</v>
      </c>
      <c r="F157" s="1005" t="str">
        <f t="shared" si="42"/>
        <v>BKO</v>
      </c>
      <c r="G157" s="1009">
        <v>3240.72</v>
      </c>
      <c r="H157" s="1043">
        <f t="shared" si="43"/>
        <v>1.01</v>
      </c>
      <c r="I157" s="1015">
        <f t="shared" si="44"/>
        <v>21306.81</v>
      </c>
      <c r="J157" s="1009">
        <f t="shared" si="45"/>
        <v>18033.68</v>
      </c>
      <c r="K157" s="1009">
        <f t="shared" si="46"/>
        <v>3273.13</v>
      </c>
    </row>
    <row r="158" spans="2:11" ht="12.75">
      <c r="B158" s="1012" t="s">
        <v>1730</v>
      </c>
      <c r="C158" s="1005" t="s">
        <v>1731</v>
      </c>
      <c r="D158" s="1009">
        <v>10211.53</v>
      </c>
      <c r="E158" s="1043">
        <f t="shared" si="41"/>
        <v>1.004</v>
      </c>
      <c r="F158" s="1005" t="str">
        <f t="shared" si="42"/>
        <v>BKL</v>
      </c>
      <c r="G158" s="1009">
        <v>1795.26</v>
      </c>
      <c r="H158" s="1043">
        <f t="shared" si="43"/>
        <v>1.01</v>
      </c>
      <c r="I158" s="1015">
        <f t="shared" si="44"/>
        <v>12065.59</v>
      </c>
      <c r="J158" s="1009">
        <f t="shared" si="45"/>
        <v>10252.38</v>
      </c>
      <c r="K158" s="1009">
        <f t="shared" si="46"/>
        <v>1813.21</v>
      </c>
    </row>
    <row r="159" spans="2:11" ht="12.75">
      <c r="B159" s="1012" t="s">
        <v>920</v>
      </c>
      <c r="C159" s="1005" t="s">
        <v>1525</v>
      </c>
      <c r="D159" s="1009">
        <v>15705.49</v>
      </c>
      <c r="E159" s="1043">
        <f t="shared" si="41"/>
        <v>1.004</v>
      </c>
      <c r="F159" s="1005" t="str">
        <f t="shared" si="42"/>
        <v>BO</v>
      </c>
      <c r="G159" s="1009">
        <v>2661.54</v>
      </c>
      <c r="H159" s="1043">
        <f t="shared" si="43"/>
        <v>1.01</v>
      </c>
      <c r="I159" s="1015">
        <f t="shared" si="44"/>
        <v>18456.47</v>
      </c>
      <c r="J159" s="1009">
        <f t="shared" si="45"/>
        <v>15768.31</v>
      </c>
      <c r="K159" s="1009">
        <f t="shared" si="46"/>
        <v>2688.16</v>
      </c>
    </row>
    <row r="160" spans="2:11" ht="12.75">
      <c r="B160" s="1012" t="s">
        <v>1514</v>
      </c>
      <c r="C160" s="1005" t="s">
        <v>1524</v>
      </c>
      <c r="D160" s="1009">
        <v>14846.97</v>
      </c>
      <c r="E160" s="1043">
        <f t="shared" si="41"/>
        <v>1.004</v>
      </c>
      <c r="F160" s="1005" t="str">
        <f t="shared" si="42"/>
        <v>BH</v>
      </c>
      <c r="G160" s="1009">
        <v>2661.54</v>
      </c>
      <c r="H160" s="1043">
        <f t="shared" si="43"/>
        <v>1.01</v>
      </c>
      <c r="I160" s="1015">
        <f t="shared" si="44"/>
        <v>17594.52</v>
      </c>
      <c r="J160" s="1009">
        <f t="shared" si="45"/>
        <v>14906.36</v>
      </c>
      <c r="K160" s="1009">
        <f t="shared" si="46"/>
        <v>2688.16</v>
      </c>
    </row>
    <row r="161" spans="2:11" ht="12.75">
      <c r="B161" s="1012" t="s">
        <v>2166</v>
      </c>
      <c r="C161" s="1005" t="s">
        <v>1522</v>
      </c>
      <c r="D161" s="1009">
        <v>33847.06</v>
      </c>
      <c r="E161" s="1043">
        <f t="shared" si="41"/>
        <v>1.004</v>
      </c>
      <c r="F161" s="1005" t="s">
        <v>2014</v>
      </c>
      <c r="G161" s="1009">
        <v>5327.22</v>
      </c>
      <c r="H161" s="1043">
        <f t="shared" si="43"/>
        <v>1.01</v>
      </c>
      <c r="I161" s="1015">
        <f t="shared" si="44"/>
        <v>39362.939999999995</v>
      </c>
      <c r="J161" s="1009">
        <f t="shared" si="45"/>
        <v>33982.45</v>
      </c>
      <c r="K161" s="1009">
        <f t="shared" si="46"/>
        <v>5380.49</v>
      </c>
    </row>
    <row r="162" spans="2:11" ht="12.75">
      <c r="B162" s="1012" t="s">
        <v>2167</v>
      </c>
      <c r="C162" s="1005" t="s">
        <v>1523</v>
      </c>
      <c r="D162" s="1009">
        <v>22156.87</v>
      </c>
      <c r="E162" s="1043">
        <f t="shared" si="41"/>
        <v>1.004</v>
      </c>
      <c r="F162" s="1005" t="s">
        <v>2014</v>
      </c>
      <c r="G162" s="1009">
        <v>5327.22</v>
      </c>
      <c r="H162" s="1043">
        <f t="shared" si="43"/>
        <v>1.01</v>
      </c>
      <c r="I162" s="1015">
        <f t="shared" si="44"/>
        <v>27625.989999999998</v>
      </c>
      <c r="J162" s="1009">
        <f t="shared" si="45"/>
        <v>22245.5</v>
      </c>
      <c r="K162" s="1009">
        <f t="shared" si="46"/>
        <v>5380.49</v>
      </c>
    </row>
    <row r="163" spans="2:12" ht="12.75">
      <c r="B163" s="1012" t="s">
        <v>1515</v>
      </c>
      <c r="C163" s="1005" t="s">
        <v>1521</v>
      </c>
      <c r="D163" s="1009">
        <v>20512.75</v>
      </c>
      <c r="E163" s="1043">
        <f t="shared" si="41"/>
        <v>1.004</v>
      </c>
      <c r="F163" s="1005" t="str">
        <f>C163</f>
        <v>BFO</v>
      </c>
      <c r="G163" s="1009">
        <v>3175.79</v>
      </c>
      <c r="H163" s="1043">
        <f t="shared" si="43"/>
        <v>1.01</v>
      </c>
      <c r="I163" s="1015">
        <f t="shared" si="44"/>
        <v>23802.35</v>
      </c>
      <c r="J163" s="1009">
        <f t="shared" si="45"/>
        <v>20594.8</v>
      </c>
      <c r="K163" s="1009">
        <f t="shared" si="46"/>
        <v>3207.55</v>
      </c>
      <c r="L163" s="1006"/>
    </row>
    <row r="164" spans="2:11" ht="13.5" thickBot="1">
      <c r="B164" s="1017" t="s">
        <v>1516</v>
      </c>
      <c r="C164" s="1005" t="s">
        <v>1520</v>
      </c>
      <c r="D164" s="1009">
        <v>49414.1</v>
      </c>
      <c r="E164" s="1043">
        <f t="shared" si="41"/>
        <v>1.004</v>
      </c>
      <c r="F164" s="1005" t="str">
        <f>C164</f>
        <v>BSGA</v>
      </c>
      <c r="G164" s="1009">
        <v>3088.27</v>
      </c>
      <c r="H164" s="1043">
        <f t="shared" si="43"/>
        <v>1.01</v>
      </c>
      <c r="I164" s="1015">
        <f t="shared" si="44"/>
        <v>52730.91</v>
      </c>
      <c r="J164" s="1009">
        <f t="shared" si="45"/>
        <v>49611.76</v>
      </c>
      <c r="K164" s="1009">
        <f t="shared" si="46"/>
        <v>3119.15</v>
      </c>
    </row>
    <row r="165" spans="2:11" ht="12.75">
      <c r="B165" s="1098" t="s">
        <v>1087</v>
      </c>
      <c r="C165" s="1005" t="s">
        <v>66</v>
      </c>
      <c r="D165" s="1105">
        <f>5945.05</f>
        <v>5945.05</v>
      </c>
      <c r="E165" s="1043">
        <f t="shared" si="41"/>
        <v>1.004</v>
      </c>
      <c r="F165" s="1005" t="s">
        <v>66</v>
      </c>
      <c r="G165" s="1102">
        <f>1371.06+1937</f>
        <v>3308.06</v>
      </c>
      <c r="H165" s="1043">
        <f t="shared" si="43"/>
        <v>1.01</v>
      </c>
      <c r="I165" s="1015">
        <f t="shared" si="44"/>
        <v>9309.97</v>
      </c>
      <c r="J165" s="1009">
        <f t="shared" si="45"/>
        <v>5968.83</v>
      </c>
      <c r="K165" s="1009">
        <f t="shared" si="46"/>
        <v>3341.14</v>
      </c>
    </row>
    <row r="166" spans="2:11" ht="12.75">
      <c r="B166" s="1094" t="s">
        <v>1088</v>
      </c>
      <c r="C166" s="1005" t="s">
        <v>67</v>
      </c>
      <c r="D166" s="1096">
        <f>5945.05</f>
        <v>5945.05</v>
      </c>
      <c r="E166" s="1043">
        <f t="shared" si="41"/>
        <v>1.004</v>
      </c>
      <c r="F166" s="1005" t="s">
        <v>67</v>
      </c>
      <c r="G166" s="1103">
        <f>1371.06+1335</f>
        <v>2706.06</v>
      </c>
      <c r="H166" s="1043">
        <f t="shared" si="43"/>
        <v>1.01</v>
      </c>
      <c r="I166" s="1015">
        <f t="shared" si="44"/>
        <v>8701.95</v>
      </c>
      <c r="J166" s="1009">
        <f>ROUND(D166*E166,2)</f>
        <v>5968.83</v>
      </c>
      <c r="K166" s="1009">
        <f>ROUND(G166*H166,2)</f>
        <v>2733.12</v>
      </c>
    </row>
    <row r="167" spans="2:11" ht="13.5" thickBot="1">
      <c r="B167" s="1095" t="s">
        <v>1828</v>
      </c>
      <c r="C167" s="1005" t="s">
        <v>68</v>
      </c>
      <c r="D167" s="1097">
        <f>5945.05</f>
        <v>5945.05</v>
      </c>
      <c r="E167" s="1043">
        <f t="shared" si="41"/>
        <v>1.004</v>
      </c>
      <c r="F167" s="1005" t="s">
        <v>68</v>
      </c>
      <c r="G167" s="1104">
        <f>1371.06+1570</f>
        <v>2941.06</v>
      </c>
      <c r="H167" s="1043">
        <f t="shared" si="43"/>
        <v>1.01</v>
      </c>
      <c r="I167" s="1018">
        <f t="shared" si="44"/>
        <v>8939.3</v>
      </c>
      <c r="J167" s="1009">
        <f>ROUND(D167*E167,2)</f>
        <v>5968.83</v>
      </c>
      <c r="K167" s="1009">
        <f>ROUND(G167*H167,2)</f>
        <v>2970.47</v>
      </c>
    </row>
    <row r="168" spans="2:11" ht="12.75">
      <c r="B168" s="1101" t="s">
        <v>639</v>
      </c>
      <c r="D168" s="1005"/>
      <c r="G168" s="1005"/>
      <c r="H168" s="1043"/>
      <c r="I168" s="1043"/>
      <c r="J168" s="1009"/>
      <c r="K168" s="1009"/>
    </row>
    <row r="169" ht="12.75">
      <c r="I169" s="1020"/>
    </row>
    <row r="170" spans="2:9" ht="13.5" thickBot="1">
      <c r="B170" s="1010" t="s">
        <v>1902</v>
      </c>
      <c r="I170" s="1020"/>
    </row>
    <row r="171" spans="2:9" ht="12.75">
      <c r="B171" s="1012" t="s">
        <v>1527</v>
      </c>
      <c r="C171" s="1005" t="s">
        <v>1530</v>
      </c>
      <c r="D171" s="1009">
        <v>18886.35</v>
      </c>
      <c r="E171" s="1043">
        <f aca="true" t="shared" si="47" ref="E171:E178">$E$5</f>
        <v>1.004</v>
      </c>
      <c r="I171" s="1013">
        <f aca="true" t="shared" si="48" ref="I171:I178">ROUND((D171*E171),2)+ROUND((G171*H171),2)</f>
        <v>18961.9</v>
      </c>
    </row>
    <row r="172" spans="2:9" ht="12.75">
      <c r="B172" s="1012" t="s">
        <v>1528</v>
      </c>
      <c r="C172" s="1005" t="s">
        <v>1531</v>
      </c>
      <c r="D172" s="1009">
        <v>9443.18</v>
      </c>
      <c r="E172" s="1043">
        <f t="shared" si="47"/>
        <v>1.004</v>
      </c>
      <c r="I172" s="1015">
        <f t="shared" si="48"/>
        <v>9480.95</v>
      </c>
    </row>
    <row r="173" spans="2:9" ht="12.75">
      <c r="B173" s="1012" t="s">
        <v>1529</v>
      </c>
      <c r="C173" s="1005" t="s">
        <v>1532</v>
      </c>
      <c r="D173" s="1009">
        <v>18886.35</v>
      </c>
      <c r="E173" s="1043">
        <f t="shared" si="47"/>
        <v>1.004</v>
      </c>
      <c r="I173" s="1015">
        <f t="shared" si="48"/>
        <v>18961.9</v>
      </c>
    </row>
    <row r="174" spans="2:9" ht="12.75">
      <c r="B174" s="1012" t="s">
        <v>1737</v>
      </c>
      <c r="C174" s="1005" t="s">
        <v>1533</v>
      </c>
      <c r="D174" s="1009">
        <v>15384.98</v>
      </c>
      <c r="E174" s="1043">
        <f t="shared" si="47"/>
        <v>1.004</v>
      </c>
      <c r="I174" s="1015">
        <f t="shared" si="48"/>
        <v>15446.52</v>
      </c>
    </row>
    <row r="175" spans="2:9" ht="12.75">
      <c r="B175" s="1012" t="s">
        <v>1999</v>
      </c>
      <c r="C175" s="1005" t="s">
        <v>2000</v>
      </c>
      <c r="D175" s="1009">
        <v>10256.61</v>
      </c>
      <c r="E175" s="1043">
        <f t="shared" si="47"/>
        <v>1.004</v>
      </c>
      <c r="I175" s="1015">
        <f t="shared" si="48"/>
        <v>10297.64</v>
      </c>
    </row>
    <row r="176" spans="2:9" ht="12.75">
      <c r="B176" s="1012" t="s">
        <v>1724</v>
      </c>
      <c r="C176" s="1005" t="s">
        <v>1534</v>
      </c>
      <c r="D176" s="1009">
        <v>7692.49</v>
      </c>
      <c r="E176" s="1043">
        <f t="shared" si="47"/>
        <v>1.004</v>
      </c>
      <c r="I176" s="1015">
        <f t="shared" si="48"/>
        <v>7723.26</v>
      </c>
    </row>
    <row r="177" spans="2:9" ht="12.75">
      <c r="B177" s="1012" t="s">
        <v>1738</v>
      </c>
      <c r="C177" s="1005" t="s">
        <v>1535</v>
      </c>
      <c r="D177" s="1009">
        <v>7692.49</v>
      </c>
      <c r="E177" s="1043">
        <f t="shared" si="47"/>
        <v>1.004</v>
      </c>
      <c r="I177" s="1015">
        <f t="shared" si="48"/>
        <v>7723.26</v>
      </c>
    </row>
    <row r="178" spans="2:9" ht="13.5" thickBot="1">
      <c r="B178" s="1012" t="s">
        <v>1739</v>
      </c>
      <c r="C178" s="1005" t="s">
        <v>1536</v>
      </c>
      <c r="D178" s="1009">
        <v>2364.38</v>
      </c>
      <c r="E178" s="1043">
        <f t="shared" si="47"/>
        <v>1.004</v>
      </c>
      <c r="I178" s="1018">
        <f t="shared" si="48"/>
        <v>2373.84</v>
      </c>
    </row>
    <row r="179" ht="12.75">
      <c r="I179" s="1020"/>
    </row>
    <row r="180" spans="2:9" ht="13.5" thickBot="1">
      <c r="B180" s="1010" t="s">
        <v>210</v>
      </c>
      <c r="I180" s="1020"/>
    </row>
    <row r="181" spans="2:9" ht="12.75">
      <c r="B181" s="1033" t="s">
        <v>848</v>
      </c>
      <c r="F181" s="1005" t="s">
        <v>2001</v>
      </c>
      <c r="G181" s="1009">
        <v>19.65</v>
      </c>
      <c r="H181" s="1043">
        <f>$H$5</f>
        <v>1.01</v>
      </c>
      <c r="I181" s="1013">
        <f>ROUND((D181*E181),2)+ROUND((G181*H181),2)</f>
        <v>19.85</v>
      </c>
    </row>
    <row r="182" spans="2:9" ht="13.5" thickBot="1">
      <c r="B182" s="1099" t="s">
        <v>1425</v>
      </c>
      <c r="F182" s="1005" t="s">
        <v>1526</v>
      </c>
      <c r="G182" s="1100">
        <v>14.01</v>
      </c>
      <c r="H182" s="1043">
        <f>$H$5</f>
        <v>1.01</v>
      </c>
      <c r="I182" s="1015">
        <f>ROUND((D182*E182),2)+ROUND((G182*H182),2)</f>
        <v>14.15</v>
      </c>
    </row>
    <row r="183" spans="2:9" ht="12.75">
      <c r="B183" s="1094" t="s">
        <v>56</v>
      </c>
      <c r="F183" s="1005" t="s">
        <v>66</v>
      </c>
      <c r="G183" s="1096">
        <v>1306</v>
      </c>
      <c r="H183" s="1043">
        <f>$H$5</f>
        <v>1.01</v>
      </c>
      <c r="I183" s="1015">
        <f>ROUND((D183*E183),2)+ROUND((G183*H183),2)</f>
        <v>1319.06</v>
      </c>
    </row>
    <row r="184" spans="2:9" ht="12.75">
      <c r="B184" s="1094" t="s">
        <v>57</v>
      </c>
      <c r="F184" s="1005" t="s">
        <v>67</v>
      </c>
      <c r="G184" s="1096">
        <v>900</v>
      </c>
      <c r="H184" s="1043">
        <f>$H$5</f>
        <v>1.01</v>
      </c>
      <c r="I184" s="1015">
        <f>ROUND((D184*E184),2)+ROUND((G184*H184),2)</f>
        <v>909</v>
      </c>
    </row>
    <row r="185" spans="2:9" ht="13.5" thickBot="1">
      <c r="B185" s="1095" t="s">
        <v>58</v>
      </c>
      <c r="F185" s="1005" t="s">
        <v>68</v>
      </c>
      <c r="G185" s="1097">
        <v>1058</v>
      </c>
      <c r="H185" s="1043">
        <f>$H$5</f>
        <v>1.01</v>
      </c>
      <c r="I185" s="1018">
        <f>ROUND((D185*E185),2)+ROUND((G185*H185),2)</f>
        <v>1068.58</v>
      </c>
    </row>
    <row r="186" spans="2:9" ht="13.5" thickBot="1">
      <c r="B186" s="1036"/>
      <c r="I186" s="1020"/>
    </row>
    <row r="187" spans="1:9" ht="13.5" thickBot="1">
      <c r="A187" s="1016" t="s">
        <v>2057</v>
      </c>
      <c r="B187" s="1036" t="s">
        <v>2015</v>
      </c>
      <c r="C187" s="1005" t="s">
        <v>519</v>
      </c>
      <c r="D187" s="1009">
        <v>743.95</v>
      </c>
      <c r="E187" s="1043">
        <f>$E$5</f>
        <v>1.004</v>
      </c>
      <c r="F187" s="1005" t="s">
        <v>519</v>
      </c>
      <c r="G187" s="1009">
        <v>315.91</v>
      </c>
      <c r="H187" s="1043">
        <f>$H$5</f>
        <v>1.01</v>
      </c>
      <c r="I187" s="1022">
        <f>ROUND((D187*E187),2)+ROUND((G187*H187),2)</f>
        <v>1066</v>
      </c>
    </row>
    <row r="188" ht="12.75">
      <c r="I188" s="1020"/>
    </row>
    <row r="191" ht="12.75">
      <c r="B191" s="1006" t="s">
        <v>2016</v>
      </c>
    </row>
    <row r="192" ht="12.75">
      <c r="B192" s="1006"/>
    </row>
    <row r="193" ht="13.5" thickBot="1">
      <c r="B193" s="1010" t="s">
        <v>1510</v>
      </c>
    </row>
    <row r="194" spans="1:9" ht="12.75">
      <c r="A194" s="1016" t="s">
        <v>616</v>
      </c>
      <c r="B194" s="1012" t="s">
        <v>561</v>
      </c>
      <c r="C194" s="1005" t="s">
        <v>1326</v>
      </c>
      <c r="D194" s="1009">
        <v>121</v>
      </c>
      <c r="I194" s="1013">
        <f>D194</f>
        <v>121</v>
      </c>
    </row>
    <row r="195" spans="1:9" ht="13.5" thickBot="1">
      <c r="A195" s="1016" t="s">
        <v>617</v>
      </c>
      <c r="B195" s="1012" t="s">
        <v>1287</v>
      </c>
      <c r="C195" s="1005" t="s">
        <v>1327</v>
      </c>
      <c r="D195" s="1009">
        <v>149</v>
      </c>
      <c r="I195" s="1018">
        <f>D195</f>
        <v>149</v>
      </c>
    </row>
    <row r="196" ht="12.75">
      <c r="I196" s="1009"/>
    </row>
    <row r="197" spans="2:9" ht="13.5" thickBot="1">
      <c r="B197" s="1010" t="s">
        <v>2255</v>
      </c>
      <c r="I197" s="1009"/>
    </row>
    <row r="198" spans="1:9" ht="12.75">
      <c r="A198" s="1016" t="s">
        <v>618</v>
      </c>
      <c r="B198" s="1012" t="s">
        <v>2201</v>
      </c>
      <c r="C198" s="1005" t="s">
        <v>1328</v>
      </c>
      <c r="D198" s="1009">
        <v>246</v>
      </c>
      <c r="I198" s="1013">
        <f>D198</f>
        <v>246</v>
      </c>
    </row>
    <row r="199" spans="1:9" ht="12.75">
      <c r="A199" s="1016" t="s">
        <v>619</v>
      </c>
      <c r="B199" s="1012" t="s">
        <v>1676</v>
      </c>
      <c r="C199" s="1005" t="s">
        <v>1329</v>
      </c>
      <c r="D199" s="1009">
        <v>176</v>
      </c>
      <c r="I199" s="1015">
        <f>D199</f>
        <v>176</v>
      </c>
    </row>
    <row r="200" spans="1:9" ht="13.5" thickBot="1">
      <c r="A200" s="1016" t="s">
        <v>620</v>
      </c>
      <c r="B200" s="1012" t="s">
        <v>1288</v>
      </c>
      <c r="C200" s="1005" t="s">
        <v>1330</v>
      </c>
      <c r="D200" s="1009">
        <v>202</v>
      </c>
      <c r="I200" s="1018">
        <f>D200</f>
        <v>202</v>
      </c>
    </row>
    <row r="201" spans="2:9" ht="12.75">
      <c r="B201" s="1019"/>
      <c r="I201" s="1009"/>
    </row>
    <row r="202" spans="2:9" ht="13.5" thickBot="1">
      <c r="B202" s="1010" t="s">
        <v>2256</v>
      </c>
      <c r="I202" s="1009"/>
    </row>
    <row r="203" spans="1:9" ht="12.75">
      <c r="A203" s="1016" t="s">
        <v>621</v>
      </c>
      <c r="B203" s="1012" t="s">
        <v>1740</v>
      </c>
      <c r="C203" s="1005" t="s">
        <v>1331</v>
      </c>
      <c r="D203" s="1009">
        <v>122</v>
      </c>
      <c r="I203" s="1013">
        <f aca="true" t="shared" si="49" ref="I203:I208">D203</f>
        <v>122</v>
      </c>
    </row>
    <row r="204" spans="1:9" ht="12.75">
      <c r="A204" s="1016" t="s">
        <v>622</v>
      </c>
      <c r="B204" s="1012" t="s">
        <v>1289</v>
      </c>
      <c r="C204" s="1005" t="s">
        <v>1332</v>
      </c>
      <c r="D204" s="1009">
        <v>154</v>
      </c>
      <c r="I204" s="1015">
        <f t="shared" si="49"/>
        <v>154</v>
      </c>
    </row>
    <row r="205" spans="1:9" ht="12.75">
      <c r="A205" s="1016" t="s">
        <v>623</v>
      </c>
      <c r="B205" s="1012" t="s">
        <v>1570</v>
      </c>
      <c r="C205" s="1005" t="s">
        <v>1671</v>
      </c>
      <c r="D205" s="1009">
        <v>138</v>
      </c>
      <c r="I205" s="1015">
        <f t="shared" si="49"/>
        <v>138</v>
      </c>
    </row>
    <row r="206" spans="1:9" ht="12.75">
      <c r="A206" s="1016" t="s">
        <v>624</v>
      </c>
      <c r="B206" s="1012" t="s">
        <v>1289</v>
      </c>
      <c r="C206" s="1005" t="s">
        <v>1672</v>
      </c>
      <c r="D206" s="1009">
        <v>174</v>
      </c>
      <c r="I206" s="1015">
        <f t="shared" si="49"/>
        <v>174</v>
      </c>
    </row>
    <row r="207" spans="1:9" ht="12.75">
      <c r="A207" s="1016" t="s">
        <v>625</v>
      </c>
      <c r="B207" s="1012" t="s">
        <v>1316</v>
      </c>
      <c r="C207" s="1005" t="s">
        <v>1673</v>
      </c>
      <c r="D207" s="1009">
        <v>69</v>
      </c>
      <c r="I207" s="1015">
        <f t="shared" si="49"/>
        <v>69</v>
      </c>
    </row>
    <row r="208" spans="1:9" ht="13.5" thickBot="1">
      <c r="A208" s="1016" t="s">
        <v>626</v>
      </c>
      <c r="B208" s="1012" t="s">
        <v>217</v>
      </c>
      <c r="C208" s="1005" t="s">
        <v>1674</v>
      </c>
      <c r="D208" s="1009">
        <v>96</v>
      </c>
      <c r="I208" s="1018">
        <f t="shared" si="49"/>
        <v>96</v>
      </c>
    </row>
    <row r="209" spans="2:9" ht="12.75">
      <c r="B209" s="1019"/>
      <c r="I209" s="1009"/>
    </row>
    <row r="210" spans="2:9" ht="13.5" thickBot="1">
      <c r="B210" s="1010" t="s">
        <v>2257</v>
      </c>
      <c r="I210" s="1009"/>
    </row>
    <row r="211" spans="1:9" ht="13.5" thickBot="1">
      <c r="A211" s="1016" t="s">
        <v>627</v>
      </c>
      <c r="B211" s="1037" t="s">
        <v>1109</v>
      </c>
      <c r="C211" s="1005" t="s">
        <v>1675</v>
      </c>
      <c r="D211" s="1009">
        <v>191</v>
      </c>
      <c r="I211" s="1022">
        <f>D211</f>
        <v>191</v>
      </c>
    </row>
    <row r="212" spans="2:9" ht="12.75">
      <c r="B212" s="1023"/>
      <c r="I212" s="1009"/>
    </row>
    <row r="213" spans="2:9" ht="13.5" thickBot="1">
      <c r="B213" s="1010" t="s">
        <v>211</v>
      </c>
      <c r="I213" s="1009"/>
    </row>
    <row r="214" spans="1:9" ht="12.75">
      <c r="A214" s="1014" t="s">
        <v>2169</v>
      </c>
      <c r="B214" s="1012" t="s">
        <v>2171</v>
      </c>
      <c r="C214" s="1005" t="s">
        <v>1322</v>
      </c>
      <c r="D214" s="1009">
        <v>349</v>
      </c>
      <c r="I214" s="1013">
        <f>D214</f>
        <v>349</v>
      </c>
    </row>
    <row r="215" spans="1:9" ht="12.75">
      <c r="A215" s="1014" t="s">
        <v>2168</v>
      </c>
      <c r="B215" s="1012" t="s">
        <v>1317</v>
      </c>
      <c r="C215" s="1005" t="s">
        <v>1321</v>
      </c>
      <c r="D215" s="1009">
        <v>349</v>
      </c>
      <c r="I215" s="1015">
        <f>D215</f>
        <v>349</v>
      </c>
    </row>
    <row r="216" spans="1:9" ht="12.75">
      <c r="A216" s="1014" t="s">
        <v>2170</v>
      </c>
      <c r="B216" s="1012" t="s">
        <v>1318</v>
      </c>
      <c r="C216" s="1005" t="s">
        <v>1323</v>
      </c>
      <c r="D216" s="1009">
        <v>984</v>
      </c>
      <c r="I216" s="1015">
        <f>D216</f>
        <v>984</v>
      </c>
    </row>
    <row r="217" spans="1:9" ht="12.75">
      <c r="A217" s="1014" t="s">
        <v>17</v>
      </c>
      <c r="B217" s="1012" t="s">
        <v>1320</v>
      </c>
      <c r="C217" s="1005" t="s">
        <v>1324</v>
      </c>
      <c r="D217" s="1009">
        <v>2846</v>
      </c>
      <c r="I217" s="1015">
        <f>D217</f>
        <v>2846</v>
      </c>
    </row>
    <row r="218" spans="1:9" ht="13.5" thickBot="1">
      <c r="A218" s="1016" t="s">
        <v>18</v>
      </c>
      <c r="B218" s="1012" t="s">
        <v>1319</v>
      </c>
      <c r="C218" s="1005" t="s">
        <v>1325</v>
      </c>
      <c r="D218" s="1009">
        <v>1376</v>
      </c>
      <c r="I218" s="1018">
        <f>D218</f>
        <v>1376</v>
      </c>
    </row>
    <row r="219" ht="12.75">
      <c r="I219" s="1009"/>
    </row>
    <row r="220" spans="2:9" ht="13.5" thickBot="1">
      <c r="B220" s="1010" t="s">
        <v>2258</v>
      </c>
      <c r="I220" s="1009"/>
    </row>
    <row r="221" spans="1:9" ht="12.75">
      <c r="A221" s="1030" t="s">
        <v>866</v>
      </c>
      <c r="B221" s="1024" t="s">
        <v>2158</v>
      </c>
      <c r="C221" s="1005" t="s">
        <v>1678</v>
      </c>
      <c r="D221" s="1009">
        <v>22</v>
      </c>
      <c r="I221" s="1013">
        <f aca="true" t="shared" si="50" ref="I221:I231">D221</f>
        <v>22</v>
      </c>
    </row>
    <row r="222" spans="1:9" ht="12.75">
      <c r="A222" s="1030" t="s">
        <v>867</v>
      </c>
      <c r="B222" s="1024" t="s">
        <v>2159</v>
      </c>
      <c r="C222" s="1005" t="s">
        <v>1679</v>
      </c>
      <c r="D222" s="1009">
        <v>168</v>
      </c>
      <c r="I222" s="1015">
        <f t="shared" si="50"/>
        <v>168</v>
      </c>
    </row>
    <row r="223" spans="1:9" ht="12.75">
      <c r="A223" s="1030" t="s">
        <v>868</v>
      </c>
      <c r="B223" s="1024" t="s">
        <v>2160</v>
      </c>
      <c r="C223" s="1005" t="s">
        <v>1680</v>
      </c>
      <c r="D223" s="1009">
        <v>461</v>
      </c>
      <c r="I223" s="1015">
        <f t="shared" si="50"/>
        <v>461</v>
      </c>
    </row>
    <row r="224" spans="1:9" ht="12.75">
      <c r="A224" s="1030" t="s">
        <v>869</v>
      </c>
      <c r="B224" s="1024" t="s">
        <v>2161</v>
      </c>
      <c r="C224" s="1005" t="s">
        <v>1681</v>
      </c>
      <c r="D224" s="1009">
        <v>159</v>
      </c>
      <c r="I224" s="1015">
        <f t="shared" si="50"/>
        <v>159</v>
      </c>
    </row>
    <row r="225" spans="1:9" ht="12.75">
      <c r="A225" s="1030" t="s">
        <v>870</v>
      </c>
      <c r="B225" s="1024" t="s">
        <v>2162</v>
      </c>
      <c r="C225" s="1005" t="s">
        <v>1682</v>
      </c>
      <c r="D225" s="1009">
        <v>102</v>
      </c>
      <c r="I225" s="1015">
        <f t="shared" si="50"/>
        <v>102</v>
      </c>
    </row>
    <row r="226" spans="1:9" ht="12.75">
      <c r="A226" s="1030" t="s">
        <v>871</v>
      </c>
      <c r="B226" s="1024" t="s">
        <v>893</v>
      </c>
      <c r="C226" s="1005" t="s">
        <v>1683</v>
      </c>
      <c r="D226" s="1009">
        <v>95</v>
      </c>
      <c r="I226" s="1015">
        <f t="shared" si="50"/>
        <v>95</v>
      </c>
    </row>
    <row r="227" spans="1:9" ht="12.75">
      <c r="A227" s="1030" t="s">
        <v>1438</v>
      </c>
      <c r="B227" s="1024" t="s">
        <v>1437</v>
      </c>
      <c r="C227" s="1005" t="s">
        <v>1439</v>
      </c>
      <c r="D227" s="1009">
        <v>51</v>
      </c>
      <c r="I227" s="1015">
        <f t="shared" si="50"/>
        <v>51</v>
      </c>
    </row>
    <row r="228" spans="1:9" ht="12.75">
      <c r="A228" s="1030" t="s">
        <v>872</v>
      </c>
      <c r="B228" s="1024" t="s">
        <v>2163</v>
      </c>
      <c r="C228" s="1005" t="s">
        <v>1684</v>
      </c>
      <c r="D228" s="1009">
        <v>66</v>
      </c>
      <c r="I228" s="1015">
        <f t="shared" si="50"/>
        <v>66</v>
      </c>
    </row>
    <row r="229" spans="1:9" ht="12.75">
      <c r="A229" s="1030" t="s">
        <v>887</v>
      </c>
      <c r="B229" s="1024" t="s">
        <v>894</v>
      </c>
      <c r="C229" s="1005" t="s">
        <v>1685</v>
      </c>
      <c r="D229" s="1009">
        <v>219</v>
      </c>
      <c r="I229" s="1015">
        <f t="shared" si="50"/>
        <v>219</v>
      </c>
    </row>
    <row r="230" spans="1:9" ht="12.75">
      <c r="A230" s="1030" t="s">
        <v>888</v>
      </c>
      <c r="B230" s="1024" t="s">
        <v>902</v>
      </c>
      <c r="C230" s="1005" t="s">
        <v>1686</v>
      </c>
      <c r="D230" s="1009">
        <v>821</v>
      </c>
      <c r="I230" s="1015">
        <f t="shared" si="50"/>
        <v>821</v>
      </c>
    </row>
    <row r="231" spans="1:9" ht="13.5" thickBot="1">
      <c r="A231" s="1030" t="s">
        <v>889</v>
      </c>
      <c r="B231" s="1024" t="s">
        <v>2303</v>
      </c>
      <c r="C231" s="1005" t="s">
        <v>1687</v>
      </c>
      <c r="D231" s="1009">
        <v>32</v>
      </c>
      <c r="I231" s="1018">
        <f t="shared" si="50"/>
        <v>32</v>
      </c>
    </row>
    <row r="232" spans="2:9" ht="12.75">
      <c r="B232" s="1027"/>
      <c r="I232" s="1009"/>
    </row>
    <row r="233" spans="2:9" ht="13.5" thickBot="1">
      <c r="B233" s="1010" t="s">
        <v>2259</v>
      </c>
      <c r="I233" s="1009"/>
    </row>
    <row r="234" spans="1:9" ht="12.75">
      <c r="A234" s="1030" t="s">
        <v>2017</v>
      </c>
      <c r="B234" s="1024" t="s">
        <v>2158</v>
      </c>
      <c r="C234" s="1005" t="s">
        <v>2018</v>
      </c>
      <c r="D234" s="1009">
        <v>22</v>
      </c>
      <c r="I234" s="1013">
        <f aca="true" t="shared" si="51" ref="I234:I244">D234</f>
        <v>22</v>
      </c>
    </row>
    <row r="235" spans="1:9" ht="12.75">
      <c r="A235" s="1030" t="s">
        <v>2019</v>
      </c>
      <c r="B235" s="1024" t="s">
        <v>2159</v>
      </c>
      <c r="C235" s="1005" t="s">
        <v>2020</v>
      </c>
      <c r="D235" s="1009">
        <v>209</v>
      </c>
      <c r="I235" s="1015">
        <f t="shared" si="51"/>
        <v>209</v>
      </c>
    </row>
    <row r="236" spans="1:9" ht="12.75">
      <c r="A236" s="1030" t="s">
        <v>2021</v>
      </c>
      <c r="B236" s="1024" t="s">
        <v>2160</v>
      </c>
      <c r="C236" s="1005" t="s">
        <v>2022</v>
      </c>
      <c r="D236" s="1009">
        <v>434</v>
      </c>
      <c r="I236" s="1015">
        <f t="shared" si="51"/>
        <v>434</v>
      </c>
    </row>
    <row r="237" spans="1:9" ht="12.75">
      <c r="A237" s="1030" t="s">
        <v>2023</v>
      </c>
      <c r="B237" s="1024" t="s">
        <v>2161</v>
      </c>
      <c r="C237" s="1005" t="s">
        <v>2024</v>
      </c>
      <c r="D237" s="1009">
        <v>106</v>
      </c>
      <c r="I237" s="1015">
        <f t="shared" si="51"/>
        <v>106</v>
      </c>
    </row>
    <row r="238" spans="1:9" ht="12.75">
      <c r="A238" s="1030" t="s">
        <v>2025</v>
      </c>
      <c r="B238" s="1024" t="s">
        <v>2162</v>
      </c>
      <c r="C238" s="1005" t="s">
        <v>2026</v>
      </c>
      <c r="D238" s="1009">
        <v>71</v>
      </c>
      <c r="I238" s="1015">
        <f t="shared" si="51"/>
        <v>71</v>
      </c>
    </row>
    <row r="239" spans="1:9" ht="12.75">
      <c r="A239" s="1030" t="s">
        <v>2027</v>
      </c>
      <c r="B239" s="1024" t="s">
        <v>893</v>
      </c>
      <c r="C239" s="1005" t="s">
        <v>2028</v>
      </c>
      <c r="D239" s="1009">
        <v>89</v>
      </c>
      <c r="I239" s="1015">
        <f t="shared" si="51"/>
        <v>89</v>
      </c>
    </row>
    <row r="240" spans="1:9" ht="12.75">
      <c r="A240" s="1030" t="s">
        <v>2029</v>
      </c>
      <c r="B240" s="1024" t="s">
        <v>1437</v>
      </c>
      <c r="C240" s="1005" t="s">
        <v>2030</v>
      </c>
      <c r="D240" s="1009">
        <v>49</v>
      </c>
      <c r="I240" s="1015">
        <f t="shared" si="51"/>
        <v>49</v>
      </c>
    </row>
    <row r="241" spans="1:9" ht="12.75">
      <c r="A241" s="1030" t="s">
        <v>2031</v>
      </c>
      <c r="B241" s="1024" t="s">
        <v>2163</v>
      </c>
      <c r="C241" s="1005" t="s">
        <v>2032</v>
      </c>
      <c r="D241" s="1009">
        <v>61</v>
      </c>
      <c r="I241" s="1015">
        <f t="shared" si="51"/>
        <v>61</v>
      </c>
    </row>
    <row r="242" spans="1:9" ht="12.75">
      <c r="A242" s="1030" t="s">
        <v>2033</v>
      </c>
      <c r="B242" s="1024" t="s">
        <v>894</v>
      </c>
      <c r="C242" s="1005" t="s">
        <v>2034</v>
      </c>
      <c r="D242" s="1009">
        <v>216</v>
      </c>
      <c r="I242" s="1015">
        <f t="shared" si="51"/>
        <v>216</v>
      </c>
    </row>
    <row r="243" spans="1:9" ht="12.75">
      <c r="A243" s="1030" t="s">
        <v>2035</v>
      </c>
      <c r="B243" s="1024" t="s">
        <v>902</v>
      </c>
      <c r="C243" s="1005" t="s">
        <v>2036</v>
      </c>
      <c r="D243" s="1009">
        <v>809</v>
      </c>
      <c r="I243" s="1015">
        <f t="shared" si="51"/>
        <v>809</v>
      </c>
    </row>
    <row r="244" spans="1:9" ht="13.5" thickBot="1">
      <c r="A244" s="1030" t="s">
        <v>2037</v>
      </c>
      <c r="B244" s="1024" t="s">
        <v>2303</v>
      </c>
      <c r="C244" s="1005" t="s">
        <v>2038</v>
      </c>
      <c r="D244" s="1009">
        <v>34</v>
      </c>
      <c r="I244" s="1018">
        <f t="shared" si="51"/>
        <v>34</v>
      </c>
    </row>
    <row r="245" ht="12.75">
      <c r="I245" s="1009"/>
    </row>
    <row r="246" spans="2:9" ht="13.5" thickBot="1">
      <c r="B246" s="1010" t="s">
        <v>2260</v>
      </c>
      <c r="I246" s="1009"/>
    </row>
    <row r="247" spans="1:9" ht="12.75">
      <c r="A247" s="1030" t="s">
        <v>2017</v>
      </c>
      <c r="B247" s="1024" t="s">
        <v>2158</v>
      </c>
      <c r="C247" s="1005" t="s">
        <v>2018</v>
      </c>
      <c r="D247" s="1009">
        <v>22</v>
      </c>
      <c r="I247" s="1013">
        <f aca="true" t="shared" si="52" ref="I247:I257">D247</f>
        <v>22</v>
      </c>
    </row>
    <row r="248" spans="1:9" ht="12.75">
      <c r="A248" s="1030" t="s">
        <v>2019</v>
      </c>
      <c r="B248" s="1024" t="s">
        <v>2159</v>
      </c>
      <c r="C248" s="1005" t="s">
        <v>2020</v>
      </c>
      <c r="D248" s="1009">
        <v>209</v>
      </c>
      <c r="I248" s="1015">
        <f t="shared" si="52"/>
        <v>209</v>
      </c>
    </row>
    <row r="249" spans="1:9" ht="12.75">
      <c r="A249" s="1030" t="s">
        <v>2021</v>
      </c>
      <c r="B249" s="1024" t="s">
        <v>2160</v>
      </c>
      <c r="C249" s="1005" t="s">
        <v>2022</v>
      </c>
      <c r="D249" s="1009">
        <v>434</v>
      </c>
      <c r="I249" s="1015">
        <f t="shared" si="52"/>
        <v>434</v>
      </c>
    </row>
    <row r="250" spans="1:9" ht="12.75">
      <c r="A250" s="1030" t="s">
        <v>2023</v>
      </c>
      <c r="B250" s="1024" t="s">
        <v>2161</v>
      </c>
      <c r="C250" s="1005" t="s">
        <v>2024</v>
      </c>
      <c r="D250" s="1009">
        <v>106</v>
      </c>
      <c r="I250" s="1015">
        <f t="shared" si="52"/>
        <v>106</v>
      </c>
    </row>
    <row r="251" spans="1:9" ht="12.75">
      <c r="A251" s="1030" t="s">
        <v>2025</v>
      </c>
      <c r="B251" s="1024" t="s">
        <v>2162</v>
      </c>
      <c r="C251" s="1005" t="s">
        <v>2026</v>
      </c>
      <c r="D251" s="1009">
        <v>71</v>
      </c>
      <c r="I251" s="1015">
        <f t="shared" si="52"/>
        <v>71</v>
      </c>
    </row>
    <row r="252" spans="1:9" ht="12.75">
      <c r="A252" s="1030" t="s">
        <v>2027</v>
      </c>
      <c r="B252" s="1024" t="s">
        <v>893</v>
      </c>
      <c r="C252" s="1005" t="s">
        <v>2028</v>
      </c>
      <c r="D252" s="1009">
        <v>89</v>
      </c>
      <c r="I252" s="1015">
        <f t="shared" si="52"/>
        <v>89</v>
      </c>
    </row>
    <row r="253" spans="1:9" ht="12.75">
      <c r="A253" s="1030" t="s">
        <v>2029</v>
      </c>
      <c r="B253" s="1024" t="s">
        <v>1437</v>
      </c>
      <c r="C253" s="1005" t="s">
        <v>2030</v>
      </c>
      <c r="D253" s="1009">
        <v>49</v>
      </c>
      <c r="I253" s="1015">
        <f t="shared" si="52"/>
        <v>49</v>
      </c>
    </row>
    <row r="254" spans="1:9" ht="12.75">
      <c r="A254" s="1030" t="s">
        <v>2031</v>
      </c>
      <c r="B254" s="1024" t="s">
        <v>2163</v>
      </c>
      <c r="C254" s="1005" t="s">
        <v>2032</v>
      </c>
      <c r="D254" s="1009">
        <v>61</v>
      </c>
      <c r="I254" s="1015">
        <f t="shared" si="52"/>
        <v>61</v>
      </c>
    </row>
    <row r="255" spans="1:9" ht="12.75">
      <c r="A255" s="1030" t="s">
        <v>2033</v>
      </c>
      <c r="B255" s="1024" t="s">
        <v>894</v>
      </c>
      <c r="C255" s="1005" t="s">
        <v>2034</v>
      </c>
      <c r="D255" s="1009">
        <v>216</v>
      </c>
      <c r="I255" s="1015">
        <f t="shared" si="52"/>
        <v>216</v>
      </c>
    </row>
    <row r="256" spans="1:9" ht="12.75">
      <c r="A256" s="1030" t="s">
        <v>2035</v>
      </c>
      <c r="B256" s="1024" t="s">
        <v>902</v>
      </c>
      <c r="C256" s="1005" t="s">
        <v>2036</v>
      </c>
      <c r="D256" s="1009">
        <v>809</v>
      </c>
      <c r="I256" s="1015">
        <f t="shared" si="52"/>
        <v>809</v>
      </c>
    </row>
    <row r="257" spans="1:9" ht="13.5" thickBot="1">
      <c r="A257" s="1030" t="s">
        <v>2037</v>
      </c>
      <c r="B257" s="1024" t="s">
        <v>2303</v>
      </c>
      <c r="C257" s="1005" t="s">
        <v>2038</v>
      </c>
      <c r="D257" s="1009">
        <v>34</v>
      </c>
      <c r="I257" s="1018">
        <f t="shared" si="52"/>
        <v>34</v>
      </c>
    </row>
    <row r="258" ht="12.75">
      <c r="I258" s="1009"/>
    </row>
    <row r="259" spans="2:9" ht="13.5" thickBot="1">
      <c r="B259" s="1029" t="s">
        <v>2261</v>
      </c>
      <c r="I259" s="1009"/>
    </row>
    <row r="260" spans="1:9" ht="12.75">
      <c r="A260" s="1030" t="s">
        <v>2017</v>
      </c>
      <c r="B260" s="1024" t="s">
        <v>2158</v>
      </c>
      <c r="C260" s="1005" t="s">
        <v>2018</v>
      </c>
      <c r="D260" s="1009">
        <v>22</v>
      </c>
      <c r="I260" s="1013">
        <f aca="true" t="shared" si="53" ref="I260:I270">D260</f>
        <v>22</v>
      </c>
    </row>
    <row r="261" spans="1:9" ht="12.75">
      <c r="A261" s="1030" t="s">
        <v>2019</v>
      </c>
      <c r="B261" s="1024" t="s">
        <v>2159</v>
      </c>
      <c r="C261" s="1005" t="s">
        <v>2020</v>
      </c>
      <c r="D261" s="1009">
        <v>209</v>
      </c>
      <c r="I261" s="1015">
        <f t="shared" si="53"/>
        <v>209</v>
      </c>
    </row>
    <row r="262" spans="1:9" ht="12.75">
      <c r="A262" s="1030" t="s">
        <v>2021</v>
      </c>
      <c r="B262" s="1024" t="s">
        <v>2160</v>
      </c>
      <c r="C262" s="1005" t="s">
        <v>2022</v>
      </c>
      <c r="D262" s="1009">
        <v>434</v>
      </c>
      <c r="I262" s="1015">
        <f t="shared" si="53"/>
        <v>434</v>
      </c>
    </row>
    <row r="263" spans="1:9" ht="12.75">
      <c r="A263" s="1030" t="s">
        <v>2023</v>
      </c>
      <c r="B263" s="1024" t="s">
        <v>2161</v>
      </c>
      <c r="C263" s="1005" t="s">
        <v>2024</v>
      </c>
      <c r="D263" s="1009">
        <v>106</v>
      </c>
      <c r="I263" s="1015">
        <f t="shared" si="53"/>
        <v>106</v>
      </c>
    </row>
    <row r="264" spans="1:9" ht="12.75">
      <c r="A264" s="1030" t="s">
        <v>2025</v>
      </c>
      <c r="B264" s="1024" t="s">
        <v>2162</v>
      </c>
      <c r="C264" s="1005" t="s">
        <v>2026</v>
      </c>
      <c r="D264" s="1009">
        <v>71</v>
      </c>
      <c r="I264" s="1015">
        <f t="shared" si="53"/>
        <v>71</v>
      </c>
    </row>
    <row r="265" spans="1:9" ht="12.75">
      <c r="A265" s="1030" t="s">
        <v>2027</v>
      </c>
      <c r="B265" s="1024" t="s">
        <v>893</v>
      </c>
      <c r="C265" s="1005" t="s">
        <v>2028</v>
      </c>
      <c r="D265" s="1009">
        <v>89</v>
      </c>
      <c r="I265" s="1015">
        <f t="shared" si="53"/>
        <v>89</v>
      </c>
    </row>
    <row r="266" spans="1:9" ht="12.75">
      <c r="A266" s="1030" t="s">
        <v>2029</v>
      </c>
      <c r="B266" s="1024" t="s">
        <v>1437</v>
      </c>
      <c r="C266" s="1005" t="s">
        <v>2030</v>
      </c>
      <c r="D266" s="1009">
        <v>49</v>
      </c>
      <c r="I266" s="1015">
        <f t="shared" si="53"/>
        <v>49</v>
      </c>
    </row>
    <row r="267" spans="1:9" ht="12.75">
      <c r="A267" s="1030" t="s">
        <v>2031</v>
      </c>
      <c r="B267" s="1024" t="s">
        <v>2163</v>
      </c>
      <c r="C267" s="1005" t="s">
        <v>2032</v>
      </c>
      <c r="D267" s="1009">
        <v>61</v>
      </c>
      <c r="I267" s="1015">
        <f t="shared" si="53"/>
        <v>61</v>
      </c>
    </row>
    <row r="268" spans="1:9" ht="12.75">
      <c r="A268" s="1030" t="s">
        <v>2033</v>
      </c>
      <c r="B268" s="1024" t="s">
        <v>894</v>
      </c>
      <c r="C268" s="1005" t="s">
        <v>2034</v>
      </c>
      <c r="D268" s="1009">
        <v>216</v>
      </c>
      <c r="I268" s="1015">
        <f t="shared" si="53"/>
        <v>216</v>
      </c>
    </row>
    <row r="269" spans="1:9" ht="12.75">
      <c r="A269" s="1030" t="s">
        <v>2035</v>
      </c>
      <c r="B269" s="1024" t="s">
        <v>902</v>
      </c>
      <c r="C269" s="1005" t="s">
        <v>2036</v>
      </c>
      <c r="D269" s="1009">
        <v>809</v>
      </c>
      <c r="I269" s="1015">
        <f t="shared" si="53"/>
        <v>809</v>
      </c>
    </row>
    <row r="270" spans="1:9" ht="13.5" thickBot="1">
      <c r="A270" s="1030" t="s">
        <v>2037</v>
      </c>
      <c r="B270" s="1024" t="s">
        <v>2303</v>
      </c>
      <c r="C270" s="1005" t="s">
        <v>2038</v>
      </c>
      <c r="D270" s="1009">
        <v>34</v>
      </c>
      <c r="I270" s="1018">
        <f t="shared" si="53"/>
        <v>34</v>
      </c>
    </row>
    <row r="271" ht="12.75">
      <c r="I271" s="1009"/>
    </row>
    <row r="272" spans="2:9" ht="13.5" thickBot="1">
      <c r="B272" s="1010" t="s">
        <v>1563</v>
      </c>
      <c r="I272" s="1009"/>
    </row>
    <row r="273" spans="1:9" ht="12.75">
      <c r="A273" s="1030" t="s">
        <v>880</v>
      </c>
      <c r="B273" s="1024" t="s">
        <v>2158</v>
      </c>
      <c r="C273" s="1005" t="s">
        <v>662</v>
      </c>
      <c r="D273" s="1009">
        <v>22</v>
      </c>
      <c r="I273" s="1013">
        <f aca="true" t="shared" si="54" ref="I273:I280">D273</f>
        <v>22</v>
      </c>
    </row>
    <row r="274" spans="1:9" ht="12.75">
      <c r="A274" s="1030" t="s">
        <v>881</v>
      </c>
      <c r="B274" s="1024" t="s">
        <v>2159</v>
      </c>
      <c r="C274" s="1005" t="s">
        <v>663</v>
      </c>
      <c r="D274" s="1009">
        <v>400</v>
      </c>
      <c r="I274" s="1015">
        <f t="shared" si="54"/>
        <v>400</v>
      </c>
    </row>
    <row r="275" spans="1:9" ht="12.75">
      <c r="A275" s="1030" t="s">
        <v>882</v>
      </c>
      <c r="B275" s="1024" t="s">
        <v>2161</v>
      </c>
      <c r="C275" s="1005" t="s">
        <v>664</v>
      </c>
      <c r="D275" s="1009">
        <v>210</v>
      </c>
      <c r="I275" s="1015">
        <f t="shared" si="54"/>
        <v>210</v>
      </c>
    </row>
    <row r="276" spans="1:9" ht="12.75">
      <c r="A276" s="1030" t="s">
        <v>883</v>
      </c>
      <c r="B276" s="1024" t="s">
        <v>2162</v>
      </c>
      <c r="C276" s="1005" t="s">
        <v>665</v>
      </c>
      <c r="D276" s="1009">
        <v>124</v>
      </c>
      <c r="I276" s="1015">
        <f t="shared" si="54"/>
        <v>124</v>
      </c>
    </row>
    <row r="277" spans="1:9" ht="12.75">
      <c r="A277" s="1030" t="s">
        <v>884</v>
      </c>
      <c r="B277" s="1024" t="s">
        <v>893</v>
      </c>
      <c r="C277" s="1005" t="s">
        <v>666</v>
      </c>
      <c r="D277" s="1009">
        <v>114</v>
      </c>
      <c r="I277" s="1015">
        <f t="shared" si="54"/>
        <v>114</v>
      </c>
    </row>
    <row r="278" spans="1:9" ht="12.75">
      <c r="A278" s="1030" t="s">
        <v>1445</v>
      </c>
      <c r="B278" s="1024" t="s">
        <v>1437</v>
      </c>
      <c r="C278" s="1005" t="s">
        <v>1447</v>
      </c>
      <c r="D278" s="1009">
        <v>61</v>
      </c>
      <c r="I278" s="1015">
        <f t="shared" si="54"/>
        <v>61</v>
      </c>
    </row>
    <row r="279" spans="1:9" ht="12.75">
      <c r="A279" s="1030" t="s">
        <v>2246</v>
      </c>
      <c r="B279" s="1024" t="s">
        <v>2163</v>
      </c>
      <c r="C279" s="1005" t="s">
        <v>667</v>
      </c>
      <c r="D279" s="1009">
        <v>80</v>
      </c>
      <c r="I279" s="1015">
        <f t="shared" si="54"/>
        <v>80</v>
      </c>
    </row>
    <row r="280" spans="1:9" ht="13.5" thickBot="1">
      <c r="A280" s="1030" t="s">
        <v>2279</v>
      </c>
      <c r="B280" s="1024" t="s">
        <v>2303</v>
      </c>
      <c r="C280" s="1005" t="s">
        <v>900</v>
      </c>
      <c r="D280" s="1009">
        <v>93</v>
      </c>
      <c r="I280" s="1018">
        <f t="shared" si="54"/>
        <v>93</v>
      </c>
    </row>
    <row r="281" spans="2:9" ht="12.75">
      <c r="B281" s="1027"/>
      <c r="I281" s="1009"/>
    </row>
    <row r="282" spans="2:9" ht="13.5" thickBot="1">
      <c r="B282" s="1027"/>
      <c r="I282" s="1009"/>
    </row>
    <row r="283" spans="1:9" ht="12.75">
      <c r="A283" s="1038" t="s">
        <v>2039</v>
      </c>
      <c r="B283" s="1031" t="s">
        <v>1448</v>
      </c>
      <c r="C283" s="1005" t="s">
        <v>19</v>
      </c>
      <c r="D283" s="1009">
        <v>73</v>
      </c>
      <c r="I283" s="1013">
        <f>D283</f>
        <v>73</v>
      </c>
    </row>
    <row r="284" spans="1:9" ht="13.5" thickBot="1">
      <c r="A284" s="1038" t="s">
        <v>2039</v>
      </c>
      <c r="B284" s="1031" t="s">
        <v>1449</v>
      </c>
      <c r="C284" s="1005" t="s">
        <v>19</v>
      </c>
      <c r="D284" s="1009">
        <v>73</v>
      </c>
      <c r="I284" s="1018">
        <f>D284</f>
        <v>73</v>
      </c>
    </row>
    <row r="285" ht="12.75">
      <c r="I285" s="1009"/>
    </row>
    <row r="286" spans="2:9" ht="13.5" thickBot="1">
      <c r="B286" s="1010" t="s">
        <v>1743</v>
      </c>
      <c r="I286" s="1009"/>
    </row>
    <row r="287" spans="1:9" ht="12.75">
      <c r="A287" s="1030" t="s">
        <v>2040</v>
      </c>
      <c r="B287" s="1012" t="s">
        <v>2280</v>
      </c>
      <c r="C287" s="1005" t="s">
        <v>20</v>
      </c>
      <c r="D287" s="1009">
        <v>131.3</v>
      </c>
      <c r="I287" s="1013">
        <f>D287</f>
        <v>131.3</v>
      </c>
    </row>
    <row r="288" spans="1:9" ht="12.75">
      <c r="A288" s="1030" t="s">
        <v>2040</v>
      </c>
      <c r="B288" s="1012" t="s">
        <v>847</v>
      </c>
      <c r="C288" s="1005" t="s">
        <v>20</v>
      </c>
      <c r="D288" s="1009">
        <v>131.3</v>
      </c>
      <c r="I288" s="1015">
        <f>D288</f>
        <v>131.3</v>
      </c>
    </row>
    <row r="289" spans="1:9" ht="12.75">
      <c r="A289" s="1030" t="s">
        <v>2041</v>
      </c>
      <c r="B289" s="1012" t="s">
        <v>1572</v>
      </c>
      <c r="C289" s="1005" t="s">
        <v>222</v>
      </c>
      <c r="D289" s="1009">
        <v>150.6</v>
      </c>
      <c r="I289" s="1015">
        <f>D289</f>
        <v>150.6</v>
      </c>
    </row>
    <row r="290" spans="1:9" ht="12.75">
      <c r="A290" s="1030" t="s">
        <v>2042</v>
      </c>
      <c r="B290" s="1017" t="s">
        <v>1573</v>
      </c>
      <c r="C290" s="1005" t="s">
        <v>897</v>
      </c>
      <c r="D290" s="1009">
        <v>79</v>
      </c>
      <c r="I290" s="1015">
        <f>D290</f>
        <v>79</v>
      </c>
    </row>
    <row r="291" spans="1:9" ht="13.5" thickBot="1">
      <c r="A291" s="1014" t="s">
        <v>818</v>
      </c>
      <c r="B291" s="1012" t="s">
        <v>1574</v>
      </c>
      <c r="C291" s="1005" t="s">
        <v>899</v>
      </c>
      <c r="D291" s="1009">
        <v>8</v>
      </c>
      <c r="I291" s="1018">
        <f>D291</f>
        <v>8</v>
      </c>
    </row>
    <row r="292" ht="13.5" thickBot="1"/>
    <row r="293" spans="1:9" ht="12.75">
      <c r="A293" s="1039" t="s">
        <v>2043</v>
      </c>
      <c r="B293" s="1040" t="s">
        <v>2004</v>
      </c>
      <c r="D293" s="1034">
        <v>146</v>
      </c>
      <c r="I293" s="1034">
        <f>D293</f>
        <v>146</v>
      </c>
    </row>
    <row r="294" spans="1:9" ht="13.5" thickBot="1">
      <c r="A294" s="1024" t="s">
        <v>2005</v>
      </c>
      <c r="B294" s="1041" t="s">
        <v>1472</v>
      </c>
      <c r="D294" s="1035">
        <v>14.1</v>
      </c>
      <c r="I294" s="1035">
        <f>D294</f>
        <v>14.1</v>
      </c>
    </row>
  </sheetData>
  <sheetProtection password="A722" sheet="1" objects="1" scenarios="1"/>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H244"/>
  <sheetViews>
    <sheetView workbookViewId="0" topLeftCell="A1">
      <pane xSplit="3" ySplit="1" topLeftCell="D2" activePane="bottomRight" state="frozen"/>
      <selection pane="topLeft" activeCell="A1" sqref="A1"/>
      <selection pane="topRight" activeCell="D1" sqref="D1"/>
      <selection pane="bottomLeft" activeCell="A2" sqref="A2"/>
      <selection pane="bottomRight" activeCell="A1" sqref="A1"/>
    </sheetView>
  </sheetViews>
  <sheetFormatPr defaultColWidth="9.140625" defaultRowHeight="12.75"/>
  <cols>
    <col min="5" max="5" width="48.7109375" style="0" customWidth="1"/>
    <col min="26" max="26" width="9.8515625" style="0" customWidth="1"/>
    <col min="28" max="28" width="12.28125" style="0" customWidth="1"/>
    <col min="33" max="33" width="10.28125" style="0" customWidth="1"/>
  </cols>
  <sheetData>
    <row r="1" spans="1:34" ht="12.75">
      <c r="A1" t="s">
        <v>1213</v>
      </c>
      <c r="B1" t="s">
        <v>1214</v>
      </c>
      <c r="C1" t="s">
        <v>1215</v>
      </c>
      <c r="D1" t="s">
        <v>1216</v>
      </c>
      <c r="E1" t="s">
        <v>1217</v>
      </c>
      <c r="F1" t="s">
        <v>1218</v>
      </c>
      <c r="G1" t="s">
        <v>1219</v>
      </c>
      <c r="H1" t="s">
        <v>1220</v>
      </c>
      <c r="I1" t="s">
        <v>1221</v>
      </c>
      <c r="J1" t="s">
        <v>1222</v>
      </c>
      <c r="K1" t="s">
        <v>1223</v>
      </c>
      <c r="L1" t="s">
        <v>1224</v>
      </c>
      <c r="M1" t="s">
        <v>1225</v>
      </c>
      <c r="N1" t="s">
        <v>1226</v>
      </c>
      <c r="O1" t="s">
        <v>1227</v>
      </c>
      <c r="P1" t="s">
        <v>1228</v>
      </c>
      <c r="Q1" t="s">
        <v>1229</v>
      </c>
      <c r="R1" t="s">
        <v>1230</v>
      </c>
      <c r="S1" t="s">
        <v>1231</v>
      </c>
      <c r="T1" t="s">
        <v>1232</v>
      </c>
      <c r="U1" t="s">
        <v>1233</v>
      </c>
      <c r="V1" t="s">
        <v>1234</v>
      </c>
      <c r="W1" t="s">
        <v>1235</v>
      </c>
      <c r="X1" t="s">
        <v>1236</v>
      </c>
      <c r="Y1" t="s">
        <v>1237</v>
      </c>
      <c r="Z1" t="s">
        <v>1238</v>
      </c>
      <c r="AA1" s="1063" t="s">
        <v>2006</v>
      </c>
      <c r="AF1" s="1060" t="s">
        <v>2072</v>
      </c>
      <c r="AG1" s="785" t="s">
        <v>2073</v>
      </c>
      <c r="AH1" s="475" t="s">
        <v>2067</v>
      </c>
    </row>
    <row r="2" spans="1:34" ht="12.75">
      <c r="A2">
        <v>277</v>
      </c>
      <c r="B2" s="1060">
        <v>101</v>
      </c>
      <c r="C2" s="785">
        <v>120</v>
      </c>
      <c r="D2" s="785" t="s">
        <v>1239</v>
      </c>
      <c r="E2" s="785" t="s">
        <v>2285</v>
      </c>
      <c r="F2" s="785" t="s">
        <v>2286</v>
      </c>
      <c r="G2" s="1061">
        <v>38353</v>
      </c>
      <c r="H2" s="785" t="s">
        <v>1761</v>
      </c>
      <c r="I2" s="785" t="s">
        <v>1761</v>
      </c>
      <c r="J2" s="785" t="s">
        <v>2287</v>
      </c>
      <c r="K2" s="785" t="s">
        <v>2288</v>
      </c>
      <c r="L2" s="785" t="s">
        <v>829</v>
      </c>
      <c r="M2" s="785" t="s">
        <v>830</v>
      </c>
      <c r="N2" s="785"/>
      <c r="O2" s="785" t="s">
        <v>831</v>
      </c>
      <c r="P2" s="785" t="s">
        <v>832</v>
      </c>
      <c r="Q2" s="785" t="s">
        <v>833</v>
      </c>
      <c r="R2" s="785"/>
      <c r="S2" s="785">
        <v>1</v>
      </c>
      <c r="T2" s="785">
        <v>3030</v>
      </c>
      <c r="U2" s="785">
        <v>0</v>
      </c>
      <c r="V2" s="785">
        <v>0</v>
      </c>
      <c r="W2" s="785">
        <v>0</v>
      </c>
      <c r="X2" s="785">
        <v>9019</v>
      </c>
      <c r="Y2" s="1062">
        <v>32874</v>
      </c>
      <c r="Z2" s="1063">
        <v>35431</v>
      </c>
      <c r="AF2" s="767">
        <f>IF(OR(T2=$AF$241,T2=$AF$242,T2=$AF$243,T2=$AF$244),1,0)</f>
        <v>0</v>
      </c>
      <c r="AG2" s="133">
        <f>IF(voorblad!$F$32=NAW!B2,1,0)</f>
        <v>0</v>
      </c>
      <c r="AH2" s="841">
        <f>IF(AF2+AG2=2,1,0)</f>
        <v>0</v>
      </c>
    </row>
    <row r="3" spans="1:34" ht="12.75">
      <c r="A3">
        <v>278</v>
      </c>
      <c r="B3" s="767">
        <v>102</v>
      </c>
      <c r="C3" s="133">
        <v>120</v>
      </c>
      <c r="D3" s="133" t="s">
        <v>1239</v>
      </c>
      <c r="E3" s="133" t="s">
        <v>834</v>
      </c>
      <c r="F3" s="133" t="s">
        <v>2286</v>
      </c>
      <c r="G3" s="1064">
        <v>38353</v>
      </c>
      <c r="H3" s="133" t="s">
        <v>1761</v>
      </c>
      <c r="I3" s="133" t="s">
        <v>1761</v>
      </c>
      <c r="J3" s="133" t="s">
        <v>2287</v>
      </c>
      <c r="K3" s="133" t="s">
        <v>2288</v>
      </c>
      <c r="L3" s="133" t="s">
        <v>835</v>
      </c>
      <c r="M3" s="133" t="s">
        <v>836</v>
      </c>
      <c r="N3" s="133"/>
      <c r="O3" s="133" t="s">
        <v>837</v>
      </c>
      <c r="P3" s="133" t="s">
        <v>838</v>
      </c>
      <c r="Q3" s="133" t="s">
        <v>833</v>
      </c>
      <c r="R3" s="133"/>
      <c r="S3" s="133">
        <v>1</v>
      </c>
      <c r="T3" s="133">
        <v>3030</v>
      </c>
      <c r="U3" s="133">
        <v>0</v>
      </c>
      <c r="V3" s="133">
        <v>0</v>
      </c>
      <c r="W3" s="133">
        <v>0</v>
      </c>
      <c r="X3" s="133">
        <v>9019</v>
      </c>
      <c r="Y3" s="1065">
        <v>32874</v>
      </c>
      <c r="Z3" s="1066">
        <v>35431</v>
      </c>
      <c r="AF3" s="767">
        <f aca="true" t="shared" si="0" ref="AF3:AF66">IF(OR(T3=$AF$241,T3=$AF$242,T3=$AF$243,T3=$AF$244),1,0)</f>
        <v>0</v>
      </c>
      <c r="AG3" s="133">
        <f>IF(voorblad!$F$32=NAW!B3,1,0)</f>
        <v>0</v>
      </c>
      <c r="AH3" s="841">
        <f aca="true" t="shared" si="1" ref="AH3:AH66">IF(AF3+AG3=2,1,0)</f>
        <v>0</v>
      </c>
    </row>
    <row r="4" spans="1:34" ht="12.75">
      <c r="A4">
        <v>279</v>
      </c>
      <c r="B4" s="767">
        <v>107</v>
      </c>
      <c r="C4" s="133">
        <v>120</v>
      </c>
      <c r="D4" s="133" t="s">
        <v>839</v>
      </c>
      <c r="E4" s="133" t="s">
        <v>840</v>
      </c>
      <c r="F4" s="133" t="s">
        <v>2286</v>
      </c>
      <c r="G4" s="1064">
        <v>38353</v>
      </c>
      <c r="H4" s="133" t="s">
        <v>1761</v>
      </c>
      <c r="I4" s="133" t="s">
        <v>1761</v>
      </c>
      <c r="J4" s="133" t="s">
        <v>1940</v>
      </c>
      <c r="K4" s="133" t="s">
        <v>1941</v>
      </c>
      <c r="L4" s="133" t="s">
        <v>1942</v>
      </c>
      <c r="M4" s="133" t="s">
        <v>1943</v>
      </c>
      <c r="N4" s="133"/>
      <c r="O4" s="133" t="s">
        <v>1944</v>
      </c>
      <c r="P4" s="133" t="s">
        <v>1945</v>
      </c>
      <c r="Q4" s="133" t="s">
        <v>1946</v>
      </c>
      <c r="R4" s="133"/>
      <c r="S4" s="133">
        <v>1</v>
      </c>
      <c r="T4" s="133">
        <v>3010</v>
      </c>
      <c r="U4" s="133">
        <v>0</v>
      </c>
      <c r="V4" s="133">
        <v>0</v>
      </c>
      <c r="W4" s="133">
        <v>0</v>
      </c>
      <c r="X4" s="133">
        <v>9009</v>
      </c>
      <c r="Y4" s="1065">
        <v>32874</v>
      </c>
      <c r="Z4" s="1066">
        <v>36161</v>
      </c>
      <c r="AF4" s="767">
        <f t="shared" si="0"/>
        <v>0</v>
      </c>
      <c r="AG4" s="133">
        <f>IF(voorblad!$F$32=NAW!B4,1,0)</f>
        <v>0</v>
      </c>
      <c r="AH4" s="841">
        <f t="shared" si="1"/>
        <v>0</v>
      </c>
    </row>
    <row r="5" spans="1:34" ht="12.75">
      <c r="A5">
        <v>280</v>
      </c>
      <c r="B5" s="767">
        <v>108</v>
      </c>
      <c r="C5" s="133">
        <v>120</v>
      </c>
      <c r="D5" s="133" t="s">
        <v>839</v>
      </c>
      <c r="E5" s="133" t="s">
        <v>1947</v>
      </c>
      <c r="F5" s="133" t="s">
        <v>2286</v>
      </c>
      <c r="G5" s="1064">
        <v>38353</v>
      </c>
      <c r="H5" s="133" t="s">
        <v>1761</v>
      </c>
      <c r="I5" s="133" t="s">
        <v>1761</v>
      </c>
      <c r="J5" s="133" t="s">
        <v>2287</v>
      </c>
      <c r="K5" s="133" t="s">
        <v>1948</v>
      </c>
      <c r="L5" s="133" t="s">
        <v>1949</v>
      </c>
      <c r="M5" s="133" t="s">
        <v>1950</v>
      </c>
      <c r="N5" s="133"/>
      <c r="O5" s="133" t="s">
        <v>1951</v>
      </c>
      <c r="P5" s="133" t="s">
        <v>1952</v>
      </c>
      <c r="Q5" s="133" t="s">
        <v>833</v>
      </c>
      <c r="R5" s="133"/>
      <c r="S5" s="133">
        <v>1</v>
      </c>
      <c r="T5" s="133">
        <v>3010</v>
      </c>
      <c r="U5" s="133">
        <v>0</v>
      </c>
      <c r="V5" s="133">
        <v>0</v>
      </c>
      <c r="W5" s="133">
        <v>0</v>
      </c>
      <c r="X5" s="133">
        <v>9009</v>
      </c>
      <c r="Y5" s="1065">
        <v>32874</v>
      </c>
      <c r="Z5" s="1066">
        <v>36161</v>
      </c>
      <c r="AF5" s="767">
        <f t="shared" si="0"/>
        <v>0</v>
      </c>
      <c r="AG5" s="133">
        <f>IF(voorblad!$F$32=NAW!B5,1,0)</f>
        <v>0</v>
      </c>
      <c r="AH5" s="841">
        <f t="shared" si="1"/>
        <v>0</v>
      </c>
    </row>
    <row r="6" spans="1:34" ht="12.75">
      <c r="A6">
        <v>281</v>
      </c>
      <c r="B6" s="767">
        <v>201</v>
      </c>
      <c r="C6" s="133">
        <v>120</v>
      </c>
      <c r="D6" s="133" t="s">
        <v>1953</v>
      </c>
      <c r="E6" s="133" t="s">
        <v>2318</v>
      </c>
      <c r="F6" s="133" t="s">
        <v>2286</v>
      </c>
      <c r="G6" s="1064">
        <v>38353</v>
      </c>
      <c r="H6" s="133" t="s">
        <v>1761</v>
      </c>
      <c r="I6" s="133" t="s">
        <v>1761</v>
      </c>
      <c r="J6" s="133" t="s">
        <v>1940</v>
      </c>
      <c r="K6" s="133" t="s">
        <v>1954</v>
      </c>
      <c r="L6" s="133"/>
      <c r="M6" s="133"/>
      <c r="N6" s="133"/>
      <c r="O6" s="133" t="s">
        <v>1955</v>
      </c>
      <c r="P6" s="133" t="s">
        <v>1956</v>
      </c>
      <c r="Q6" s="133" t="s">
        <v>1957</v>
      </c>
      <c r="R6" s="133" t="s">
        <v>1958</v>
      </c>
      <c r="S6" s="133">
        <v>1</v>
      </c>
      <c r="T6" s="133">
        <v>3020</v>
      </c>
      <c r="U6" s="133">
        <v>0</v>
      </c>
      <c r="V6" s="133">
        <v>0</v>
      </c>
      <c r="W6" s="133">
        <v>0</v>
      </c>
      <c r="X6" s="133">
        <v>9150</v>
      </c>
      <c r="Y6" s="1065">
        <v>32874</v>
      </c>
      <c r="Z6" s="841"/>
      <c r="AF6" s="767">
        <f t="shared" si="0"/>
        <v>0</v>
      </c>
      <c r="AG6" s="133">
        <f>IF(voorblad!$F$32=NAW!B6,1,0)</f>
        <v>0</v>
      </c>
      <c r="AH6" s="841">
        <f t="shared" si="1"/>
        <v>0</v>
      </c>
    </row>
    <row r="7" spans="1:34" ht="12.75">
      <c r="A7">
        <v>282</v>
      </c>
      <c r="B7" s="767">
        <v>401</v>
      </c>
      <c r="C7" s="133">
        <v>120</v>
      </c>
      <c r="D7" s="133" t="s">
        <v>839</v>
      </c>
      <c r="E7" s="133" t="s">
        <v>1959</v>
      </c>
      <c r="F7" s="133" t="s">
        <v>2286</v>
      </c>
      <c r="G7" s="1064">
        <v>38353</v>
      </c>
      <c r="H7" s="133" t="s">
        <v>1761</v>
      </c>
      <c r="I7" s="133" t="s">
        <v>1761</v>
      </c>
      <c r="J7" s="133" t="s">
        <v>1940</v>
      </c>
      <c r="K7" s="133" t="s">
        <v>1960</v>
      </c>
      <c r="L7" s="133"/>
      <c r="M7" s="133"/>
      <c r="N7" s="133"/>
      <c r="O7" s="133" t="s">
        <v>1961</v>
      </c>
      <c r="P7" s="133" t="s">
        <v>1962</v>
      </c>
      <c r="Q7" s="133" t="s">
        <v>1963</v>
      </c>
      <c r="R7" s="133" t="s">
        <v>1964</v>
      </c>
      <c r="S7" s="133">
        <v>1</v>
      </c>
      <c r="T7" s="133">
        <v>3050</v>
      </c>
      <c r="U7" s="133">
        <v>0</v>
      </c>
      <c r="V7" s="133">
        <v>0</v>
      </c>
      <c r="W7" s="133">
        <v>0</v>
      </c>
      <c r="X7" s="133">
        <v>9017</v>
      </c>
      <c r="Y7" s="1065">
        <v>32874</v>
      </c>
      <c r="Z7" s="841"/>
      <c r="AF7" s="767">
        <f t="shared" si="0"/>
        <v>0</v>
      </c>
      <c r="AG7" s="133">
        <f>IF(voorblad!$F$32=NAW!B7,1,0)</f>
        <v>0</v>
      </c>
      <c r="AH7" s="841">
        <f t="shared" si="1"/>
        <v>0</v>
      </c>
    </row>
    <row r="8" spans="1:34" ht="12.75">
      <c r="A8">
        <v>283</v>
      </c>
      <c r="B8" s="767">
        <v>502</v>
      </c>
      <c r="C8" s="133">
        <v>120</v>
      </c>
      <c r="D8" s="133" t="s">
        <v>1965</v>
      </c>
      <c r="E8" s="133" t="s">
        <v>2319</v>
      </c>
      <c r="F8" s="133" t="s">
        <v>2286</v>
      </c>
      <c r="G8" s="1064">
        <v>38353</v>
      </c>
      <c r="H8" s="133" t="s">
        <v>1761</v>
      </c>
      <c r="I8" s="133" t="s">
        <v>1761</v>
      </c>
      <c r="J8" s="133" t="s">
        <v>1940</v>
      </c>
      <c r="K8" s="133" t="s">
        <v>1966</v>
      </c>
      <c r="L8" s="133" t="s">
        <v>1967</v>
      </c>
      <c r="M8" s="133" t="s">
        <v>1968</v>
      </c>
      <c r="N8" s="133"/>
      <c r="O8" s="133" t="s">
        <v>1969</v>
      </c>
      <c r="P8" s="133" t="s">
        <v>1970</v>
      </c>
      <c r="Q8" s="133" t="s">
        <v>1971</v>
      </c>
      <c r="R8" s="133"/>
      <c r="S8" s="133">
        <v>1</v>
      </c>
      <c r="T8" s="133">
        <v>3060</v>
      </c>
      <c r="U8" s="133">
        <v>0</v>
      </c>
      <c r="V8" s="133">
        <v>0</v>
      </c>
      <c r="W8" s="133">
        <v>0</v>
      </c>
      <c r="X8" s="133">
        <v>9024</v>
      </c>
      <c r="Y8" s="1065">
        <v>32874</v>
      </c>
      <c r="Z8" s="841"/>
      <c r="AF8" s="767">
        <f t="shared" si="0"/>
        <v>0</v>
      </c>
      <c r="AG8" s="133">
        <f>IF(voorblad!$F$32=NAW!B8,1,0)</f>
        <v>0</v>
      </c>
      <c r="AH8" s="841">
        <f t="shared" si="1"/>
        <v>0</v>
      </c>
    </row>
    <row r="9" spans="1:34" ht="12.75">
      <c r="A9">
        <v>284</v>
      </c>
      <c r="B9" s="767">
        <v>503</v>
      </c>
      <c r="C9" s="133">
        <v>120</v>
      </c>
      <c r="D9" s="133" t="s">
        <v>1239</v>
      </c>
      <c r="E9" s="133" t="s">
        <v>660</v>
      </c>
      <c r="F9" s="133" t="s">
        <v>2286</v>
      </c>
      <c r="G9" s="1064">
        <v>38353</v>
      </c>
      <c r="H9" s="133" t="s">
        <v>1761</v>
      </c>
      <c r="I9" s="133" t="s">
        <v>1761</v>
      </c>
      <c r="J9" s="133" t="s">
        <v>1940</v>
      </c>
      <c r="K9" s="133" t="s">
        <v>1972</v>
      </c>
      <c r="L9" s="133"/>
      <c r="M9" s="133"/>
      <c r="N9" s="133"/>
      <c r="O9" s="133" t="s">
        <v>1973</v>
      </c>
      <c r="P9" s="133" t="s">
        <v>1974</v>
      </c>
      <c r="Q9" s="133" t="s">
        <v>1963</v>
      </c>
      <c r="R9" s="133"/>
      <c r="S9" s="133">
        <v>1</v>
      </c>
      <c r="T9" s="133">
        <v>3061</v>
      </c>
      <c r="U9" s="133">
        <v>0</v>
      </c>
      <c r="V9" s="133">
        <v>0</v>
      </c>
      <c r="W9" s="133">
        <v>0</v>
      </c>
      <c r="X9" s="133">
        <v>9015</v>
      </c>
      <c r="Y9" s="1065">
        <v>32874</v>
      </c>
      <c r="Z9" s="841"/>
      <c r="AF9" s="767">
        <f t="shared" si="0"/>
        <v>0</v>
      </c>
      <c r="AG9" s="133">
        <f>IF(voorblad!$F$32=NAW!B9,1,0)</f>
        <v>0</v>
      </c>
      <c r="AH9" s="841">
        <f t="shared" si="1"/>
        <v>0</v>
      </c>
    </row>
    <row r="10" spans="1:34" ht="12.75">
      <c r="A10">
        <v>285</v>
      </c>
      <c r="B10" s="767">
        <v>504</v>
      </c>
      <c r="C10" s="133">
        <v>120</v>
      </c>
      <c r="D10" s="133" t="s">
        <v>1975</v>
      </c>
      <c r="E10" s="133" t="s">
        <v>1976</v>
      </c>
      <c r="F10" s="133" t="s">
        <v>2286</v>
      </c>
      <c r="G10" s="1064">
        <v>38353</v>
      </c>
      <c r="H10" s="133" t="s">
        <v>1761</v>
      </c>
      <c r="I10" s="133" t="s">
        <v>1761</v>
      </c>
      <c r="J10" s="133" t="s">
        <v>1940</v>
      </c>
      <c r="K10" s="133" t="s">
        <v>1976</v>
      </c>
      <c r="L10" s="133" t="s">
        <v>1977</v>
      </c>
      <c r="M10" s="133" t="s">
        <v>1978</v>
      </c>
      <c r="N10" s="133"/>
      <c r="O10" s="133" t="s">
        <v>1979</v>
      </c>
      <c r="P10" s="133" t="s">
        <v>1980</v>
      </c>
      <c r="Q10" s="133" t="s">
        <v>1963</v>
      </c>
      <c r="R10" s="133" t="s">
        <v>1981</v>
      </c>
      <c r="S10" s="133">
        <v>1</v>
      </c>
      <c r="T10" s="133">
        <v>3040</v>
      </c>
      <c r="U10" s="133">
        <v>0</v>
      </c>
      <c r="V10" s="133">
        <v>0</v>
      </c>
      <c r="W10" s="133">
        <v>0</v>
      </c>
      <c r="X10" s="133">
        <v>0</v>
      </c>
      <c r="Y10" s="1065">
        <v>32874</v>
      </c>
      <c r="Z10" s="841"/>
      <c r="AF10" s="767">
        <f t="shared" si="0"/>
        <v>0</v>
      </c>
      <c r="AG10" s="133">
        <f>IF(voorblad!$F$32=NAW!B10,1,0)</f>
        <v>0</v>
      </c>
      <c r="AH10" s="841">
        <f t="shared" si="1"/>
        <v>0</v>
      </c>
    </row>
    <row r="11" spans="1:34" ht="12.75">
      <c r="A11">
        <v>286</v>
      </c>
      <c r="B11" s="767">
        <v>505</v>
      </c>
      <c r="C11" s="133">
        <v>120</v>
      </c>
      <c r="D11" s="133" t="s">
        <v>2066</v>
      </c>
      <c r="E11" s="133" t="s">
        <v>1982</v>
      </c>
      <c r="F11" s="133" t="s">
        <v>2286</v>
      </c>
      <c r="G11" s="1064">
        <v>38353</v>
      </c>
      <c r="H11" s="133" t="s">
        <v>1761</v>
      </c>
      <c r="I11" s="133" t="s">
        <v>1761</v>
      </c>
      <c r="J11" s="133" t="s">
        <v>1983</v>
      </c>
      <c r="K11" s="133" t="s">
        <v>1984</v>
      </c>
      <c r="L11" s="133"/>
      <c r="M11" s="133"/>
      <c r="N11" s="133"/>
      <c r="O11" s="133" t="s">
        <v>1985</v>
      </c>
      <c r="P11" s="133" t="s">
        <v>1986</v>
      </c>
      <c r="Q11" s="133" t="s">
        <v>1971</v>
      </c>
      <c r="R11" s="133" t="s">
        <v>1987</v>
      </c>
      <c r="S11" s="133">
        <v>1</v>
      </c>
      <c r="T11" s="133">
        <v>3070</v>
      </c>
      <c r="U11" s="133">
        <v>0</v>
      </c>
      <c r="V11" s="133">
        <v>0</v>
      </c>
      <c r="W11" s="133">
        <v>0</v>
      </c>
      <c r="X11" s="133">
        <v>9033</v>
      </c>
      <c r="Y11" s="1065">
        <v>32874</v>
      </c>
      <c r="Z11" s="1066">
        <v>37257</v>
      </c>
      <c r="AF11" s="767">
        <f t="shared" si="0"/>
        <v>0</v>
      </c>
      <c r="AG11" s="133">
        <f>IF(voorblad!$F$32=NAW!B11,1,0)</f>
        <v>0</v>
      </c>
      <c r="AH11" s="841">
        <f t="shared" si="1"/>
        <v>0</v>
      </c>
    </row>
    <row r="12" spans="1:34" ht="12.75">
      <c r="A12">
        <v>287</v>
      </c>
      <c r="B12" s="767">
        <v>601</v>
      </c>
      <c r="C12" s="133">
        <v>120</v>
      </c>
      <c r="D12" s="133" t="s">
        <v>1975</v>
      </c>
      <c r="E12" s="133" t="s">
        <v>1988</v>
      </c>
      <c r="F12" s="133" t="s">
        <v>2286</v>
      </c>
      <c r="G12" s="1064">
        <v>38353</v>
      </c>
      <c r="H12" s="133" t="s">
        <v>1761</v>
      </c>
      <c r="I12" s="133" t="s">
        <v>1761</v>
      </c>
      <c r="J12" s="133" t="s">
        <v>1940</v>
      </c>
      <c r="K12" s="133" t="s">
        <v>1989</v>
      </c>
      <c r="L12" s="133" t="s">
        <v>1990</v>
      </c>
      <c r="M12" s="133" t="s">
        <v>2137</v>
      </c>
      <c r="N12" s="133"/>
      <c r="O12" s="133" t="s">
        <v>2138</v>
      </c>
      <c r="P12" s="133" t="s">
        <v>2139</v>
      </c>
      <c r="Q12" s="133" t="s">
        <v>1971</v>
      </c>
      <c r="R12" s="133" t="s">
        <v>2140</v>
      </c>
      <c r="S12" s="133">
        <v>1</v>
      </c>
      <c r="T12" s="133">
        <v>3070</v>
      </c>
      <c r="U12" s="133">
        <v>0</v>
      </c>
      <c r="V12" s="133">
        <v>0</v>
      </c>
      <c r="W12" s="133">
        <v>0</v>
      </c>
      <c r="X12" s="133">
        <v>9176</v>
      </c>
      <c r="Y12" s="1065">
        <v>32874</v>
      </c>
      <c r="Z12" s="841"/>
      <c r="AF12" s="767">
        <f t="shared" si="0"/>
        <v>0</v>
      </c>
      <c r="AG12" s="133">
        <f>IF(voorblad!$F$32=NAW!B12,1,0)</f>
        <v>0</v>
      </c>
      <c r="AH12" s="841">
        <f t="shared" si="1"/>
        <v>0</v>
      </c>
    </row>
    <row r="13" spans="1:34" ht="12.75">
      <c r="A13">
        <v>288</v>
      </c>
      <c r="B13" s="767">
        <v>602</v>
      </c>
      <c r="C13" s="133">
        <v>120</v>
      </c>
      <c r="D13" s="133" t="s">
        <v>1239</v>
      </c>
      <c r="E13" s="133" t="s">
        <v>2141</v>
      </c>
      <c r="F13" s="133" t="s">
        <v>2286</v>
      </c>
      <c r="G13" s="1064">
        <v>38353</v>
      </c>
      <c r="H13" s="133" t="s">
        <v>1761</v>
      </c>
      <c r="I13" s="133" t="s">
        <v>1761</v>
      </c>
      <c r="J13" s="133" t="s">
        <v>1940</v>
      </c>
      <c r="K13" s="133" t="s">
        <v>2142</v>
      </c>
      <c r="L13" s="133" t="s">
        <v>2143</v>
      </c>
      <c r="M13" s="133" t="s">
        <v>2144</v>
      </c>
      <c r="N13" s="133"/>
      <c r="O13" s="133" t="s">
        <v>2138</v>
      </c>
      <c r="P13" s="133" t="s">
        <v>2145</v>
      </c>
      <c r="Q13" s="133" t="s">
        <v>1971</v>
      </c>
      <c r="R13" s="133"/>
      <c r="S13" s="133">
        <v>1</v>
      </c>
      <c r="T13" s="133">
        <v>3070</v>
      </c>
      <c r="U13" s="133">
        <v>0</v>
      </c>
      <c r="V13" s="133">
        <v>0</v>
      </c>
      <c r="W13" s="133">
        <v>0</v>
      </c>
      <c r="X13" s="133">
        <v>9002</v>
      </c>
      <c r="Y13" s="1065">
        <v>32874</v>
      </c>
      <c r="Z13" s="1066">
        <v>36161</v>
      </c>
      <c r="AF13" s="767">
        <f t="shared" si="0"/>
        <v>0</v>
      </c>
      <c r="AG13" s="133">
        <f>IF(voorblad!$F$32=NAW!B13,1,0)</f>
        <v>0</v>
      </c>
      <c r="AH13" s="841">
        <f t="shared" si="1"/>
        <v>0</v>
      </c>
    </row>
    <row r="14" spans="1:34" ht="12.75">
      <c r="A14">
        <v>291</v>
      </c>
      <c r="B14" s="767">
        <v>606</v>
      </c>
      <c r="C14" s="133">
        <v>120</v>
      </c>
      <c r="D14" s="133" t="s">
        <v>1239</v>
      </c>
      <c r="E14" s="133" t="s">
        <v>2146</v>
      </c>
      <c r="F14" s="133" t="s">
        <v>2286</v>
      </c>
      <c r="G14" s="1064">
        <v>38353</v>
      </c>
      <c r="H14" s="133" t="s">
        <v>1761</v>
      </c>
      <c r="I14" s="133" t="s">
        <v>1761</v>
      </c>
      <c r="J14" s="133" t="s">
        <v>2287</v>
      </c>
      <c r="K14" s="133" t="s">
        <v>2147</v>
      </c>
      <c r="L14" s="133" t="s">
        <v>2148</v>
      </c>
      <c r="M14" s="133" t="s">
        <v>2149</v>
      </c>
      <c r="N14" s="133"/>
      <c r="O14" s="133" t="s">
        <v>2150</v>
      </c>
      <c r="P14" s="133" t="s">
        <v>2151</v>
      </c>
      <c r="Q14" s="133" t="s">
        <v>1971</v>
      </c>
      <c r="R14" s="133"/>
      <c r="S14" s="133">
        <v>1</v>
      </c>
      <c r="T14" s="133">
        <v>3070</v>
      </c>
      <c r="U14" s="133">
        <v>0</v>
      </c>
      <c r="V14" s="133">
        <v>0</v>
      </c>
      <c r="W14" s="133">
        <v>0</v>
      </c>
      <c r="X14" s="133">
        <v>9002</v>
      </c>
      <c r="Y14" s="1065">
        <v>32874</v>
      </c>
      <c r="Z14" s="1066">
        <v>36161</v>
      </c>
      <c r="AF14" s="767">
        <f t="shared" si="0"/>
        <v>0</v>
      </c>
      <c r="AG14" s="133">
        <f>IF(voorblad!$F$32=NAW!B14,1,0)</f>
        <v>0</v>
      </c>
      <c r="AH14" s="841">
        <f t="shared" si="1"/>
        <v>0</v>
      </c>
    </row>
    <row r="15" spans="1:34" ht="12.75">
      <c r="A15">
        <v>292</v>
      </c>
      <c r="B15" s="767">
        <v>701</v>
      </c>
      <c r="C15" s="133">
        <v>120</v>
      </c>
      <c r="D15" s="133" t="s">
        <v>2066</v>
      </c>
      <c r="E15" s="133" t="s">
        <v>2152</v>
      </c>
      <c r="F15" s="133" t="s">
        <v>2286</v>
      </c>
      <c r="G15" s="1064">
        <v>38353</v>
      </c>
      <c r="H15" s="133" t="s">
        <v>1761</v>
      </c>
      <c r="I15" s="133" t="s">
        <v>1761</v>
      </c>
      <c r="J15" s="133" t="s">
        <v>1940</v>
      </c>
      <c r="K15" s="133" t="s">
        <v>2153</v>
      </c>
      <c r="L15" s="133" t="s">
        <v>2154</v>
      </c>
      <c r="M15" s="133" t="s">
        <v>2155</v>
      </c>
      <c r="N15" s="133"/>
      <c r="O15" s="133" t="s">
        <v>2156</v>
      </c>
      <c r="P15" s="133" t="s">
        <v>1913</v>
      </c>
      <c r="Q15" s="133" t="s">
        <v>1971</v>
      </c>
      <c r="R15" s="133"/>
      <c r="S15" s="133">
        <v>1</v>
      </c>
      <c r="T15" s="133">
        <v>3080</v>
      </c>
      <c r="U15" s="133">
        <v>0</v>
      </c>
      <c r="V15" s="133">
        <v>0</v>
      </c>
      <c r="W15" s="133">
        <v>0</v>
      </c>
      <c r="X15" s="133">
        <v>0</v>
      </c>
      <c r="Y15" s="1065">
        <v>32874</v>
      </c>
      <c r="Z15" s="841"/>
      <c r="AF15" s="767">
        <f t="shared" si="0"/>
        <v>0</v>
      </c>
      <c r="AG15" s="133">
        <f>IF(voorblad!$F$32=NAW!B15,1,0)</f>
        <v>0</v>
      </c>
      <c r="AH15" s="841">
        <f t="shared" si="1"/>
        <v>0</v>
      </c>
    </row>
    <row r="16" spans="1:34" ht="12.75">
      <c r="A16">
        <v>293</v>
      </c>
      <c r="B16" s="767">
        <v>702</v>
      </c>
      <c r="C16" s="133">
        <v>120</v>
      </c>
      <c r="D16" s="133" t="s">
        <v>1965</v>
      </c>
      <c r="E16" s="133" t="s">
        <v>2322</v>
      </c>
      <c r="F16" s="133" t="s">
        <v>2286</v>
      </c>
      <c r="G16" s="1064">
        <v>38353</v>
      </c>
      <c r="H16" s="133" t="s">
        <v>1761</v>
      </c>
      <c r="I16" s="133" t="s">
        <v>1761</v>
      </c>
      <c r="J16" s="133" t="s">
        <v>1940</v>
      </c>
      <c r="K16" s="133" t="s">
        <v>785</v>
      </c>
      <c r="L16" s="133" t="s">
        <v>786</v>
      </c>
      <c r="M16" s="133" t="s">
        <v>787</v>
      </c>
      <c r="N16" s="133"/>
      <c r="O16" s="133" t="s">
        <v>788</v>
      </c>
      <c r="P16" s="133" t="s">
        <v>789</v>
      </c>
      <c r="Q16" s="133" t="s">
        <v>1971</v>
      </c>
      <c r="R16" s="133"/>
      <c r="S16" s="133">
        <v>1</v>
      </c>
      <c r="T16" s="133">
        <v>3080</v>
      </c>
      <c r="U16" s="133">
        <v>0</v>
      </c>
      <c r="V16" s="133">
        <v>0</v>
      </c>
      <c r="W16" s="133">
        <v>0</v>
      </c>
      <c r="X16" s="133">
        <v>9029</v>
      </c>
      <c r="Y16" s="1065">
        <v>32874</v>
      </c>
      <c r="Z16" s="841"/>
      <c r="AF16" s="767">
        <f t="shared" si="0"/>
        <v>0</v>
      </c>
      <c r="AG16" s="133">
        <f>IF(voorblad!$F$32=NAW!B16,1,0)</f>
        <v>0</v>
      </c>
      <c r="AH16" s="841">
        <f t="shared" si="1"/>
        <v>0</v>
      </c>
    </row>
    <row r="17" spans="1:34" ht="12.75">
      <c r="A17">
        <v>294</v>
      </c>
      <c r="B17" s="767">
        <v>801</v>
      </c>
      <c r="C17" s="133">
        <v>120</v>
      </c>
      <c r="D17" s="133" t="s">
        <v>1953</v>
      </c>
      <c r="E17" s="133" t="s">
        <v>361</v>
      </c>
      <c r="F17" s="133" t="s">
        <v>2286</v>
      </c>
      <c r="G17" s="1064">
        <v>38353</v>
      </c>
      <c r="H17" s="133" t="s">
        <v>1761</v>
      </c>
      <c r="I17" s="133" t="s">
        <v>1761</v>
      </c>
      <c r="J17" s="133" t="s">
        <v>1940</v>
      </c>
      <c r="K17" s="133" t="s">
        <v>361</v>
      </c>
      <c r="L17" s="133" t="s">
        <v>362</v>
      </c>
      <c r="M17" s="133" t="s">
        <v>363</v>
      </c>
      <c r="N17" s="133"/>
      <c r="O17" s="133" t="s">
        <v>364</v>
      </c>
      <c r="P17" s="133" t="s">
        <v>365</v>
      </c>
      <c r="Q17" s="133" t="s">
        <v>366</v>
      </c>
      <c r="R17" s="133"/>
      <c r="S17" s="133">
        <v>1</v>
      </c>
      <c r="T17" s="133">
        <v>3090</v>
      </c>
      <c r="U17" s="133">
        <v>0</v>
      </c>
      <c r="V17" s="133">
        <v>0</v>
      </c>
      <c r="W17" s="133">
        <v>0</v>
      </c>
      <c r="X17" s="133">
        <v>9005</v>
      </c>
      <c r="Y17" s="1065">
        <v>32874</v>
      </c>
      <c r="Z17" s="841"/>
      <c r="AF17" s="767">
        <f t="shared" si="0"/>
        <v>1</v>
      </c>
      <c r="AG17" s="133">
        <f>IF(voorblad!$F$32=NAW!B17,1,0)</f>
        <v>0</v>
      </c>
      <c r="AH17" s="841">
        <f t="shared" si="1"/>
        <v>0</v>
      </c>
    </row>
    <row r="18" spans="1:34" ht="12.75">
      <c r="A18">
        <v>295</v>
      </c>
      <c r="B18" s="767">
        <v>802</v>
      </c>
      <c r="C18" s="133">
        <v>120</v>
      </c>
      <c r="D18" s="133" t="s">
        <v>839</v>
      </c>
      <c r="E18" s="133" t="s">
        <v>2323</v>
      </c>
      <c r="F18" s="133" t="s">
        <v>2286</v>
      </c>
      <c r="G18" s="1064">
        <v>38353</v>
      </c>
      <c r="H18" s="133" t="s">
        <v>1761</v>
      </c>
      <c r="I18" s="133" t="s">
        <v>1761</v>
      </c>
      <c r="J18" s="133" t="s">
        <v>1940</v>
      </c>
      <c r="K18" s="133" t="s">
        <v>367</v>
      </c>
      <c r="L18" s="133" t="s">
        <v>368</v>
      </c>
      <c r="M18" s="133" t="s">
        <v>369</v>
      </c>
      <c r="N18" s="133"/>
      <c r="O18" s="133" t="s">
        <v>364</v>
      </c>
      <c r="P18" s="133" t="s">
        <v>370</v>
      </c>
      <c r="Q18" s="133" t="s">
        <v>366</v>
      </c>
      <c r="R18" s="133"/>
      <c r="S18" s="133">
        <v>1</v>
      </c>
      <c r="T18" s="133">
        <v>3090</v>
      </c>
      <c r="U18" s="133">
        <v>0</v>
      </c>
      <c r="V18" s="133">
        <v>0</v>
      </c>
      <c r="W18" s="133">
        <v>0</v>
      </c>
      <c r="X18" s="133">
        <v>9030</v>
      </c>
      <c r="Y18" s="1065">
        <v>32874</v>
      </c>
      <c r="Z18" s="841"/>
      <c r="AF18" s="767">
        <f t="shared" si="0"/>
        <v>1</v>
      </c>
      <c r="AG18" s="133">
        <f>IF(voorblad!$F$32=NAW!B18,1,0)</f>
        <v>0</v>
      </c>
      <c r="AH18" s="841">
        <f t="shared" si="1"/>
        <v>0</v>
      </c>
    </row>
    <row r="19" spans="1:34" ht="12.75">
      <c r="A19">
        <v>296</v>
      </c>
      <c r="B19" s="767">
        <v>803</v>
      </c>
      <c r="C19" s="133">
        <v>120</v>
      </c>
      <c r="D19" s="133" t="s">
        <v>1975</v>
      </c>
      <c r="E19" s="133" t="s">
        <v>2324</v>
      </c>
      <c r="F19" s="133" t="s">
        <v>2286</v>
      </c>
      <c r="G19" s="1064">
        <v>38353</v>
      </c>
      <c r="H19" s="133" t="s">
        <v>1761</v>
      </c>
      <c r="I19" s="133" t="s">
        <v>1761</v>
      </c>
      <c r="J19" s="133" t="s">
        <v>1940</v>
      </c>
      <c r="K19" s="133" t="s">
        <v>371</v>
      </c>
      <c r="L19" s="133"/>
      <c r="M19" s="133"/>
      <c r="N19" s="133"/>
      <c r="O19" s="133" t="s">
        <v>372</v>
      </c>
      <c r="P19" s="133" t="s">
        <v>373</v>
      </c>
      <c r="Q19" s="133" t="s">
        <v>1971</v>
      </c>
      <c r="R19" s="133"/>
      <c r="S19" s="133">
        <v>1</v>
      </c>
      <c r="T19" s="133">
        <v>3040</v>
      </c>
      <c r="U19" s="133">
        <v>0</v>
      </c>
      <c r="V19" s="133">
        <v>0</v>
      </c>
      <c r="W19" s="133">
        <v>0</v>
      </c>
      <c r="X19" s="133">
        <v>9026</v>
      </c>
      <c r="Y19" s="1065">
        <v>32874</v>
      </c>
      <c r="Z19" s="841"/>
      <c r="AF19" s="767">
        <f t="shared" si="0"/>
        <v>0</v>
      </c>
      <c r="AG19" s="133">
        <f>IF(voorblad!$F$32=NAW!B19,1,0)</f>
        <v>0</v>
      </c>
      <c r="AH19" s="841">
        <f t="shared" si="1"/>
        <v>0</v>
      </c>
    </row>
    <row r="20" spans="1:34" ht="12.75">
      <c r="A20">
        <v>297</v>
      </c>
      <c r="B20" s="767">
        <v>901</v>
      </c>
      <c r="C20" s="133">
        <v>120</v>
      </c>
      <c r="D20" s="133" t="s">
        <v>1975</v>
      </c>
      <c r="E20" s="133" t="s">
        <v>374</v>
      </c>
      <c r="F20" s="133" t="s">
        <v>2286</v>
      </c>
      <c r="G20" s="1064">
        <v>38353</v>
      </c>
      <c r="H20" s="133" t="s">
        <v>1761</v>
      </c>
      <c r="I20" s="133" t="s">
        <v>1761</v>
      </c>
      <c r="J20" s="133" t="s">
        <v>2287</v>
      </c>
      <c r="K20" s="133" t="s">
        <v>375</v>
      </c>
      <c r="L20" s="133" t="s">
        <v>376</v>
      </c>
      <c r="M20" s="133" t="s">
        <v>377</v>
      </c>
      <c r="N20" s="133"/>
      <c r="O20" s="133" t="s">
        <v>378</v>
      </c>
      <c r="P20" s="133" t="s">
        <v>379</v>
      </c>
      <c r="Q20" s="133" t="s">
        <v>366</v>
      </c>
      <c r="R20" s="133"/>
      <c r="S20" s="133">
        <v>1</v>
      </c>
      <c r="T20" s="133">
        <v>3090</v>
      </c>
      <c r="U20" s="133">
        <v>0</v>
      </c>
      <c r="V20" s="133">
        <v>0</v>
      </c>
      <c r="W20" s="133">
        <v>0</v>
      </c>
      <c r="X20" s="133">
        <v>9025</v>
      </c>
      <c r="Y20" s="1065">
        <v>32874</v>
      </c>
      <c r="Z20" s="1066">
        <v>35431</v>
      </c>
      <c r="AF20" s="767">
        <f t="shared" si="0"/>
        <v>1</v>
      </c>
      <c r="AG20" s="133">
        <f>IF(voorblad!$F$32=NAW!B20,1,0)</f>
        <v>0</v>
      </c>
      <c r="AH20" s="841">
        <f t="shared" si="1"/>
        <v>0</v>
      </c>
    </row>
    <row r="21" spans="1:34" ht="12.75">
      <c r="A21">
        <v>298</v>
      </c>
      <c r="B21" s="767">
        <v>902</v>
      </c>
      <c r="C21" s="133">
        <v>120</v>
      </c>
      <c r="D21" s="133" t="s">
        <v>1975</v>
      </c>
      <c r="E21" s="133" t="s">
        <v>380</v>
      </c>
      <c r="F21" s="133" t="s">
        <v>2286</v>
      </c>
      <c r="G21" s="1064">
        <v>38353</v>
      </c>
      <c r="H21" s="133" t="s">
        <v>1761</v>
      </c>
      <c r="I21" s="133" t="s">
        <v>1761</v>
      </c>
      <c r="J21" s="133" t="s">
        <v>2287</v>
      </c>
      <c r="K21" s="133" t="s">
        <v>381</v>
      </c>
      <c r="L21" s="133"/>
      <c r="M21" s="133"/>
      <c r="N21" s="133"/>
      <c r="O21" s="133" t="s">
        <v>382</v>
      </c>
      <c r="P21" s="133" t="s">
        <v>383</v>
      </c>
      <c r="Q21" s="133" t="s">
        <v>366</v>
      </c>
      <c r="R21" s="133"/>
      <c r="S21" s="133">
        <v>1</v>
      </c>
      <c r="T21" s="133">
        <v>3090</v>
      </c>
      <c r="U21" s="133">
        <v>0</v>
      </c>
      <c r="V21" s="133">
        <v>0</v>
      </c>
      <c r="W21" s="133">
        <v>0</v>
      </c>
      <c r="X21" s="133">
        <v>9025</v>
      </c>
      <c r="Y21" s="1065">
        <v>32874</v>
      </c>
      <c r="Z21" s="1066">
        <v>35431</v>
      </c>
      <c r="AF21" s="767">
        <f t="shared" si="0"/>
        <v>1</v>
      </c>
      <c r="AG21" s="133">
        <f>IF(voorblad!$F$32=NAW!B21,1,0)</f>
        <v>0</v>
      </c>
      <c r="AH21" s="841">
        <f t="shared" si="1"/>
        <v>0</v>
      </c>
    </row>
    <row r="22" spans="1:34" ht="12.75">
      <c r="A22">
        <v>299</v>
      </c>
      <c r="B22" s="767">
        <v>904</v>
      </c>
      <c r="C22" s="133">
        <v>120</v>
      </c>
      <c r="D22" s="133" t="s">
        <v>1975</v>
      </c>
      <c r="E22" s="133" t="s">
        <v>386</v>
      </c>
      <c r="F22" s="133" t="s">
        <v>2286</v>
      </c>
      <c r="G22" s="1064">
        <v>38353</v>
      </c>
      <c r="H22" s="133" t="s">
        <v>1761</v>
      </c>
      <c r="I22" s="133" t="s">
        <v>1761</v>
      </c>
      <c r="J22" s="133" t="s">
        <v>387</v>
      </c>
      <c r="K22" s="133" t="s">
        <v>388</v>
      </c>
      <c r="L22" s="133" t="s">
        <v>1143</v>
      </c>
      <c r="M22" s="133" t="s">
        <v>1144</v>
      </c>
      <c r="N22" s="133"/>
      <c r="O22" s="133" t="s">
        <v>1145</v>
      </c>
      <c r="P22" s="133" t="s">
        <v>1146</v>
      </c>
      <c r="Q22" s="133" t="s">
        <v>366</v>
      </c>
      <c r="R22" s="133"/>
      <c r="S22" s="133">
        <v>1</v>
      </c>
      <c r="T22" s="133">
        <v>3090</v>
      </c>
      <c r="U22" s="133">
        <v>0</v>
      </c>
      <c r="V22" s="133">
        <v>0</v>
      </c>
      <c r="W22" s="133">
        <v>0</v>
      </c>
      <c r="X22" s="133">
        <v>9025</v>
      </c>
      <c r="Y22" s="1065">
        <v>32874</v>
      </c>
      <c r="Z22" s="1066">
        <v>35431</v>
      </c>
      <c r="AF22" s="767">
        <f t="shared" si="0"/>
        <v>1</v>
      </c>
      <c r="AG22" s="133">
        <f>IF(voorblad!$F$32=NAW!B22,1,0)</f>
        <v>0</v>
      </c>
      <c r="AH22" s="841">
        <f t="shared" si="1"/>
        <v>0</v>
      </c>
    </row>
    <row r="23" spans="1:34" ht="12.75">
      <c r="A23">
        <v>301</v>
      </c>
      <c r="B23" s="767">
        <v>909</v>
      </c>
      <c r="C23" s="133">
        <v>120</v>
      </c>
      <c r="D23" s="133" t="s">
        <v>1965</v>
      </c>
      <c r="E23" s="133" t="s">
        <v>1147</v>
      </c>
      <c r="F23" s="133" t="s">
        <v>2286</v>
      </c>
      <c r="G23" s="1064">
        <v>38353</v>
      </c>
      <c r="H23" s="133" t="s">
        <v>1761</v>
      </c>
      <c r="I23" s="133" t="s">
        <v>1761</v>
      </c>
      <c r="J23" s="133" t="s">
        <v>1940</v>
      </c>
      <c r="K23" s="133" t="s">
        <v>1148</v>
      </c>
      <c r="L23" s="133" t="s">
        <v>1149</v>
      </c>
      <c r="M23" s="133" t="s">
        <v>1150</v>
      </c>
      <c r="N23" s="133"/>
      <c r="O23" s="133" t="s">
        <v>1151</v>
      </c>
      <c r="P23" s="133" t="s">
        <v>1152</v>
      </c>
      <c r="Q23" s="133" t="s">
        <v>366</v>
      </c>
      <c r="R23" s="133"/>
      <c r="S23" s="133">
        <v>1</v>
      </c>
      <c r="T23" s="133">
        <v>3090</v>
      </c>
      <c r="U23" s="133">
        <v>0</v>
      </c>
      <c r="V23" s="133">
        <v>0</v>
      </c>
      <c r="W23" s="133">
        <v>0</v>
      </c>
      <c r="X23" s="133">
        <v>0</v>
      </c>
      <c r="Y23" s="1065">
        <v>32874</v>
      </c>
      <c r="Z23" s="1066">
        <v>37987</v>
      </c>
      <c r="AF23" s="767">
        <f t="shared" si="0"/>
        <v>1</v>
      </c>
      <c r="AG23" s="133">
        <f>IF(voorblad!$F$32=NAW!B23,1,0)</f>
        <v>0</v>
      </c>
      <c r="AH23" s="841">
        <f t="shared" si="1"/>
        <v>0</v>
      </c>
    </row>
    <row r="24" spans="1:34" ht="12.75">
      <c r="A24">
        <v>302</v>
      </c>
      <c r="B24" s="767">
        <v>910</v>
      </c>
      <c r="C24" s="133">
        <v>120</v>
      </c>
      <c r="D24" s="133" t="s">
        <v>1953</v>
      </c>
      <c r="E24" s="133" t="s">
        <v>2326</v>
      </c>
      <c r="F24" s="133" t="s">
        <v>2286</v>
      </c>
      <c r="G24" s="1064">
        <v>38353</v>
      </c>
      <c r="H24" s="133" t="s">
        <v>1761</v>
      </c>
      <c r="I24" s="133" t="s">
        <v>1761</v>
      </c>
      <c r="J24" s="133" t="s">
        <v>1940</v>
      </c>
      <c r="K24" s="133" t="s">
        <v>1153</v>
      </c>
      <c r="L24" s="133"/>
      <c r="M24" s="133"/>
      <c r="N24" s="133"/>
      <c r="O24" s="133" t="s">
        <v>1154</v>
      </c>
      <c r="P24" s="133" t="s">
        <v>1155</v>
      </c>
      <c r="Q24" s="133" t="s">
        <v>366</v>
      </c>
      <c r="R24" s="133" t="s">
        <v>1156</v>
      </c>
      <c r="S24" s="133">
        <v>1</v>
      </c>
      <c r="T24" s="133">
        <v>3090</v>
      </c>
      <c r="U24" s="133">
        <v>0</v>
      </c>
      <c r="V24" s="133">
        <v>0</v>
      </c>
      <c r="W24" s="133">
        <v>0</v>
      </c>
      <c r="X24" s="133">
        <v>9021</v>
      </c>
      <c r="Y24" s="1065">
        <v>32874</v>
      </c>
      <c r="Z24" s="841"/>
      <c r="AF24" s="767">
        <f t="shared" si="0"/>
        <v>1</v>
      </c>
      <c r="AG24" s="133">
        <f>IF(voorblad!$F$32=NAW!B24,1,0)</f>
        <v>0</v>
      </c>
      <c r="AH24" s="841">
        <f t="shared" si="1"/>
        <v>0</v>
      </c>
    </row>
    <row r="25" spans="1:34" ht="12.75">
      <c r="A25">
        <v>303</v>
      </c>
      <c r="B25" s="767">
        <v>1101</v>
      </c>
      <c r="C25" s="133">
        <v>120</v>
      </c>
      <c r="D25" s="133" t="s">
        <v>2066</v>
      </c>
      <c r="E25" s="133" t="s">
        <v>2327</v>
      </c>
      <c r="F25" s="133" t="s">
        <v>2286</v>
      </c>
      <c r="G25" s="1064">
        <v>38353</v>
      </c>
      <c r="H25" s="133" t="s">
        <v>1761</v>
      </c>
      <c r="I25" s="133" t="s">
        <v>1761</v>
      </c>
      <c r="J25" s="133" t="s">
        <v>1940</v>
      </c>
      <c r="K25" s="133" t="s">
        <v>1157</v>
      </c>
      <c r="L25" s="133" t="s">
        <v>1158</v>
      </c>
      <c r="M25" s="133" t="s">
        <v>1159</v>
      </c>
      <c r="N25" s="133"/>
      <c r="O25" s="133" t="s">
        <v>1160</v>
      </c>
      <c r="P25" s="133" t="s">
        <v>1161</v>
      </c>
      <c r="Q25" s="133" t="s">
        <v>1162</v>
      </c>
      <c r="R25" s="133"/>
      <c r="S25" s="133">
        <v>1</v>
      </c>
      <c r="T25" s="133">
        <v>3120</v>
      </c>
      <c r="U25" s="133">
        <v>0</v>
      </c>
      <c r="V25" s="133">
        <v>0</v>
      </c>
      <c r="W25" s="133">
        <v>0</v>
      </c>
      <c r="X25" s="133">
        <v>9008</v>
      </c>
      <c r="Y25" s="1065">
        <v>32874</v>
      </c>
      <c r="Z25" s="841"/>
      <c r="AF25" s="767">
        <f t="shared" si="0"/>
        <v>0</v>
      </c>
      <c r="AG25" s="133">
        <f>IF(voorblad!$F$32=NAW!B25,1,0)</f>
        <v>0</v>
      </c>
      <c r="AH25" s="841">
        <f t="shared" si="1"/>
        <v>0</v>
      </c>
    </row>
    <row r="26" spans="1:34" ht="12.75">
      <c r="A26">
        <v>304</v>
      </c>
      <c r="B26" s="767">
        <v>1201</v>
      </c>
      <c r="C26" s="133">
        <v>120</v>
      </c>
      <c r="D26" s="133" t="s">
        <v>1965</v>
      </c>
      <c r="E26" s="133" t="s">
        <v>1163</v>
      </c>
      <c r="F26" s="133" t="s">
        <v>2286</v>
      </c>
      <c r="G26" s="1064">
        <v>38353</v>
      </c>
      <c r="H26" s="133" t="s">
        <v>1761</v>
      </c>
      <c r="I26" s="133" t="s">
        <v>1761</v>
      </c>
      <c r="J26" s="133" t="s">
        <v>1940</v>
      </c>
      <c r="K26" s="133" t="s">
        <v>1164</v>
      </c>
      <c r="L26" s="133" t="s">
        <v>1165</v>
      </c>
      <c r="M26" s="133" t="s">
        <v>1166</v>
      </c>
      <c r="N26" s="133"/>
      <c r="O26" s="133" t="s">
        <v>1167</v>
      </c>
      <c r="P26" s="133" t="s">
        <v>1168</v>
      </c>
      <c r="Q26" s="133" t="s">
        <v>1162</v>
      </c>
      <c r="R26" s="133"/>
      <c r="S26" s="133">
        <v>1</v>
      </c>
      <c r="T26" s="133">
        <v>3130</v>
      </c>
      <c r="U26" s="133">
        <v>0</v>
      </c>
      <c r="V26" s="133">
        <v>0</v>
      </c>
      <c r="W26" s="133">
        <v>0</v>
      </c>
      <c r="X26" s="133">
        <v>9014</v>
      </c>
      <c r="Y26" s="1065">
        <v>32874</v>
      </c>
      <c r="Z26" s="841"/>
      <c r="AF26" s="767">
        <f t="shared" si="0"/>
        <v>0</v>
      </c>
      <c r="AG26" s="133">
        <f>IF(voorblad!$F$32=NAW!B26,1,0)</f>
        <v>0</v>
      </c>
      <c r="AH26" s="841">
        <f t="shared" si="1"/>
        <v>0</v>
      </c>
    </row>
    <row r="27" spans="1:34" ht="12.75">
      <c r="A27">
        <v>305</v>
      </c>
      <c r="B27" s="767">
        <v>1202</v>
      </c>
      <c r="C27" s="133">
        <v>120</v>
      </c>
      <c r="D27" s="133" t="s">
        <v>1965</v>
      </c>
      <c r="E27" s="133" t="s">
        <v>1169</v>
      </c>
      <c r="F27" s="133" t="s">
        <v>2286</v>
      </c>
      <c r="G27" s="1064">
        <v>38353</v>
      </c>
      <c r="H27" s="133" t="s">
        <v>1761</v>
      </c>
      <c r="I27" s="133" t="s">
        <v>1761</v>
      </c>
      <c r="J27" s="133" t="s">
        <v>1940</v>
      </c>
      <c r="K27" s="133" t="s">
        <v>1170</v>
      </c>
      <c r="L27" s="133" t="s">
        <v>1171</v>
      </c>
      <c r="M27" s="133" t="s">
        <v>1172</v>
      </c>
      <c r="N27" s="133"/>
      <c r="O27" s="133" t="s">
        <v>1173</v>
      </c>
      <c r="P27" s="133" t="s">
        <v>1174</v>
      </c>
      <c r="Q27" s="133" t="s">
        <v>1162</v>
      </c>
      <c r="R27" s="133"/>
      <c r="S27" s="133">
        <v>1</v>
      </c>
      <c r="T27" s="133">
        <v>3130</v>
      </c>
      <c r="U27" s="133">
        <v>0</v>
      </c>
      <c r="V27" s="133">
        <v>0</v>
      </c>
      <c r="W27" s="133">
        <v>0</v>
      </c>
      <c r="X27" s="133">
        <v>0</v>
      </c>
      <c r="Y27" s="1065">
        <v>32874</v>
      </c>
      <c r="Z27" s="1066">
        <v>38353</v>
      </c>
      <c r="AF27" s="767">
        <f t="shared" si="0"/>
        <v>0</v>
      </c>
      <c r="AG27" s="133">
        <f>IF(voorblad!$F$32=NAW!B27,1,0)</f>
        <v>0</v>
      </c>
      <c r="AH27" s="841">
        <f t="shared" si="1"/>
        <v>0</v>
      </c>
    </row>
    <row r="28" spans="1:34" ht="12.75">
      <c r="A28">
        <v>307</v>
      </c>
      <c r="B28" s="767">
        <v>1304</v>
      </c>
      <c r="C28" s="133">
        <v>120</v>
      </c>
      <c r="D28" s="133" t="s">
        <v>839</v>
      </c>
      <c r="E28" s="133" t="s">
        <v>1175</v>
      </c>
      <c r="F28" s="133" t="s">
        <v>2286</v>
      </c>
      <c r="G28" s="1064">
        <v>38353</v>
      </c>
      <c r="H28" s="133" t="s">
        <v>1761</v>
      </c>
      <c r="I28" s="133" t="s">
        <v>1761</v>
      </c>
      <c r="J28" s="133" t="s">
        <v>1940</v>
      </c>
      <c r="K28" s="133" t="s">
        <v>1175</v>
      </c>
      <c r="L28" s="133" t="s">
        <v>1176</v>
      </c>
      <c r="M28" s="133" t="s">
        <v>1177</v>
      </c>
      <c r="N28" s="133"/>
      <c r="O28" s="133" t="s">
        <v>1178</v>
      </c>
      <c r="P28" s="133" t="s">
        <v>1179</v>
      </c>
      <c r="Q28" s="133" t="s">
        <v>1162</v>
      </c>
      <c r="R28" s="133"/>
      <c r="S28" s="133">
        <v>1</v>
      </c>
      <c r="T28" s="133">
        <v>3150</v>
      </c>
      <c r="U28" s="133">
        <v>0</v>
      </c>
      <c r="V28" s="133">
        <v>0</v>
      </c>
      <c r="W28" s="133">
        <v>0</v>
      </c>
      <c r="X28" s="133">
        <v>9028</v>
      </c>
      <c r="Y28" s="1065">
        <v>32874</v>
      </c>
      <c r="Z28" s="841"/>
      <c r="AF28" s="767">
        <f t="shared" si="0"/>
        <v>1</v>
      </c>
      <c r="AG28" s="133">
        <f>IF(voorblad!$F$32=NAW!B28,1,0)</f>
        <v>0</v>
      </c>
      <c r="AH28" s="841">
        <f t="shared" si="1"/>
        <v>0</v>
      </c>
    </row>
    <row r="29" spans="1:34" ht="12.75">
      <c r="A29">
        <v>311</v>
      </c>
      <c r="B29" s="767">
        <v>1401</v>
      </c>
      <c r="C29" s="133">
        <v>120</v>
      </c>
      <c r="D29" s="133" t="s">
        <v>839</v>
      </c>
      <c r="E29" s="133" t="s">
        <v>1180</v>
      </c>
      <c r="F29" s="133" t="s">
        <v>2286</v>
      </c>
      <c r="G29" s="1064">
        <v>38353</v>
      </c>
      <c r="H29" s="133" t="s">
        <v>1761</v>
      </c>
      <c r="I29" s="133" t="s">
        <v>1761</v>
      </c>
      <c r="J29" s="133" t="s">
        <v>1940</v>
      </c>
      <c r="K29" s="133" t="s">
        <v>1546</v>
      </c>
      <c r="L29" s="133"/>
      <c r="M29" s="133"/>
      <c r="N29" s="133"/>
      <c r="O29" s="133" t="s">
        <v>1547</v>
      </c>
      <c r="P29" s="133" t="s">
        <v>1548</v>
      </c>
      <c r="Q29" s="133" t="s">
        <v>1549</v>
      </c>
      <c r="R29" s="133"/>
      <c r="S29" s="133">
        <v>1</v>
      </c>
      <c r="T29" s="133">
        <v>3170</v>
      </c>
      <c r="U29" s="133">
        <v>0</v>
      </c>
      <c r="V29" s="133">
        <v>0</v>
      </c>
      <c r="W29" s="133">
        <v>0</v>
      </c>
      <c r="X29" s="133">
        <v>0</v>
      </c>
      <c r="Y29" s="1065">
        <v>32874</v>
      </c>
      <c r="Z29" s="1066">
        <v>36892</v>
      </c>
      <c r="AF29" s="767">
        <f t="shared" si="0"/>
        <v>0</v>
      </c>
      <c r="AG29" s="133">
        <f>IF(voorblad!$F$32=NAW!B29,1,0)</f>
        <v>0</v>
      </c>
      <c r="AH29" s="841">
        <f t="shared" si="1"/>
        <v>0</v>
      </c>
    </row>
    <row r="30" spans="1:34" ht="12.75">
      <c r="A30">
        <v>312</v>
      </c>
      <c r="B30" s="767">
        <v>1402</v>
      </c>
      <c r="C30" s="133">
        <v>120</v>
      </c>
      <c r="D30" s="133" t="s">
        <v>1239</v>
      </c>
      <c r="E30" s="133" t="s">
        <v>1550</v>
      </c>
      <c r="F30" s="133" t="s">
        <v>2286</v>
      </c>
      <c r="G30" s="1064">
        <v>38353</v>
      </c>
      <c r="H30" s="133" t="s">
        <v>1761</v>
      </c>
      <c r="I30" s="133" t="s">
        <v>1761</v>
      </c>
      <c r="J30" s="133" t="s">
        <v>387</v>
      </c>
      <c r="K30" s="133" t="s">
        <v>734</v>
      </c>
      <c r="L30" s="133" t="s">
        <v>735</v>
      </c>
      <c r="M30" s="133" t="s">
        <v>736</v>
      </c>
      <c r="N30" s="133"/>
      <c r="O30" s="133" t="s">
        <v>737</v>
      </c>
      <c r="P30" s="133" t="s">
        <v>738</v>
      </c>
      <c r="Q30" s="133" t="s">
        <v>1549</v>
      </c>
      <c r="R30" s="133"/>
      <c r="S30" s="133">
        <v>1</v>
      </c>
      <c r="T30" s="133">
        <v>3210</v>
      </c>
      <c r="U30" s="133">
        <v>0</v>
      </c>
      <c r="V30" s="133">
        <v>0</v>
      </c>
      <c r="W30" s="133">
        <v>0</v>
      </c>
      <c r="X30" s="133">
        <v>9010</v>
      </c>
      <c r="Y30" s="1065">
        <v>32874</v>
      </c>
      <c r="Z30" s="841"/>
      <c r="AF30" s="767">
        <f t="shared" si="0"/>
        <v>1</v>
      </c>
      <c r="AG30" s="133">
        <f>IF(voorblad!$F$32=NAW!B30,1,0)</f>
        <v>0</v>
      </c>
      <c r="AH30" s="841">
        <f t="shared" si="1"/>
        <v>0</v>
      </c>
    </row>
    <row r="31" spans="1:34" ht="12.75">
      <c r="A31">
        <v>313</v>
      </c>
      <c r="B31" s="767">
        <v>1403</v>
      </c>
      <c r="C31" s="133">
        <v>120</v>
      </c>
      <c r="D31" s="133" t="s">
        <v>2066</v>
      </c>
      <c r="E31" s="133" t="s">
        <v>739</v>
      </c>
      <c r="F31" s="133" t="s">
        <v>2286</v>
      </c>
      <c r="G31" s="1064">
        <v>38353</v>
      </c>
      <c r="H31" s="133" t="s">
        <v>1761</v>
      </c>
      <c r="I31" s="133" t="s">
        <v>1761</v>
      </c>
      <c r="J31" s="133" t="s">
        <v>1940</v>
      </c>
      <c r="K31" s="133" t="s">
        <v>740</v>
      </c>
      <c r="L31" s="133" t="s">
        <v>741</v>
      </c>
      <c r="M31" s="133" t="s">
        <v>742</v>
      </c>
      <c r="N31" s="133"/>
      <c r="O31" s="133" t="s">
        <v>743</v>
      </c>
      <c r="P31" s="133" t="s">
        <v>744</v>
      </c>
      <c r="Q31" s="133" t="s">
        <v>1549</v>
      </c>
      <c r="R31" s="133"/>
      <c r="S31" s="133">
        <v>1</v>
      </c>
      <c r="T31" s="133">
        <v>3170</v>
      </c>
      <c r="U31" s="133">
        <v>0</v>
      </c>
      <c r="V31" s="133">
        <v>0</v>
      </c>
      <c r="W31" s="133">
        <v>0</v>
      </c>
      <c r="X31" s="133">
        <v>0</v>
      </c>
      <c r="Y31" s="1065">
        <v>32874</v>
      </c>
      <c r="Z31" s="841"/>
      <c r="AF31" s="767">
        <f t="shared" si="0"/>
        <v>0</v>
      </c>
      <c r="AG31" s="133">
        <f>IF(voorblad!$F$32=NAW!B31,1,0)</f>
        <v>0</v>
      </c>
      <c r="AH31" s="841">
        <f t="shared" si="1"/>
        <v>0</v>
      </c>
    </row>
    <row r="32" spans="1:34" ht="12.75">
      <c r="A32">
        <v>314</v>
      </c>
      <c r="B32" s="767">
        <v>1405</v>
      </c>
      <c r="C32" s="133">
        <v>120</v>
      </c>
      <c r="D32" s="133" t="s">
        <v>839</v>
      </c>
      <c r="E32" s="133" t="s">
        <v>745</v>
      </c>
      <c r="F32" s="133" t="s">
        <v>2286</v>
      </c>
      <c r="G32" s="1064">
        <v>38353</v>
      </c>
      <c r="H32" s="133" t="s">
        <v>1761</v>
      </c>
      <c r="I32" s="133" t="s">
        <v>1761</v>
      </c>
      <c r="J32" s="133" t="s">
        <v>1940</v>
      </c>
      <c r="K32" s="133" t="s">
        <v>1546</v>
      </c>
      <c r="L32" s="133" t="s">
        <v>746</v>
      </c>
      <c r="M32" s="133" t="s">
        <v>747</v>
      </c>
      <c r="N32" s="133"/>
      <c r="O32" s="133" t="s">
        <v>743</v>
      </c>
      <c r="P32" s="133" t="s">
        <v>748</v>
      </c>
      <c r="Q32" s="133" t="s">
        <v>1549</v>
      </c>
      <c r="R32" s="133"/>
      <c r="S32" s="133">
        <v>1</v>
      </c>
      <c r="T32" s="133">
        <v>3170</v>
      </c>
      <c r="U32" s="133">
        <v>0</v>
      </c>
      <c r="V32" s="133">
        <v>0</v>
      </c>
      <c r="W32" s="133">
        <v>0</v>
      </c>
      <c r="X32" s="133">
        <v>0</v>
      </c>
      <c r="Y32" s="1065">
        <v>32874</v>
      </c>
      <c r="Z32" s="1066">
        <v>36892</v>
      </c>
      <c r="AF32" s="767">
        <f t="shared" si="0"/>
        <v>0</v>
      </c>
      <c r="AG32" s="133">
        <f>IF(voorblad!$F$32=NAW!B32,1,0)</f>
        <v>0</v>
      </c>
      <c r="AH32" s="841">
        <f t="shared" si="1"/>
        <v>0</v>
      </c>
    </row>
    <row r="33" spans="1:34" ht="12.75">
      <c r="A33">
        <v>315</v>
      </c>
      <c r="B33" s="767">
        <v>1501</v>
      </c>
      <c r="C33" s="133">
        <v>120</v>
      </c>
      <c r="D33" s="133" t="s">
        <v>2066</v>
      </c>
      <c r="E33" s="133" t="s">
        <v>2330</v>
      </c>
      <c r="F33" s="133" t="s">
        <v>2286</v>
      </c>
      <c r="G33" s="1064">
        <v>38353</v>
      </c>
      <c r="H33" s="133" t="s">
        <v>1761</v>
      </c>
      <c r="I33" s="133" t="s">
        <v>1761</v>
      </c>
      <c r="J33" s="133" t="s">
        <v>1940</v>
      </c>
      <c r="K33" s="133" t="s">
        <v>749</v>
      </c>
      <c r="L33" s="133"/>
      <c r="M33" s="133"/>
      <c r="N33" s="133"/>
      <c r="O33" s="133" t="s">
        <v>750</v>
      </c>
      <c r="P33" s="133" t="s">
        <v>751</v>
      </c>
      <c r="Q33" s="133" t="s">
        <v>1549</v>
      </c>
      <c r="R33" s="133"/>
      <c r="S33" s="133">
        <v>1</v>
      </c>
      <c r="T33" s="133">
        <v>3190</v>
      </c>
      <c r="U33" s="133">
        <v>0</v>
      </c>
      <c r="V33" s="133">
        <v>0</v>
      </c>
      <c r="W33" s="133">
        <v>0</v>
      </c>
      <c r="X33" s="133">
        <v>9020</v>
      </c>
      <c r="Y33" s="1065">
        <v>32874</v>
      </c>
      <c r="Z33" s="841"/>
      <c r="AF33" s="767">
        <f t="shared" si="0"/>
        <v>0</v>
      </c>
      <c r="AG33" s="133">
        <f>IF(voorblad!$F$32=NAW!B33,1,0)</f>
        <v>0</v>
      </c>
      <c r="AH33" s="841">
        <f t="shared" si="1"/>
        <v>0</v>
      </c>
    </row>
    <row r="34" spans="1:34" ht="12.75">
      <c r="A34">
        <v>316</v>
      </c>
      <c r="B34" s="767">
        <v>1502</v>
      </c>
      <c r="C34" s="133">
        <v>120</v>
      </c>
      <c r="D34" s="133" t="s">
        <v>1239</v>
      </c>
      <c r="E34" s="133" t="s">
        <v>752</v>
      </c>
      <c r="F34" s="133" t="s">
        <v>2286</v>
      </c>
      <c r="G34" s="1064">
        <v>38353</v>
      </c>
      <c r="H34" s="133" t="s">
        <v>1761</v>
      </c>
      <c r="I34" s="133" t="s">
        <v>1761</v>
      </c>
      <c r="J34" s="133" t="s">
        <v>2287</v>
      </c>
      <c r="K34" s="133" t="s">
        <v>753</v>
      </c>
      <c r="L34" s="133"/>
      <c r="M34" s="133"/>
      <c r="N34" s="133"/>
      <c r="O34" s="133" t="s">
        <v>754</v>
      </c>
      <c r="P34" s="133" t="s">
        <v>755</v>
      </c>
      <c r="Q34" s="133" t="s">
        <v>1549</v>
      </c>
      <c r="R34" s="133"/>
      <c r="S34" s="133">
        <v>1</v>
      </c>
      <c r="T34" s="133">
        <v>3180</v>
      </c>
      <c r="U34" s="133">
        <v>0</v>
      </c>
      <c r="V34" s="133">
        <v>0</v>
      </c>
      <c r="W34" s="133">
        <v>0</v>
      </c>
      <c r="X34" s="133">
        <v>9001</v>
      </c>
      <c r="Y34" s="1065">
        <v>32874</v>
      </c>
      <c r="Z34" s="1066">
        <v>35796</v>
      </c>
      <c r="AF34" s="767">
        <f t="shared" si="0"/>
        <v>1</v>
      </c>
      <c r="AG34" s="133">
        <f>IF(voorblad!$F$32=NAW!B34,1,0)</f>
        <v>0</v>
      </c>
      <c r="AH34" s="841">
        <f t="shared" si="1"/>
        <v>0</v>
      </c>
    </row>
    <row r="35" spans="1:34" ht="12.75">
      <c r="A35">
        <v>317</v>
      </c>
      <c r="B35" s="767">
        <v>1503</v>
      </c>
      <c r="C35" s="133">
        <v>120</v>
      </c>
      <c r="D35" s="133" t="s">
        <v>1239</v>
      </c>
      <c r="E35" s="133" t="s">
        <v>756</v>
      </c>
      <c r="F35" s="133" t="s">
        <v>2286</v>
      </c>
      <c r="G35" s="1064">
        <v>38353</v>
      </c>
      <c r="H35" s="133" t="s">
        <v>1761</v>
      </c>
      <c r="I35" s="133" t="s">
        <v>1761</v>
      </c>
      <c r="J35" s="133" t="s">
        <v>1940</v>
      </c>
      <c r="K35" s="133" t="s">
        <v>757</v>
      </c>
      <c r="L35" s="133"/>
      <c r="M35" s="133"/>
      <c r="N35" s="133"/>
      <c r="O35" s="133" t="s">
        <v>754</v>
      </c>
      <c r="P35" s="133" t="s">
        <v>758</v>
      </c>
      <c r="Q35" s="133" t="s">
        <v>1549</v>
      </c>
      <c r="R35" s="133" t="s">
        <v>759</v>
      </c>
      <c r="S35" s="133">
        <v>1</v>
      </c>
      <c r="T35" s="133">
        <v>3180</v>
      </c>
      <c r="U35" s="133">
        <v>0</v>
      </c>
      <c r="V35" s="133">
        <v>0</v>
      </c>
      <c r="W35" s="133">
        <v>0</v>
      </c>
      <c r="X35" s="133">
        <v>9001</v>
      </c>
      <c r="Y35" s="1065">
        <v>32874</v>
      </c>
      <c r="Z35" s="1066">
        <v>35796</v>
      </c>
      <c r="AF35" s="767">
        <f t="shared" si="0"/>
        <v>1</v>
      </c>
      <c r="AG35" s="133">
        <f>IF(voorblad!$F$32=NAW!B35,1,0)</f>
        <v>0</v>
      </c>
      <c r="AH35" s="841">
        <f t="shared" si="1"/>
        <v>0</v>
      </c>
    </row>
    <row r="36" spans="1:34" ht="12.75">
      <c r="A36">
        <v>318</v>
      </c>
      <c r="B36" s="767">
        <v>1504</v>
      </c>
      <c r="C36" s="133">
        <v>120</v>
      </c>
      <c r="D36" s="133" t="s">
        <v>1239</v>
      </c>
      <c r="E36" s="133" t="s">
        <v>760</v>
      </c>
      <c r="F36" s="133" t="s">
        <v>2286</v>
      </c>
      <c r="G36" s="1064">
        <v>38353</v>
      </c>
      <c r="H36" s="133" t="s">
        <v>1761</v>
      </c>
      <c r="I36" s="133" t="s">
        <v>1761</v>
      </c>
      <c r="J36" s="133" t="s">
        <v>2287</v>
      </c>
      <c r="K36" s="133" t="s">
        <v>761</v>
      </c>
      <c r="L36" s="133"/>
      <c r="M36" s="133"/>
      <c r="N36" s="133"/>
      <c r="O36" s="133" t="s">
        <v>754</v>
      </c>
      <c r="P36" s="133" t="s">
        <v>762</v>
      </c>
      <c r="Q36" s="133" t="s">
        <v>1549</v>
      </c>
      <c r="R36" s="133"/>
      <c r="S36" s="133">
        <v>1</v>
      </c>
      <c r="T36" s="133">
        <v>3180</v>
      </c>
      <c r="U36" s="133">
        <v>0</v>
      </c>
      <c r="V36" s="133">
        <v>0</v>
      </c>
      <c r="W36" s="133">
        <v>0</v>
      </c>
      <c r="X36" s="133">
        <v>9001</v>
      </c>
      <c r="Y36" s="1065">
        <v>32874</v>
      </c>
      <c r="Z36" s="1066">
        <v>36161</v>
      </c>
      <c r="AF36" s="767">
        <f t="shared" si="0"/>
        <v>1</v>
      </c>
      <c r="AG36" s="133">
        <f>IF(voorblad!$F$32=NAW!B36,1,0)</f>
        <v>0</v>
      </c>
      <c r="AH36" s="841">
        <f t="shared" si="1"/>
        <v>0</v>
      </c>
    </row>
    <row r="37" spans="1:34" ht="12.75">
      <c r="A37">
        <v>321</v>
      </c>
      <c r="B37" s="767">
        <v>1508</v>
      </c>
      <c r="C37" s="133">
        <v>120</v>
      </c>
      <c r="D37" s="133" t="s">
        <v>839</v>
      </c>
      <c r="E37" s="133" t="s">
        <v>763</v>
      </c>
      <c r="F37" s="133" t="s">
        <v>2286</v>
      </c>
      <c r="G37" s="1064">
        <v>38353</v>
      </c>
      <c r="H37" s="133" t="s">
        <v>1761</v>
      </c>
      <c r="I37" s="133" t="s">
        <v>1761</v>
      </c>
      <c r="J37" s="133" t="s">
        <v>1940</v>
      </c>
      <c r="K37" s="133" t="s">
        <v>764</v>
      </c>
      <c r="L37" s="133" t="s">
        <v>765</v>
      </c>
      <c r="M37" s="133" t="s">
        <v>766</v>
      </c>
      <c r="N37" s="133"/>
      <c r="O37" s="133" t="s">
        <v>767</v>
      </c>
      <c r="P37" s="133" t="s">
        <v>768</v>
      </c>
      <c r="Q37" s="133" t="s">
        <v>1549</v>
      </c>
      <c r="R37" s="133" t="s">
        <v>769</v>
      </c>
      <c r="S37" s="133">
        <v>1</v>
      </c>
      <c r="T37" s="133">
        <v>3170</v>
      </c>
      <c r="U37" s="133">
        <v>0</v>
      </c>
      <c r="V37" s="133">
        <v>0</v>
      </c>
      <c r="W37" s="133">
        <v>0</v>
      </c>
      <c r="X37" s="133">
        <v>0</v>
      </c>
      <c r="Y37" s="1065">
        <v>32874</v>
      </c>
      <c r="Z37" s="1066">
        <v>38353</v>
      </c>
      <c r="AF37" s="767">
        <f t="shared" si="0"/>
        <v>0</v>
      </c>
      <c r="AG37" s="133">
        <f>IF(voorblad!$F$32=NAW!B37,1,0)</f>
        <v>0</v>
      </c>
      <c r="AH37" s="841">
        <f t="shared" si="1"/>
        <v>0</v>
      </c>
    </row>
    <row r="38" spans="1:34" ht="12.75">
      <c r="A38">
        <v>322</v>
      </c>
      <c r="B38" s="767">
        <v>1701</v>
      </c>
      <c r="C38" s="133">
        <v>120</v>
      </c>
      <c r="D38" s="133" t="s">
        <v>1953</v>
      </c>
      <c r="E38" s="133" t="s">
        <v>770</v>
      </c>
      <c r="F38" s="133" t="s">
        <v>2286</v>
      </c>
      <c r="G38" s="1064">
        <v>38353</v>
      </c>
      <c r="H38" s="133" t="s">
        <v>1761</v>
      </c>
      <c r="I38" s="133" t="s">
        <v>1761</v>
      </c>
      <c r="J38" s="133" t="s">
        <v>1940</v>
      </c>
      <c r="K38" s="133" t="s">
        <v>771</v>
      </c>
      <c r="L38" s="133"/>
      <c r="M38" s="133"/>
      <c r="N38" s="133"/>
      <c r="O38" s="133" t="s">
        <v>772</v>
      </c>
      <c r="P38" s="133" t="s">
        <v>773</v>
      </c>
      <c r="Q38" s="133" t="s">
        <v>1549</v>
      </c>
      <c r="R38" s="133" t="s">
        <v>774</v>
      </c>
      <c r="S38" s="133">
        <v>1</v>
      </c>
      <c r="T38" s="133">
        <v>3230</v>
      </c>
      <c r="U38" s="133">
        <v>0</v>
      </c>
      <c r="V38" s="133">
        <v>0</v>
      </c>
      <c r="W38" s="133">
        <v>0</v>
      </c>
      <c r="X38" s="133">
        <v>0</v>
      </c>
      <c r="Y38" s="1065">
        <v>32874</v>
      </c>
      <c r="Z38" s="1066">
        <v>37987</v>
      </c>
      <c r="AF38" s="767">
        <f t="shared" si="0"/>
        <v>0</v>
      </c>
      <c r="AG38" s="133">
        <f>IF(voorblad!$F$32=NAW!B38,1,0)</f>
        <v>0</v>
      </c>
      <c r="AH38" s="841">
        <f t="shared" si="1"/>
        <v>0</v>
      </c>
    </row>
    <row r="39" spans="1:34" ht="12.75">
      <c r="A39">
        <v>324</v>
      </c>
      <c r="B39" s="767">
        <v>1801</v>
      </c>
      <c r="C39" s="133">
        <v>120</v>
      </c>
      <c r="D39" s="133" t="s">
        <v>1975</v>
      </c>
      <c r="E39" s="133" t="s">
        <v>514</v>
      </c>
      <c r="F39" s="133" t="s">
        <v>2286</v>
      </c>
      <c r="G39" s="1064">
        <v>38353</v>
      </c>
      <c r="H39" s="133" t="s">
        <v>1761</v>
      </c>
      <c r="I39" s="133" t="s">
        <v>1761</v>
      </c>
      <c r="J39" s="133" t="s">
        <v>1940</v>
      </c>
      <c r="K39" s="133" t="s">
        <v>775</v>
      </c>
      <c r="L39" s="133" t="s">
        <v>776</v>
      </c>
      <c r="M39" s="133" t="s">
        <v>777</v>
      </c>
      <c r="N39" s="133"/>
      <c r="O39" s="133" t="s">
        <v>778</v>
      </c>
      <c r="P39" s="133" t="s">
        <v>779</v>
      </c>
      <c r="Q39" s="133" t="s">
        <v>1549</v>
      </c>
      <c r="R39" s="133"/>
      <c r="S39" s="133">
        <v>1</v>
      </c>
      <c r="T39" s="133">
        <v>3240</v>
      </c>
      <c r="U39" s="133">
        <v>0</v>
      </c>
      <c r="V39" s="133">
        <v>0</v>
      </c>
      <c r="W39" s="133">
        <v>0</v>
      </c>
      <c r="X39" s="133">
        <v>9018</v>
      </c>
      <c r="Y39" s="1065">
        <v>32874</v>
      </c>
      <c r="Z39" s="841"/>
      <c r="AF39" s="767">
        <f t="shared" si="0"/>
        <v>0</v>
      </c>
      <c r="AG39" s="133">
        <f>IF(voorblad!$F$32=NAW!B39,1,0)</f>
        <v>0</v>
      </c>
      <c r="AH39" s="841">
        <f t="shared" si="1"/>
        <v>0</v>
      </c>
    </row>
    <row r="40" spans="1:34" ht="12.75">
      <c r="A40">
        <v>325</v>
      </c>
      <c r="B40" s="767">
        <v>1901</v>
      </c>
      <c r="C40" s="133">
        <v>120</v>
      </c>
      <c r="D40" s="133" t="s">
        <v>1239</v>
      </c>
      <c r="E40" s="133" t="s">
        <v>780</v>
      </c>
      <c r="F40" s="133" t="s">
        <v>2286</v>
      </c>
      <c r="G40" s="1064">
        <v>38353</v>
      </c>
      <c r="H40" s="133" t="s">
        <v>1761</v>
      </c>
      <c r="I40" s="133" t="s">
        <v>1761</v>
      </c>
      <c r="J40" s="133" t="s">
        <v>1940</v>
      </c>
      <c r="K40" s="133" t="s">
        <v>781</v>
      </c>
      <c r="L40" s="133" t="s">
        <v>782</v>
      </c>
      <c r="M40" s="133" t="s">
        <v>783</v>
      </c>
      <c r="N40" s="133"/>
      <c r="O40" s="133" t="s">
        <v>784</v>
      </c>
      <c r="P40" s="133" t="s">
        <v>2</v>
      </c>
      <c r="Q40" s="133" t="s">
        <v>3</v>
      </c>
      <c r="R40" s="133"/>
      <c r="S40" s="133">
        <v>1</v>
      </c>
      <c r="T40" s="133">
        <v>3250</v>
      </c>
      <c r="U40" s="133">
        <v>0</v>
      </c>
      <c r="V40" s="133">
        <v>0</v>
      </c>
      <c r="W40" s="133">
        <v>0</v>
      </c>
      <c r="X40" s="133">
        <v>9285</v>
      </c>
      <c r="Y40" s="1065">
        <v>32874</v>
      </c>
      <c r="Z40" s="841"/>
      <c r="AF40" s="767">
        <f t="shared" si="0"/>
        <v>0</v>
      </c>
      <c r="AG40" s="133">
        <f>IF(voorblad!$F$32=NAW!B40,1,0)</f>
        <v>0</v>
      </c>
      <c r="AH40" s="841">
        <f t="shared" si="1"/>
        <v>0</v>
      </c>
    </row>
    <row r="41" spans="1:34" ht="12.75">
      <c r="A41">
        <v>326</v>
      </c>
      <c r="B41" s="767">
        <v>2002</v>
      </c>
      <c r="C41" s="133">
        <v>120</v>
      </c>
      <c r="D41" s="133" t="s">
        <v>1975</v>
      </c>
      <c r="E41" s="133" t="s">
        <v>4</v>
      </c>
      <c r="F41" s="133" t="s">
        <v>2286</v>
      </c>
      <c r="G41" s="1064">
        <v>38353</v>
      </c>
      <c r="H41" s="133" t="s">
        <v>1761</v>
      </c>
      <c r="I41" s="133" t="s">
        <v>1761</v>
      </c>
      <c r="J41" s="133" t="s">
        <v>2287</v>
      </c>
      <c r="K41" s="133" t="s">
        <v>5</v>
      </c>
      <c r="L41" s="133" t="s">
        <v>6</v>
      </c>
      <c r="M41" s="133" t="s">
        <v>7</v>
      </c>
      <c r="N41" s="133"/>
      <c r="O41" s="133" t="s">
        <v>8</v>
      </c>
      <c r="P41" s="133" t="s">
        <v>9</v>
      </c>
      <c r="Q41" s="133" t="s">
        <v>2286</v>
      </c>
      <c r="R41" s="133"/>
      <c r="S41" s="133">
        <v>1</v>
      </c>
      <c r="T41" s="133">
        <v>3260</v>
      </c>
      <c r="U41" s="133">
        <v>0</v>
      </c>
      <c r="V41" s="133">
        <v>0</v>
      </c>
      <c r="W41" s="133">
        <v>0</v>
      </c>
      <c r="X41" s="133">
        <v>9255</v>
      </c>
      <c r="Y41" s="1065">
        <v>32874</v>
      </c>
      <c r="Z41" s="1066">
        <v>36892</v>
      </c>
      <c r="AF41" s="767">
        <f t="shared" si="0"/>
        <v>0</v>
      </c>
      <c r="AG41" s="133">
        <f>IF(voorblad!$F$32=NAW!B41,1,0)</f>
        <v>0</v>
      </c>
      <c r="AH41" s="841">
        <f t="shared" si="1"/>
        <v>0</v>
      </c>
    </row>
    <row r="42" spans="1:34" ht="12.75">
      <c r="A42">
        <v>327</v>
      </c>
      <c r="B42" s="767">
        <v>2003</v>
      </c>
      <c r="C42" s="133">
        <v>120</v>
      </c>
      <c r="D42" s="133" t="s">
        <v>2066</v>
      </c>
      <c r="E42" s="133" t="s">
        <v>1333</v>
      </c>
      <c r="F42" s="133" t="s">
        <v>2286</v>
      </c>
      <c r="G42" s="1064">
        <v>38353</v>
      </c>
      <c r="H42" s="133" t="s">
        <v>1761</v>
      </c>
      <c r="I42" s="133" t="s">
        <v>1761</v>
      </c>
      <c r="J42" s="133" t="s">
        <v>2287</v>
      </c>
      <c r="K42" s="133" t="s">
        <v>1334</v>
      </c>
      <c r="L42" s="133" t="s">
        <v>1335</v>
      </c>
      <c r="M42" s="133" t="s">
        <v>1336</v>
      </c>
      <c r="N42" s="133"/>
      <c r="O42" s="133" t="s">
        <v>1337</v>
      </c>
      <c r="P42" s="133" t="s">
        <v>1338</v>
      </c>
      <c r="Q42" s="133" t="s">
        <v>2286</v>
      </c>
      <c r="R42" s="133" t="s">
        <v>1339</v>
      </c>
      <c r="S42" s="133">
        <v>1</v>
      </c>
      <c r="T42" s="133">
        <v>3260</v>
      </c>
      <c r="U42" s="133">
        <v>0</v>
      </c>
      <c r="V42" s="133">
        <v>0</v>
      </c>
      <c r="W42" s="133">
        <v>0</v>
      </c>
      <c r="X42" s="133">
        <v>0</v>
      </c>
      <c r="Y42" s="1065">
        <v>32874</v>
      </c>
      <c r="Z42" s="841"/>
      <c r="AF42" s="767">
        <f t="shared" si="0"/>
        <v>0</v>
      </c>
      <c r="AG42" s="133">
        <f>IF(voorblad!$F$32=NAW!B42,1,0)</f>
        <v>0</v>
      </c>
      <c r="AH42" s="841">
        <f t="shared" si="1"/>
        <v>0</v>
      </c>
    </row>
    <row r="43" spans="1:34" ht="12.75">
      <c r="A43">
        <v>328</v>
      </c>
      <c r="B43" s="767">
        <v>2004</v>
      </c>
      <c r="C43" s="133">
        <v>120</v>
      </c>
      <c r="D43" s="133" t="s">
        <v>2066</v>
      </c>
      <c r="E43" s="133" t="s">
        <v>1340</v>
      </c>
      <c r="F43" s="133" t="s">
        <v>2286</v>
      </c>
      <c r="G43" s="1064">
        <v>38353</v>
      </c>
      <c r="H43" s="133" t="s">
        <v>1761</v>
      </c>
      <c r="I43" s="133" t="s">
        <v>1761</v>
      </c>
      <c r="J43" s="133" t="s">
        <v>1940</v>
      </c>
      <c r="K43" s="133" t="s">
        <v>1341</v>
      </c>
      <c r="L43" s="133" t="s">
        <v>1342</v>
      </c>
      <c r="M43" s="133" t="s">
        <v>1343</v>
      </c>
      <c r="N43" s="133"/>
      <c r="O43" s="133" t="s">
        <v>1337</v>
      </c>
      <c r="P43" s="133" t="s">
        <v>1344</v>
      </c>
      <c r="Q43" s="133" t="s">
        <v>2286</v>
      </c>
      <c r="R43" s="133"/>
      <c r="S43" s="133">
        <v>1</v>
      </c>
      <c r="T43" s="133">
        <v>3260</v>
      </c>
      <c r="U43" s="133">
        <v>0</v>
      </c>
      <c r="V43" s="133">
        <v>0</v>
      </c>
      <c r="W43" s="133">
        <v>0</v>
      </c>
      <c r="X43" s="133">
        <v>9040</v>
      </c>
      <c r="Y43" s="1065">
        <v>32874</v>
      </c>
      <c r="Z43" s="841"/>
      <c r="AF43" s="767">
        <f t="shared" si="0"/>
        <v>0</v>
      </c>
      <c r="AG43" s="133">
        <f>IF(voorblad!$F$32=NAW!B43,1,0)</f>
        <v>0</v>
      </c>
      <c r="AH43" s="841">
        <f t="shared" si="1"/>
        <v>0</v>
      </c>
    </row>
    <row r="44" spans="1:34" ht="12.75">
      <c r="A44">
        <v>329</v>
      </c>
      <c r="B44" s="767">
        <v>2101</v>
      </c>
      <c r="C44" s="133">
        <v>120</v>
      </c>
      <c r="D44" s="133" t="s">
        <v>839</v>
      </c>
      <c r="E44" s="133" t="s">
        <v>516</v>
      </c>
      <c r="F44" s="133" t="s">
        <v>2286</v>
      </c>
      <c r="G44" s="1064">
        <v>38353</v>
      </c>
      <c r="H44" s="133" t="s">
        <v>1761</v>
      </c>
      <c r="I44" s="133" t="s">
        <v>1761</v>
      </c>
      <c r="J44" s="133" t="s">
        <v>1940</v>
      </c>
      <c r="K44" s="133" t="s">
        <v>1345</v>
      </c>
      <c r="L44" s="133"/>
      <c r="M44" s="133"/>
      <c r="N44" s="133"/>
      <c r="O44" s="133" t="s">
        <v>1346</v>
      </c>
      <c r="P44" s="133"/>
      <c r="Q44" s="133" t="s">
        <v>2286</v>
      </c>
      <c r="R44" s="133"/>
      <c r="S44" s="133">
        <v>1</v>
      </c>
      <c r="T44" s="133">
        <v>3270</v>
      </c>
      <c r="U44" s="133">
        <v>0</v>
      </c>
      <c r="V44" s="133">
        <v>0</v>
      </c>
      <c r="W44" s="133">
        <v>0</v>
      </c>
      <c r="X44" s="133">
        <v>9355</v>
      </c>
      <c r="Y44" s="1065">
        <v>32874</v>
      </c>
      <c r="Z44" s="841"/>
      <c r="AF44" s="767">
        <f t="shared" si="0"/>
        <v>0</v>
      </c>
      <c r="AG44" s="133">
        <f>IF(voorblad!$F$32=NAW!B44,1,0)</f>
        <v>0</v>
      </c>
      <c r="AH44" s="841">
        <f t="shared" si="1"/>
        <v>0</v>
      </c>
    </row>
    <row r="45" spans="1:34" ht="12.75">
      <c r="A45">
        <v>335</v>
      </c>
      <c r="B45" s="767">
        <v>2304</v>
      </c>
      <c r="C45" s="133">
        <v>120</v>
      </c>
      <c r="D45" s="133" t="s">
        <v>2066</v>
      </c>
      <c r="E45" s="133" t="s">
        <v>1347</v>
      </c>
      <c r="F45" s="133" t="s">
        <v>2286</v>
      </c>
      <c r="G45" s="1064">
        <v>38353</v>
      </c>
      <c r="H45" s="133" t="s">
        <v>1761</v>
      </c>
      <c r="I45" s="133" t="s">
        <v>1761</v>
      </c>
      <c r="J45" s="133" t="s">
        <v>1940</v>
      </c>
      <c r="K45" s="133" t="s">
        <v>1348</v>
      </c>
      <c r="L45" s="133" t="s">
        <v>1349</v>
      </c>
      <c r="M45" s="133" t="s">
        <v>1350</v>
      </c>
      <c r="N45" s="133"/>
      <c r="O45" s="133" t="s">
        <v>1351</v>
      </c>
      <c r="P45" s="133" t="s">
        <v>1352</v>
      </c>
      <c r="Q45" s="133" t="s">
        <v>2286</v>
      </c>
      <c r="R45" s="133"/>
      <c r="S45" s="133">
        <v>1</v>
      </c>
      <c r="T45" s="133">
        <v>3290</v>
      </c>
      <c r="U45" s="133">
        <v>0</v>
      </c>
      <c r="V45" s="133">
        <v>0</v>
      </c>
      <c r="W45" s="133">
        <v>0</v>
      </c>
      <c r="X45" s="133">
        <v>9003</v>
      </c>
      <c r="Y45" s="1065">
        <v>32874</v>
      </c>
      <c r="Z45" s="841"/>
      <c r="AF45" s="767">
        <f t="shared" si="0"/>
        <v>0</v>
      </c>
      <c r="AG45" s="133">
        <f>IF(voorblad!$F$32=NAW!B45,1,0)</f>
        <v>0</v>
      </c>
      <c r="AH45" s="841">
        <f t="shared" si="1"/>
        <v>0</v>
      </c>
    </row>
    <row r="46" spans="1:34" ht="12.75">
      <c r="A46">
        <v>336</v>
      </c>
      <c r="B46" s="767">
        <v>2402</v>
      </c>
      <c r="C46" s="133">
        <v>120</v>
      </c>
      <c r="D46" s="133" t="s">
        <v>1953</v>
      </c>
      <c r="E46" s="133" t="s">
        <v>1353</v>
      </c>
      <c r="F46" s="133" t="s">
        <v>2286</v>
      </c>
      <c r="G46" s="1064">
        <v>38353</v>
      </c>
      <c r="H46" s="133" t="s">
        <v>1761</v>
      </c>
      <c r="I46" s="133" t="s">
        <v>1761</v>
      </c>
      <c r="J46" s="133" t="s">
        <v>1940</v>
      </c>
      <c r="K46" s="133" t="s">
        <v>1354</v>
      </c>
      <c r="L46" s="133" t="s">
        <v>1355</v>
      </c>
      <c r="M46" s="133" t="s">
        <v>1356</v>
      </c>
      <c r="N46" s="133"/>
      <c r="O46" s="133" t="s">
        <v>1357</v>
      </c>
      <c r="P46" s="133" t="s">
        <v>1358</v>
      </c>
      <c r="Q46" s="133" t="s">
        <v>1359</v>
      </c>
      <c r="R46" s="133" t="s">
        <v>2140</v>
      </c>
      <c r="S46" s="133">
        <v>1</v>
      </c>
      <c r="T46" s="133">
        <v>3300</v>
      </c>
      <c r="U46" s="133">
        <v>0</v>
      </c>
      <c r="V46" s="133">
        <v>0</v>
      </c>
      <c r="W46" s="133">
        <v>0</v>
      </c>
      <c r="X46" s="133">
        <v>0</v>
      </c>
      <c r="Y46" s="1065">
        <v>32874</v>
      </c>
      <c r="Z46" s="1066">
        <v>38353</v>
      </c>
      <c r="AF46" s="767">
        <f t="shared" si="0"/>
        <v>0</v>
      </c>
      <c r="AG46" s="133">
        <f>IF(voorblad!$F$32=NAW!B46,1,0)</f>
        <v>0</v>
      </c>
      <c r="AH46" s="841">
        <f t="shared" si="1"/>
        <v>0</v>
      </c>
    </row>
    <row r="47" spans="1:34" ht="12.75">
      <c r="A47">
        <v>337</v>
      </c>
      <c r="B47" s="767">
        <v>2501</v>
      </c>
      <c r="C47" s="133">
        <v>120</v>
      </c>
      <c r="D47" s="133" t="s">
        <v>2066</v>
      </c>
      <c r="E47" s="133" t="s">
        <v>1360</v>
      </c>
      <c r="F47" s="133" t="s">
        <v>2286</v>
      </c>
      <c r="G47" s="1064">
        <v>38353</v>
      </c>
      <c r="H47" s="133" t="s">
        <v>1761</v>
      </c>
      <c r="I47" s="133" t="s">
        <v>1761</v>
      </c>
      <c r="J47" s="133" t="s">
        <v>1940</v>
      </c>
      <c r="K47" s="133" t="s">
        <v>1361</v>
      </c>
      <c r="L47" s="133" t="s">
        <v>1362</v>
      </c>
      <c r="M47" s="133" t="s">
        <v>1363</v>
      </c>
      <c r="N47" s="133"/>
      <c r="O47" s="133" t="s">
        <v>1364</v>
      </c>
      <c r="P47" s="133" t="s">
        <v>1365</v>
      </c>
      <c r="Q47" s="133" t="s">
        <v>1359</v>
      </c>
      <c r="R47" s="133"/>
      <c r="S47" s="133">
        <v>1</v>
      </c>
      <c r="T47" s="133">
        <v>3310</v>
      </c>
      <c r="U47" s="133">
        <v>0</v>
      </c>
      <c r="V47" s="133">
        <v>0</v>
      </c>
      <c r="W47" s="133">
        <v>0</v>
      </c>
      <c r="X47" s="133">
        <v>9032</v>
      </c>
      <c r="Y47" s="1065">
        <v>32874</v>
      </c>
      <c r="Z47" s="841"/>
      <c r="AF47" s="767">
        <f t="shared" si="0"/>
        <v>0</v>
      </c>
      <c r="AG47" s="133">
        <f>IF(voorblad!$F$32=NAW!B47,1,0)</f>
        <v>0</v>
      </c>
      <c r="AH47" s="841">
        <f t="shared" si="1"/>
        <v>0</v>
      </c>
    </row>
    <row r="48" spans="1:34" ht="12.75">
      <c r="A48">
        <v>338</v>
      </c>
      <c r="B48" s="767">
        <v>2502</v>
      </c>
      <c r="C48" s="133">
        <v>120</v>
      </c>
      <c r="D48" s="133" t="s">
        <v>2066</v>
      </c>
      <c r="E48" s="133" t="s">
        <v>855</v>
      </c>
      <c r="F48" s="133" t="s">
        <v>2286</v>
      </c>
      <c r="G48" s="1064">
        <v>38353</v>
      </c>
      <c r="H48" s="133" t="s">
        <v>1761</v>
      </c>
      <c r="I48" s="133" t="s">
        <v>1761</v>
      </c>
      <c r="J48" s="133" t="s">
        <v>1940</v>
      </c>
      <c r="K48" s="133" t="s">
        <v>1366</v>
      </c>
      <c r="L48" s="133" t="s">
        <v>1367</v>
      </c>
      <c r="M48" s="133" t="s">
        <v>1368</v>
      </c>
      <c r="N48" s="133"/>
      <c r="O48" s="133" t="s">
        <v>1369</v>
      </c>
      <c r="P48" s="133" t="s">
        <v>1370</v>
      </c>
      <c r="Q48" s="133" t="s">
        <v>1359</v>
      </c>
      <c r="R48" s="133" t="s">
        <v>1371</v>
      </c>
      <c r="S48" s="133">
        <v>1</v>
      </c>
      <c r="T48" s="133">
        <v>3310</v>
      </c>
      <c r="U48" s="133">
        <v>0</v>
      </c>
      <c r="V48" s="133">
        <v>0</v>
      </c>
      <c r="W48" s="133">
        <v>0</v>
      </c>
      <c r="X48" s="133">
        <v>0</v>
      </c>
      <c r="Y48" s="1065">
        <v>32874</v>
      </c>
      <c r="Z48" s="841"/>
      <c r="AF48" s="767">
        <f t="shared" si="0"/>
        <v>0</v>
      </c>
      <c r="AG48" s="133">
        <f>IF(voorblad!$F$32=NAW!B48,1,0)</f>
        <v>0</v>
      </c>
      <c r="AH48" s="841">
        <f t="shared" si="1"/>
        <v>0</v>
      </c>
    </row>
    <row r="49" spans="1:34" ht="12.75">
      <c r="A49">
        <v>343</v>
      </c>
      <c r="B49" s="767">
        <v>105</v>
      </c>
      <c r="C49" s="133">
        <v>120</v>
      </c>
      <c r="D49" s="133" t="s">
        <v>1239</v>
      </c>
      <c r="E49" s="133" t="s">
        <v>1372</v>
      </c>
      <c r="F49" s="133" t="s">
        <v>2286</v>
      </c>
      <c r="G49" s="1064">
        <v>38353</v>
      </c>
      <c r="H49" s="133" t="s">
        <v>1761</v>
      </c>
      <c r="I49" s="133" t="s">
        <v>1761</v>
      </c>
      <c r="J49" s="133" t="s">
        <v>2287</v>
      </c>
      <c r="K49" s="133" t="s">
        <v>1373</v>
      </c>
      <c r="L49" s="133" t="s">
        <v>1374</v>
      </c>
      <c r="M49" s="133" t="s">
        <v>1375</v>
      </c>
      <c r="N49" s="133"/>
      <c r="O49" s="133" t="s">
        <v>1376</v>
      </c>
      <c r="P49" s="133" t="s">
        <v>1377</v>
      </c>
      <c r="Q49" s="133" t="s">
        <v>833</v>
      </c>
      <c r="R49" s="133"/>
      <c r="S49" s="133">
        <v>1</v>
      </c>
      <c r="T49" s="133">
        <v>3010</v>
      </c>
      <c r="U49" s="133">
        <v>0</v>
      </c>
      <c r="V49" s="133">
        <v>0</v>
      </c>
      <c r="W49" s="133">
        <v>0</v>
      </c>
      <c r="X49" s="133">
        <v>0</v>
      </c>
      <c r="Y49" s="1065">
        <v>32874</v>
      </c>
      <c r="Z49" s="1066">
        <v>36892</v>
      </c>
      <c r="AF49" s="767">
        <f t="shared" si="0"/>
        <v>0</v>
      </c>
      <c r="AG49" s="133">
        <f>IF(voorblad!$F$32=NAW!B49,1,0)</f>
        <v>0</v>
      </c>
      <c r="AH49" s="841">
        <f t="shared" si="1"/>
        <v>0</v>
      </c>
    </row>
    <row r="50" spans="1:34" ht="12.75">
      <c r="A50">
        <v>344</v>
      </c>
      <c r="B50" s="767">
        <v>106</v>
      </c>
      <c r="C50" s="133">
        <v>120</v>
      </c>
      <c r="D50" s="133" t="s">
        <v>1239</v>
      </c>
      <c r="E50" s="133" t="s">
        <v>1378</v>
      </c>
      <c r="F50" s="133" t="s">
        <v>2286</v>
      </c>
      <c r="G50" s="1064">
        <v>38353</v>
      </c>
      <c r="H50" s="133" t="s">
        <v>1761</v>
      </c>
      <c r="I50" s="133" t="s">
        <v>1761</v>
      </c>
      <c r="J50" s="133" t="s">
        <v>387</v>
      </c>
      <c r="K50" s="133" t="s">
        <v>1379</v>
      </c>
      <c r="L50" s="133"/>
      <c r="M50" s="133"/>
      <c r="N50" s="133"/>
      <c r="O50" s="133" t="s">
        <v>1380</v>
      </c>
      <c r="P50" s="133" t="s">
        <v>1381</v>
      </c>
      <c r="Q50" s="133" t="s">
        <v>833</v>
      </c>
      <c r="R50" s="133" t="s">
        <v>1382</v>
      </c>
      <c r="S50" s="133">
        <v>1</v>
      </c>
      <c r="T50" s="133">
        <v>3010</v>
      </c>
      <c r="U50" s="133">
        <v>0</v>
      </c>
      <c r="V50" s="133">
        <v>0</v>
      </c>
      <c r="W50" s="133">
        <v>0</v>
      </c>
      <c r="X50" s="133">
        <v>0</v>
      </c>
      <c r="Y50" s="1065">
        <v>32874</v>
      </c>
      <c r="Z50" s="1066">
        <v>36892</v>
      </c>
      <c r="AF50" s="767">
        <f t="shared" si="0"/>
        <v>0</v>
      </c>
      <c r="AG50" s="133">
        <f>IF(voorblad!$F$32=NAW!B50,1,0)</f>
        <v>0</v>
      </c>
      <c r="AH50" s="841">
        <f t="shared" si="1"/>
        <v>0</v>
      </c>
    </row>
    <row r="51" spans="1:34" ht="12.75">
      <c r="A51">
        <v>345</v>
      </c>
      <c r="B51" s="767">
        <v>202</v>
      </c>
      <c r="C51" s="133">
        <v>120</v>
      </c>
      <c r="D51" s="133" t="s">
        <v>1953</v>
      </c>
      <c r="E51" s="133" t="s">
        <v>1383</v>
      </c>
      <c r="F51" s="133" t="s">
        <v>2286</v>
      </c>
      <c r="G51" s="1064">
        <v>38353</v>
      </c>
      <c r="H51" s="133" t="s">
        <v>1761</v>
      </c>
      <c r="I51" s="133" t="s">
        <v>1761</v>
      </c>
      <c r="J51" s="133" t="s">
        <v>2287</v>
      </c>
      <c r="K51" s="133" t="s">
        <v>1384</v>
      </c>
      <c r="L51" s="133"/>
      <c r="M51" s="133"/>
      <c r="N51" s="133"/>
      <c r="O51" s="133" t="s">
        <v>1385</v>
      </c>
      <c r="P51" s="133" t="s">
        <v>819</v>
      </c>
      <c r="Q51" s="133" t="s">
        <v>1957</v>
      </c>
      <c r="R51" s="133" t="s">
        <v>820</v>
      </c>
      <c r="S51" s="133">
        <v>1</v>
      </c>
      <c r="T51" s="133">
        <v>3020</v>
      </c>
      <c r="U51" s="133">
        <v>0</v>
      </c>
      <c r="V51" s="133">
        <v>0</v>
      </c>
      <c r="W51" s="133">
        <v>0</v>
      </c>
      <c r="X51" s="133">
        <v>9150</v>
      </c>
      <c r="Y51" s="1065">
        <v>32874</v>
      </c>
      <c r="Z51" s="1066">
        <v>36161</v>
      </c>
      <c r="AF51" s="767">
        <f t="shared" si="0"/>
        <v>0</v>
      </c>
      <c r="AG51" s="133">
        <f>IF(voorblad!$F$32=NAW!B51,1,0)</f>
        <v>0</v>
      </c>
      <c r="AH51" s="841">
        <f t="shared" si="1"/>
        <v>0</v>
      </c>
    </row>
    <row r="52" spans="1:34" ht="12.75">
      <c r="A52">
        <v>346</v>
      </c>
      <c r="B52" s="767">
        <v>605</v>
      </c>
      <c r="C52" s="133">
        <v>120</v>
      </c>
      <c r="D52" s="133" t="s">
        <v>2066</v>
      </c>
      <c r="E52" s="133" t="s">
        <v>821</v>
      </c>
      <c r="F52" s="133" t="s">
        <v>2286</v>
      </c>
      <c r="G52" s="1064">
        <v>38353</v>
      </c>
      <c r="H52" s="133" t="s">
        <v>1761</v>
      </c>
      <c r="I52" s="133" t="s">
        <v>1761</v>
      </c>
      <c r="J52" s="133" t="s">
        <v>2287</v>
      </c>
      <c r="K52" s="133" t="s">
        <v>821</v>
      </c>
      <c r="L52" s="133" t="s">
        <v>822</v>
      </c>
      <c r="M52" s="133" t="s">
        <v>823</v>
      </c>
      <c r="N52" s="133"/>
      <c r="O52" s="133" t="s">
        <v>824</v>
      </c>
      <c r="P52" s="133" t="s">
        <v>825</v>
      </c>
      <c r="Q52" s="133" t="s">
        <v>1971</v>
      </c>
      <c r="R52" s="133" t="s">
        <v>826</v>
      </c>
      <c r="S52" s="133">
        <v>1</v>
      </c>
      <c r="T52" s="133">
        <v>3070</v>
      </c>
      <c r="U52" s="133">
        <v>0</v>
      </c>
      <c r="V52" s="133">
        <v>0</v>
      </c>
      <c r="W52" s="133">
        <v>0</v>
      </c>
      <c r="X52" s="133">
        <v>0</v>
      </c>
      <c r="Y52" s="1065">
        <v>32874</v>
      </c>
      <c r="Z52" s="841"/>
      <c r="AF52" s="767">
        <f t="shared" si="0"/>
        <v>0</v>
      </c>
      <c r="AG52" s="133">
        <f>IF(voorblad!$F$32=NAW!B52,1,0)</f>
        <v>0</v>
      </c>
      <c r="AH52" s="841">
        <f t="shared" si="1"/>
        <v>0</v>
      </c>
    </row>
    <row r="53" spans="1:34" ht="12.75">
      <c r="A53">
        <v>349</v>
      </c>
      <c r="B53" s="767">
        <v>705</v>
      </c>
      <c r="C53" s="133">
        <v>120</v>
      </c>
      <c r="D53" s="133" t="s">
        <v>1965</v>
      </c>
      <c r="E53" s="133" t="s">
        <v>827</v>
      </c>
      <c r="F53" s="133" t="s">
        <v>2286</v>
      </c>
      <c r="G53" s="1064">
        <v>38353</v>
      </c>
      <c r="H53" s="133" t="s">
        <v>1761</v>
      </c>
      <c r="I53" s="133" t="s">
        <v>1761</v>
      </c>
      <c r="J53" s="133" t="s">
        <v>1940</v>
      </c>
      <c r="K53" s="133" t="s">
        <v>828</v>
      </c>
      <c r="L53" s="133"/>
      <c r="M53" s="133"/>
      <c r="N53" s="133"/>
      <c r="O53" s="133" t="s">
        <v>1775</v>
      </c>
      <c r="P53" s="133" t="s">
        <v>1776</v>
      </c>
      <c r="Q53" s="133" t="s">
        <v>1971</v>
      </c>
      <c r="R53" s="133" t="s">
        <v>1777</v>
      </c>
      <c r="S53" s="133">
        <v>1</v>
      </c>
      <c r="T53" s="133">
        <v>3070</v>
      </c>
      <c r="U53" s="133">
        <v>0</v>
      </c>
      <c r="V53" s="133">
        <v>0</v>
      </c>
      <c r="W53" s="133">
        <v>0</v>
      </c>
      <c r="X53" s="133">
        <v>0</v>
      </c>
      <c r="Y53" s="1065">
        <v>32874</v>
      </c>
      <c r="Z53" s="841"/>
      <c r="AF53" s="767">
        <f t="shared" si="0"/>
        <v>0</v>
      </c>
      <c r="AG53" s="133">
        <f>IF(voorblad!$F$32=NAW!B53,1,0)</f>
        <v>0</v>
      </c>
      <c r="AH53" s="841">
        <f t="shared" si="1"/>
        <v>0</v>
      </c>
    </row>
    <row r="54" spans="1:34" ht="12.75">
      <c r="A54">
        <v>350</v>
      </c>
      <c r="B54" s="767">
        <v>906</v>
      </c>
      <c r="C54" s="133">
        <v>120</v>
      </c>
      <c r="D54" s="133" t="s">
        <v>839</v>
      </c>
      <c r="E54" s="133" t="s">
        <v>1778</v>
      </c>
      <c r="F54" s="133" t="s">
        <v>2286</v>
      </c>
      <c r="G54" s="1064">
        <v>38353</v>
      </c>
      <c r="H54" s="133" t="s">
        <v>1761</v>
      </c>
      <c r="I54" s="133" t="s">
        <v>1761</v>
      </c>
      <c r="J54" s="133" t="s">
        <v>1940</v>
      </c>
      <c r="K54" s="133" t="s">
        <v>1779</v>
      </c>
      <c r="L54" s="133" t="s">
        <v>1118</v>
      </c>
      <c r="M54" s="133" t="s">
        <v>1119</v>
      </c>
      <c r="N54" s="133"/>
      <c r="O54" s="133" t="s">
        <v>1145</v>
      </c>
      <c r="P54" s="133" t="s">
        <v>1120</v>
      </c>
      <c r="Q54" s="133" t="s">
        <v>366</v>
      </c>
      <c r="R54" s="133"/>
      <c r="S54" s="133">
        <v>1</v>
      </c>
      <c r="T54" s="133">
        <v>3090</v>
      </c>
      <c r="U54" s="133">
        <v>0</v>
      </c>
      <c r="V54" s="133">
        <v>0</v>
      </c>
      <c r="W54" s="133">
        <v>0</v>
      </c>
      <c r="X54" s="133">
        <v>9036</v>
      </c>
      <c r="Y54" s="1065">
        <v>32874</v>
      </c>
      <c r="Z54" s="841"/>
      <c r="AF54" s="767">
        <f t="shared" si="0"/>
        <v>1</v>
      </c>
      <c r="AG54" s="133">
        <f>IF(voorblad!$F$32=NAW!B54,1,0)</f>
        <v>0</v>
      </c>
      <c r="AH54" s="841">
        <f t="shared" si="1"/>
        <v>0</v>
      </c>
    </row>
    <row r="55" spans="1:34" ht="12.75">
      <c r="A55">
        <v>351</v>
      </c>
      <c r="B55" s="767">
        <v>1301</v>
      </c>
      <c r="C55" s="133">
        <v>120</v>
      </c>
      <c r="D55" s="133" t="s">
        <v>1965</v>
      </c>
      <c r="E55" s="133" t="s">
        <v>1121</v>
      </c>
      <c r="F55" s="133" t="s">
        <v>2286</v>
      </c>
      <c r="G55" s="1064">
        <v>38353</v>
      </c>
      <c r="H55" s="133" t="s">
        <v>1761</v>
      </c>
      <c r="I55" s="133" t="s">
        <v>1761</v>
      </c>
      <c r="J55" s="133" t="s">
        <v>1940</v>
      </c>
      <c r="K55" s="133" t="s">
        <v>1122</v>
      </c>
      <c r="L55" s="133"/>
      <c r="M55" s="133"/>
      <c r="N55" s="133"/>
      <c r="O55" s="133" t="s">
        <v>1123</v>
      </c>
      <c r="P55" s="133" t="s">
        <v>1579</v>
      </c>
      <c r="Q55" s="133" t="s">
        <v>1162</v>
      </c>
      <c r="R55" s="133" t="s">
        <v>1580</v>
      </c>
      <c r="S55" s="133">
        <v>1</v>
      </c>
      <c r="T55" s="133">
        <v>3120</v>
      </c>
      <c r="U55" s="133">
        <v>0</v>
      </c>
      <c r="V55" s="133">
        <v>0</v>
      </c>
      <c r="W55" s="133">
        <v>0</v>
      </c>
      <c r="X55" s="133">
        <v>0</v>
      </c>
      <c r="Y55" s="1065">
        <v>32874</v>
      </c>
      <c r="Z55" s="841"/>
      <c r="AF55" s="767">
        <f t="shared" si="0"/>
        <v>0</v>
      </c>
      <c r="AG55" s="133">
        <f>IF(voorblad!$F$32=NAW!B55,1,0)</f>
        <v>0</v>
      </c>
      <c r="AH55" s="841">
        <f t="shared" si="1"/>
        <v>0</v>
      </c>
    </row>
    <row r="56" spans="1:34" ht="12.75">
      <c r="A56">
        <v>352</v>
      </c>
      <c r="B56" s="767">
        <v>1303</v>
      </c>
      <c r="C56" s="133">
        <v>120</v>
      </c>
      <c r="D56" s="133" t="s">
        <v>1239</v>
      </c>
      <c r="E56" s="133" t="s">
        <v>1581</v>
      </c>
      <c r="F56" s="133" t="s">
        <v>2286</v>
      </c>
      <c r="G56" s="1064">
        <v>38353</v>
      </c>
      <c r="H56" s="133" t="s">
        <v>1761</v>
      </c>
      <c r="I56" s="133" t="s">
        <v>1761</v>
      </c>
      <c r="J56" s="133" t="s">
        <v>2287</v>
      </c>
      <c r="K56" s="133" t="s">
        <v>1582</v>
      </c>
      <c r="L56" s="133"/>
      <c r="M56" s="133"/>
      <c r="N56" s="133"/>
      <c r="O56" s="133" t="s">
        <v>1583</v>
      </c>
      <c r="P56" s="133" t="s">
        <v>1584</v>
      </c>
      <c r="Q56" s="133" t="s">
        <v>1162</v>
      </c>
      <c r="R56" s="133" t="s">
        <v>1585</v>
      </c>
      <c r="S56" s="133">
        <v>1</v>
      </c>
      <c r="T56" s="133">
        <v>3150</v>
      </c>
      <c r="U56" s="133">
        <v>0</v>
      </c>
      <c r="V56" s="133">
        <v>0</v>
      </c>
      <c r="W56" s="133">
        <v>0</v>
      </c>
      <c r="X56" s="133">
        <v>0</v>
      </c>
      <c r="Y56" s="1065">
        <v>32874</v>
      </c>
      <c r="Z56" s="1066">
        <v>37987</v>
      </c>
      <c r="AF56" s="767">
        <f t="shared" si="0"/>
        <v>1</v>
      </c>
      <c r="AG56" s="133">
        <f>IF(voorblad!$F$32=NAW!B56,1,0)</f>
        <v>0</v>
      </c>
      <c r="AH56" s="841">
        <f t="shared" si="1"/>
        <v>0</v>
      </c>
    </row>
    <row r="57" spans="1:34" ht="12.75">
      <c r="A57">
        <v>353</v>
      </c>
      <c r="B57" s="767">
        <v>1404</v>
      </c>
      <c r="C57" s="133">
        <v>120</v>
      </c>
      <c r="D57" s="133" t="s">
        <v>1975</v>
      </c>
      <c r="E57" s="133" t="s">
        <v>1586</v>
      </c>
      <c r="F57" s="133" t="s">
        <v>2286</v>
      </c>
      <c r="G57" s="1064">
        <v>38353</v>
      </c>
      <c r="H57" s="133" t="s">
        <v>1761</v>
      </c>
      <c r="I57" s="133" t="s">
        <v>1761</v>
      </c>
      <c r="J57" s="133" t="s">
        <v>2287</v>
      </c>
      <c r="K57" s="133" t="s">
        <v>1587</v>
      </c>
      <c r="L57" s="133" t="s">
        <v>1588</v>
      </c>
      <c r="M57" s="133" t="s">
        <v>1589</v>
      </c>
      <c r="N57" s="133"/>
      <c r="O57" s="133" t="s">
        <v>743</v>
      </c>
      <c r="P57" s="133" t="s">
        <v>1590</v>
      </c>
      <c r="Q57" s="133" t="s">
        <v>1549</v>
      </c>
      <c r="R57" s="133"/>
      <c r="S57" s="133">
        <v>1</v>
      </c>
      <c r="T57" s="133">
        <v>3170</v>
      </c>
      <c r="U57" s="133">
        <v>0</v>
      </c>
      <c r="V57" s="133">
        <v>0</v>
      </c>
      <c r="W57" s="133">
        <v>0</v>
      </c>
      <c r="X57" s="133">
        <v>0</v>
      </c>
      <c r="Y57" s="1065">
        <v>32874</v>
      </c>
      <c r="Z57" s="841"/>
      <c r="AF57" s="767">
        <f t="shared" si="0"/>
        <v>0</v>
      </c>
      <c r="AG57" s="133">
        <f>IF(voorblad!$F$32=NAW!B57,1,0)</f>
        <v>0</v>
      </c>
      <c r="AH57" s="841">
        <f t="shared" si="1"/>
        <v>0</v>
      </c>
    </row>
    <row r="58" spans="1:34" ht="12.75">
      <c r="A58">
        <v>354</v>
      </c>
      <c r="B58" s="767">
        <v>1702</v>
      </c>
      <c r="C58" s="133">
        <v>120</v>
      </c>
      <c r="D58" s="133" t="s">
        <v>1953</v>
      </c>
      <c r="E58" s="133" t="s">
        <v>1591</v>
      </c>
      <c r="F58" s="133" t="s">
        <v>2286</v>
      </c>
      <c r="G58" s="1064">
        <v>38353</v>
      </c>
      <c r="H58" s="133" t="s">
        <v>1761</v>
      </c>
      <c r="I58" s="133" t="s">
        <v>1761</v>
      </c>
      <c r="J58" s="133" t="s">
        <v>2287</v>
      </c>
      <c r="K58" s="133" t="s">
        <v>1592</v>
      </c>
      <c r="L58" s="133"/>
      <c r="M58" s="133"/>
      <c r="N58" s="133"/>
      <c r="O58" s="133" t="s">
        <v>1593</v>
      </c>
      <c r="P58" s="133"/>
      <c r="Q58" s="133" t="s">
        <v>1549</v>
      </c>
      <c r="R58" s="133" t="s">
        <v>1594</v>
      </c>
      <c r="S58" s="133">
        <v>1</v>
      </c>
      <c r="T58" s="133">
        <v>3230</v>
      </c>
      <c r="U58" s="133">
        <v>0</v>
      </c>
      <c r="V58" s="133">
        <v>0</v>
      </c>
      <c r="W58" s="133">
        <v>0</v>
      </c>
      <c r="X58" s="133">
        <v>0</v>
      </c>
      <c r="Y58" s="1065">
        <v>32874</v>
      </c>
      <c r="Z58" s="841"/>
      <c r="AF58" s="767">
        <f t="shared" si="0"/>
        <v>0</v>
      </c>
      <c r="AG58" s="133">
        <f>IF(voorblad!$F$32=NAW!B58,1,0)</f>
        <v>0</v>
      </c>
      <c r="AH58" s="841">
        <f t="shared" si="1"/>
        <v>0</v>
      </c>
    </row>
    <row r="59" spans="1:34" ht="12.75">
      <c r="A59">
        <v>356</v>
      </c>
      <c r="B59" s="767">
        <v>2401</v>
      </c>
      <c r="C59" s="133">
        <v>120</v>
      </c>
      <c r="D59" s="133" t="s">
        <v>1953</v>
      </c>
      <c r="E59" s="133" t="s">
        <v>1595</v>
      </c>
      <c r="F59" s="133" t="s">
        <v>2286</v>
      </c>
      <c r="G59" s="1064">
        <v>38353</v>
      </c>
      <c r="H59" s="133" t="s">
        <v>1761</v>
      </c>
      <c r="I59" s="133" t="s">
        <v>1761</v>
      </c>
      <c r="J59" s="133" t="s">
        <v>1940</v>
      </c>
      <c r="K59" s="133" t="s">
        <v>1596</v>
      </c>
      <c r="L59" s="133"/>
      <c r="M59" s="133"/>
      <c r="N59" s="133"/>
      <c r="O59" s="133" t="s">
        <v>1597</v>
      </c>
      <c r="P59" s="133" t="s">
        <v>1598</v>
      </c>
      <c r="Q59" s="133" t="s">
        <v>1359</v>
      </c>
      <c r="R59" s="133"/>
      <c r="S59" s="133">
        <v>1</v>
      </c>
      <c r="T59" s="133">
        <v>3300</v>
      </c>
      <c r="U59" s="133">
        <v>0</v>
      </c>
      <c r="V59" s="133">
        <v>0</v>
      </c>
      <c r="W59" s="133">
        <v>0</v>
      </c>
      <c r="X59" s="133">
        <v>9357</v>
      </c>
      <c r="Y59" s="1065">
        <v>32874</v>
      </c>
      <c r="Z59" s="841"/>
      <c r="AF59" s="767">
        <f t="shared" si="0"/>
        <v>0</v>
      </c>
      <c r="AG59" s="133">
        <f>IF(voorblad!$F$32=NAW!B59,1,0)</f>
        <v>0</v>
      </c>
      <c r="AH59" s="841">
        <f t="shared" si="1"/>
        <v>0</v>
      </c>
    </row>
    <row r="60" spans="1:34" ht="12.75">
      <c r="A60">
        <v>357</v>
      </c>
      <c r="B60" s="767">
        <v>104</v>
      </c>
      <c r="C60" s="133">
        <v>120</v>
      </c>
      <c r="D60" s="133" t="s">
        <v>839</v>
      </c>
      <c r="E60" s="133" t="s">
        <v>245</v>
      </c>
      <c r="F60" s="133" t="s">
        <v>2286</v>
      </c>
      <c r="G60" s="1064">
        <v>38353</v>
      </c>
      <c r="H60" s="133" t="s">
        <v>1761</v>
      </c>
      <c r="I60" s="133" t="s">
        <v>1761</v>
      </c>
      <c r="J60" s="133" t="s">
        <v>1940</v>
      </c>
      <c r="K60" s="133" t="s">
        <v>245</v>
      </c>
      <c r="L60" s="133" t="s">
        <v>1004</v>
      </c>
      <c r="M60" s="133" t="s">
        <v>571</v>
      </c>
      <c r="N60" s="133"/>
      <c r="O60" s="133" t="s">
        <v>572</v>
      </c>
      <c r="P60" s="133" t="s">
        <v>573</v>
      </c>
      <c r="Q60" s="133" t="s">
        <v>833</v>
      </c>
      <c r="R60" s="133" t="s">
        <v>574</v>
      </c>
      <c r="S60" s="133">
        <v>1</v>
      </c>
      <c r="T60" s="133">
        <v>3030</v>
      </c>
      <c r="U60" s="133">
        <v>0</v>
      </c>
      <c r="V60" s="133">
        <v>0</v>
      </c>
      <c r="W60" s="133">
        <v>0</v>
      </c>
      <c r="X60" s="133">
        <v>9038</v>
      </c>
      <c r="Y60" s="1065">
        <v>32874</v>
      </c>
      <c r="Z60" s="841"/>
      <c r="AF60" s="767">
        <f t="shared" si="0"/>
        <v>0</v>
      </c>
      <c r="AG60" s="133">
        <f>IF(voorblad!$F$32=NAW!B60,1,0)</f>
        <v>0</v>
      </c>
      <c r="AH60" s="841">
        <f t="shared" si="1"/>
        <v>0</v>
      </c>
    </row>
    <row r="61" spans="1:34" ht="12.75">
      <c r="A61">
        <v>360</v>
      </c>
      <c r="B61" s="767">
        <v>609</v>
      </c>
      <c r="C61" s="133">
        <v>120</v>
      </c>
      <c r="D61" s="133" t="s">
        <v>839</v>
      </c>
      <c r="E61" s="133" t="s">
        <v>575</v>
      </c>
      <c r="F61" s="133" t="s">
        <v>2286</v>
      </c>
      <c r="G61" s="1064">
        <v>38353</v>
      </c>
      <c r="H61" s="133" t="s">
        <v>1761</v>
      </c>
      <c r="I61" s="133" t="s">
        <v>1761</v>
      </c>
      <c r="J61" s="133" t="s">
        <v>1940</v>
      </c>
      <c r="K61" s="133" t="s">
        <v>576</v>
      </c>
      <c r="L61" s="133" t="s">
        <v>577</v>
      </c>
      <c r="M61" s="133" t="s">
        <v>578</v>
      </c>
      <c r="N61" s="133"/>
      <c r="O61" s="133" t="s">
        <v>1973</v>
      </c>
      <c r="P61" s="133" t="s">
        <v>579</v>
      </c>
      <c r="Q61" s="133" t="s">
        <v>1963</v>
      </c>
      <c r="R61" s="133" t="s">
        <v>580</v>
      </c>
      <c r="S61" s="133">
        <v>1</v>
      </c>
      <c r="T61" s="133">
        <v>3070</v>
      </c>
      <c r="U61" s="133">
        <v>0</v>
      </c>
      <c r="V61" s="133">
        <v>0</v>
      </c>
      <c r="W61" s="133">
        <v>0</v>
      </c>
      <c r="X61" s="133">
        <v>0</v>
      </c>
      <c r="Y61" s="1065">
        <v>32874</v>
      </c>
      <c r="Z61" s="841"/>
      <c r="AF61" s="767">
        <f t="shared" si="0"/>
        <v>0</v>
      </c>
      <c r="AG61" s="133">
        <f>IF(voorblad!$F$32=NAW!B61,1,0)</f>
        <v>0</v>
      </c>
      <c r="AH61" s="841">
        <f t="shared" si="1"/>
        <v>0</v>
      </c>
    </row>
    <row r="62" spans="1:34" ht="12.75">
      <c r="A62">
        <v>361</v>
      </c>
      <c r="B62" s="767">
        <v>907</v>
      </c>
      <c r="C62" s="133">
        <v>120</v>
      </c>
      <c r="D62" s="133" t="s">
        <v>1975</v>
      </c>
      <c r="E62" s="133" t="s">
        <v>581</v>
      </c>
      <c r="F62" s="133" t="s">
        <v>2286</v>
      </c>
      <c r="G62" s="1064">
        <v>38353</v>
      </c>
      <c r="H62" s="133" t="s">
        <v>1761</v>
      </c>
      <c r="I62" s="133" t="s">
        <v>1761</v>
      </c>
      <c r="J62" s="133" t="s">
        <v>1940</v>
      </c>
      <c r="K62" s="133" t="s">
        <v>582</v>
      </c>
      <c r="L62" s="133"/>
      <c r="M62" s="133"/>
      <c r="N62" s="133"/>
      <c r="O62" s="133" t="s">
        <v>382</v>
      </c>
      <c r="P62" s="133" t="s">
        <v>583</v>
      </c>
      <c r="Q62" s="133" t="s">
        <v>366</v>
      </c>
      <c r="R62" s="133" t="s">
        <v>584</v>
      </c>
      <c r="S62" s="133">
        <v>1</v>
      </c>
      <c r="T62" s="133">
        <v>3090</v>
      </c>
      <c r="U62" s="133">
        <v>0</v>
      </c>
      <c r="V62" s="133">
        <v>0</v>
      </c>
      <c r="W62" s="133">
        <v>0</v>
      </c>
      <c r="X62" s="133">
        <v>0</v>
      </c>
      <c r="Y62" s="1065">
        <v>32874</v>
      </c>
      <c r="Z62" s="841"/>
      <c r="AF62" s="767">
        <f t="shared" si="0"/>
        <v>1</v>
      </c>
      <c r="AG62" s="133">
        <f>IF(voorblad!$F$32=NAW!B62,1,0)</f>
        <v>0</v>
      </c>
      <c r="AH62" s="841">
        <f t="shared" si="1"/>
        <v>0</v>
      </c>
    </row>
    <row r="63" spans="1:34" ht="12.75">
      <c r="A63">
        <v>362</v>
      </c>
      <c r="B63" s="767">
        <v>1203</v>
      </c>
      <c r="C63" s="133">
        <v>120</v>
      </c>
      <c r="D63" s="133" t="s">
        <v>1965</v>
      </c>
      <c r="E63" s="133" t="s">
        <v>585</v>
      </c>
      <c r="F63" s="133" t="s">
        <v>2286</v>
      </c>
      <c r="G63" s="1064">
        <v>38353</v>
      </c>
      <c r="H63" s="133" t="s">
        <v>1761</v>
      </c>
      <c r="I63" s="133" t="s">
        <v>1761</v>
      </c>
      <c r="J63" s="133" t="s">
        <v>1940</v>
      </c>
      <c r="K63" s="133" t="s">
        <v>585</v>
      </c>
      <c r="L63" s="133"/>
      <c r="M63" s="133"/>
      <c r="N63" s="133"/>
      <c r="O63" s="133" t="s">
        <v>1123</v>
      </c>
      <c r="P63" s="133" t="s">
        <v>586</v>
      </c>
      <c r="Q63" s="133" t="s">
        <v>1162</v>
      </c>
      <c r="R63" s="133" t="s">
        <v>587</v>
      </c>
      <c r="S63" s="133">
        <v>1</v>
      </c>
      <c r="T63" s="133">
        <v>3120</v>
      </c>
      <c r="U63" s="133">
        <v>0</v>
      </c>
      <c r="V63" s="133">
        <v>0</v>
      </c>
      <c r="W63" s="133">
        <v>0</v>
      </c>
      <c r="X63" s="133">
        <v>0</v>
      </c>
      <c r="Y63" s="1065">
        <v>32874</v>
      </c>
      <c r="Z63" s="841"/>
      <c r="AF63" s="767">
        <f t="shared" si="0"/>
        <v>0</v>
      </c>
      <c r="AG63" s="133">
        <f>IF(voorblad!$F$32=NAW!B63,1,0)</f>
        <v>0</v>
      </c>
      <c r="AH63" s="841">
        <f t="shared" si="1"/>
        <v>0</v>
      </c>
    </row>
    <row r="64" spans="1:34" ht="12.75">
      <c r="A64">
        <v>363</v>
      </c>
      <c r="B64" s="767">
        <v>1302</v>
      </c>
      <c r="C64" s="133">
        <v>120</v>
      </c>
      <c r="D64" s="133" t="s">
        <v>839</v>
      </c>
      <c r="E64" s="133" t="s">
        <v>1019</v>
      </c>
      <c r="F64" s="133" t="s">
        <v>2286</v>
      </c>
      <c r="G64" s="1064">
        <v>38353</v>
      </c>
      <c r="H64" s="133" t="s">
        <v>1761</v>
      </c>
      <c r="I64" s="133" t="s">
        <v>1761</v>
      </c>
      <c r="J64" s="133" t="s">
        <v>2287</v>
      </c>
      <c r="K64" s="133" t="s">
        <v>1019</v>
      </c>
      <c r="L64" s="133" t="s">
        <v>1020</v>
      </c>
      <c r="M64" s="133" t="s">
        <v>1021</v>
      </c>
      <c r="N64" s="133"/>
      <c r="O64" s="133" t="s">
        <v>1178</v>
      </c>
      <c r="P64" s="133" t="s">
        <v>1022</v>
      </c>
      <c r="Q64" s="133" t="s">
        <v>1162</v>
      </c>
      <c r="R64" s="133" t="s">
        <v>1023</v>
      </c>
      <c r="S64" s="133">
        <v>1</v>
      </c>
      <c r="T64" s="133">
        <v>3150</v>
      </c>
      <c r="U64" s="133">
        <v>0</v>
      </c>
      <c r="V64" s="133">
        <v>0</v>
      </c>
      <c r="W64" s="133">
        <v>0</v>
      </c>
      <c r="X64" s="133">
        <v>0</v>
      </c>
      <c r="Y64" s="1065">
        <v>32874</v>
      </c>
      <c r="Z64" s="841"/>
      <c r="AF64" s="767">
        <f t="shared" si="0"/>
        <v>1</v>
      </c>
      <c r="AG64" s="133">
        <f>IF(voorblad!$F$32=NAW!B64,1,0)</f>
        <v>0</v>
      </c>
      <c r="AH64" s="841">
        <f t="shared" si="1"/>
        <v>0</v>
      </c>
    </row>
    <row r="65" spans="1:34" ht="12.75">
      <c r="A65">
        <v>364</v>
      </c>
      <c r="B65" s="767">
        <v>1506</v>
      </c>
      <c r="C65" s="133">
        <v>120</v>
      </c>
      <c r="D65" s="133" t="s">
        <v>1239</v>
      </c>
      <c r="E65" s="133" t="s">
        <v>1024</v>
      </c>
      <c r="F65" s="133" t="s">
        <v>2286</v>
      </c>
      <c r="G65" s="1064">
        <v>38353</v>
      </c>
      <c r="H65" s="133" t="s">
        <v>1761</v>
      </c>
      <c r="I65" s="133" t="s">
        <v>1761</v>
      </c>
      <c r="J65" s="133" t="s">
        <v>387</v>
      </c>
      <c r="K65" s="133" t="s">
        <v>1025</v>
      </c>
      <c r="L65" s="133" t="s">
        <v>1026</v>
      </c>
      <c r="M65" s="133" t="s">
        <v>1027</v>
      </c>
      <c r="N65" s="133"/>
      <c r="O65" s="133" t="s">
        <v>754</v>
      </c>
      <c r="P65" s="133" t="s">
        <v>1028</v>
      </c>
      <c r="Q65" s="133" t="s">
        <v>1549</v>
      </c>
      <c r="R65" s="133"/>
      <c r="S65" s="133">
        <v>1</v>
      </c>
      <c r="T65" s="133">
        <v>3180</v>
      </c>
      <c r="U65" s="133">
        <v>0</v>
      </c>
      <c r="V65" s="133">
        <v>0</v>
      </c>
      <c r="W65" s="133">
        <v>0</v>
      </c>
      <c r="X65" s="133">
        <v>9001</v>
      </c>
      <c r="Y65" s="1065">
        <v>32874</v>
      </c>
      <c r="Z65" s="1066">
        <v>35796</v>
      </c>
      <c r="AF65" s="767">
        <f t="shared" si="0"/>
        <v>1</v>
      </c>
      <c r="AG65" s="133">
        <f>IF(voorblad!$F$32=NAW!B65,1,0)</f>
        <v>0</v>
      </c>
      <c r="AH65" s="841">
        <f t="shared" si="1"/>
        <v>0</v>
      </c>
    </row>
    <row r="66" spans="1:34" ht="12.75">
      <c r="A66">
        <v>365</v>
      </c>
      <c r="B66" s="767">
        <v>1704</v>
      </c>
      <c r="C66" s="133">
        <v>120</v>
      </c>
      <c r="D66" s="133" t="s">
        <v>1953</v>
      </c>
      <c r="E66" s="133" t="s">
        <v>1029</v>
      </c>
      <c r="F66" s="133" t="s">
        <v>2286</v>
      </c>
      <c r="G66" s="1064">
        <v>38353</v>
      </c>
      <c r="H66" s="133" t="s">
        <v>1761</v>
      </c>
      <c r="I66" s="133" t="s">
        <v>1761</v>
      </c>
      <c r="J66" s="133" t="s">
        <v>1940</v>
      </c>
      <c r="K66" s="133" t="s">
        <v>1030</v>
      </c>
      <c r="L66" s="133"/>
      <c r="M66" s="133"/>
      <c r="N66" s="133"/>
      <c r="O66" s="133" t="s">
        <v>737</v>
      </c>
      <c r="P66" s="133" t="s">
        <v>1031</v>
      </c>
      <c r="Q66" s="133" t="s">
        <v>1549</v>
      </c>
      <c r="R66" s="133" t="s">
        <v>1032</v>
      </c>
      <c r="S66" s="133">
        <v>1</v>
      </c>
      <c r="T66" s="133">
        <v>3230</v>
      </c>
      <c r="U66" s="133">
        <v>0</v>
      </c>
      <c r="V66" s="133">
        <v>0</v>
      </c>
      <c r="W66" s="133">
        <v>0</v>
      </c>
      <c r="X66" s="133">
        <v>0</v>
      </c>
      <c r="Y66" s="1065">
        <v>32874</v>
      </c>
      <c r="Z66" s="1066">
        <v>37987</v>
      </c>
      <c r="AF66" s="767">
        <f t="shared" si="0"/>
        <v>0</v>
      </c>
      <c r="AG66" s="133">
        <f>IF(voorblad!$F$32=NAW!B66,1,0)</f>
        <v>0</v>
      </c>
      <c r="AH66" s="841">
        <f t="shared" si="1"/>
        <v>0</v>
      </c>
    </row>
    <row r="67" spans="1:34" ht="12.75">
      <c r="A67">
        <v>3827</v>
      </c>
      <c r="B67" s="767">
        <v>2206</v>
      </c>
      <c r="C67" s="133">
        <v>120</v>
      </c>
      <c r="D67" s="133" t="s">
        <v>1239</v>
      </c>
      <c r="E67" s="133" t="s">
        <v>1033</v>
      </c>
      <c r="F67" s="133" t="s">
        <v>2286</v>
      </c>
      <c r="G67" s="1064">
        <v>38353</v>
      </c>
      <c r="H67" s="133" t="s">
        <v>1761</v>
      </c>
      <c r="I67" s="133" t="s">
        <v>1761</v>
      </c>
      <c r="J67" s="133" t="s">
        <v>387</v>
      </c>
      <c r="K67" s="133" t="s">
        <v>1033</v>
      </c>
      <c r="L67" s="133" t="s">
        <v>1034</v>
      </c>
      <c r="M67" s="133" t="s">
        <v>1035</v>
      </c>
      <c r="N67" s="133"/>
      <c r="O67" s="133" t="s">
        <v>1036</v>
      </c>
      <c r="P67" s="133" t="s">
        <v>1037</v>
      </c>
      <c r="Q67" s="133" t="s">
        <v>2286</v>
      </c>
      <c r="R67" s="133" t="s">
        <v>1038</v>
      </c>
      <c r="S67" s="133">
        <v>1</v>
      </c>
      <c r="T67" s="133">
        <v>3280</v>
      </c>
      <c r="U67" s="133">
        <v>0</v>
      </c>
      <c r="V67" s="133">
        <v>0</v>
      </c>
      <c r="W67" s="133">
        <v>0</v>
      </c>
      <c r="X67" s="133">
        <v>9035</v>
      </c>
      <c r="Y67" s="1065">
        <v>32874</v>
      </c>
      <c r="Z67" s="841"/>
      <c r="AF67" s="767">
        <f aca="true" t="shared" si="2" ref="AF67:AF130">IF(OR(T67=$AF$241,T67=$AF$242,T67=$AF$243,T67=$AF$244),1,0)</f>
        <v>0</v>
      </c>
      <c r="AG67" s="133">
        <f>IF(voorblad!$F$32=NAW!B67,1,0)</f>
        <v>0</v>
      </c>
      <c r="AH67" s="841">
        <f aca="true" t="shared" si="3" ref="AH67:AH130">IF(AF67+AG67=2,1,0)</f>
        <v>0</v>
      </c>
    </row>
    <row r="68" spans="1:34" ht="12.75">
      <c r="A68">
        <v>3865</v>
      </c>
      <c r="B68" s="767">
        <v>1308</v>
      </c>
      <c r="C68" s="133">
        <v>120</v>
      </c>
      <c r="D68" s="133" t="s">
        <v>839</v>
      </c>
      <c r="E68" s="133" t="s">
        <v>2328</v>
      </c>
      <c r="F68" s="133" t="s">
        <v>2286</v>
      </c>
      <c r="G68" s="1064">
        <v>38353</v>
      </c>
      <c r="H68" s="133" t="s">
        <v>1761</v>
      </c>
      <c r="I68" s="133" t="s">
        <v>1761</v>
      </c>
      <c r="J68" s="133" t="s">
        <v>1940</v>
      </c>
      <c r="K68" s="133" t="s">
        <v>1039</v>
      </c>
      <c r="L68" s="133" t="s">
        <v>1040</v>
      </c>
      <c r="M68" s="133" t="s">
        <v>1041</v>
      </c>
      <c r="N68" s="133"/>
      <c r="O68" s="133" t="s">
        <v>1178</v>
      </c>
      <c r="P68" s="133" t="s">
        <v>1042</v>
      </c>
      <c r="Q68" s="133" t="s">
        <v>1162</v>
      </c>
      <c r="R68" s="133"/>
      <c r="S68" s="133">
        <v>1</v>
      </c>
      <c r="T68" s="133">
        <v>3150</v>
      </c>
      <c r="U68" s="133">
        <v>0</v>
      </c>
      <c r="V68" s="133">
        <v>0</v>
      </c>
      <c r="W68" s="133">
        <v>0</v>
      </c>
      <c r="X68" s="133">
        <v>9023</v>
      </c>
      <c r="Y68" s="1065">
        <v>32874</v>
      </c>
      <c r="Z68" s="841"/>
      <c r="AF68" s="767">
        <f t="shared" si="2"/>
        <v>1</v>
      </c>
      <c r="AG68" s="133">
        <f>IF(voorblad!$F$32=NAW!B68,1,0)</f>
        <v>0</v>
      </c>
      <c r="AH68" s="841">
        <f t="shared" si="3"/>
        <v>0</v>
      </c>
    </row>
    <row r="69" spans="1:34" ht="12.75">
      <c r="A69">
        <v>3866</v>
      </c>
      <c r="B69" s="767">
        <v>1309</v>
      </c>
      <c r="C69" s="133">
        <v>120</v>
      </c>
      <c r="D69" s="133" t="s">
        <v>1239</v>
      </c>
      <c r="E69" s="133" t="s">
        <v>2329</v>
      </c>
      <c r="F69" s="133" t="s">
        <v>2286</v>
      </c>
      <c r="G69" s="1064">
        <v>38353</v>
      </c>
      <c r="H69" s="133" t="s">
        <v>1761</v>
      </c>
      <c r="I69" s="133" t="s">
        <v>1761</v>
      </c>
      <c r="J69" s="133" t="s">
        <v>1940</v>
      </c>
      <c r="K69" s="133" t="s">
        <v>1043</v>
      </c>
      <c r="L69" s="133"/>
      <c r="M69" s="133"/>
      <c r="N69" s="133"/>
      <c r="O69" s="133" t="s">
        <v>1178</v>
      </c>
      <c r="P69" s="133" t="s">
        <v>1044</v>
      </c>
      <c r="Q69" s="133" t="s">
        <v>1162</v>
      </c>
      <c r="R69" s="133" t="s">
        <v>1045</v>
      </c>
      <c r="S69" s="133">
        <v>1</v>
      </c>
      <c r="T69" s="133">
        <v>3150</v>
      </c>
      <c r="U69" s="133">
        <v>0</v>
      </c>
      <c r="V69" s="133">
        <v>0</v>
      </c>
      <c r="W69" s="133">
        <v>0</v>
      </c>
      <c r="X69" s="133">
        <v>9013</v>
      </c>
      <c r="Y69" s="1065">
        <v>32874</v>
      </c>
      <c r="Z69" s="841"/>
      <c r="AF69" s="767">
        <f t="shared" si="2"/>
        <v>1</v>
      </c>
      <c r="AG69" s="133">
        <f>IF(voorblad!$F$32=NAW!B69,1,0)</f>
        <v>0</v>
      </c>
      <c r="AH69" s="841">
        <f t="shared" si="3"/>
        <v>0</v>
      </c>
    </row>
    <row r="70" spans="1:34" ht="12.75">
      <c r="A70">
        <v>3916</v>
      </c>
      <c r="B70" s="767">
        <v>1802</v>
      </c>
      <c r="C70" s="133">
        <v>120</v>
      </c>
      <c r="D70" s="133" t="s">
        <v>839</v>
      </c>
      <c r="E70" s="133" t="s">
        <v>1046</v>
      </c>
      <c r="F70" s="133" t="s">
        <v>2286</v>
      </c>
      <c r="G70" s="1064">
        <v>38353</v>
      </c>
      <c r="H70" s="133" t="s">
        <v>1761</v>
      </c>
      <c r="I70" s="133" t="s">
        <v>1761</v>
      </c>
      <c r="J70" s="133" t="s">
        <v>1940</v>
      </c>
      <c r="K70" s="133" t="s">
        <v>1047</v>
      </c>
      <c r="L70" s="133" t="s">
        <v>1048</v>
      </c>
      <c r="M70" s="133" t="s">
        <v>1049</v>
      </c>
      <c r="N70" s="133"/>
      <c r="O70" s="133" t="s">
        <v>778</v>
      </c>
      <c r="P70" s="133" t="s">
        <v>1050</v>
      </c>
      <c r="Q70" s="133" t="s">
        <v>1549</v>
      </c>
      <c r="R70" s="133"/>
      <c r="S70" s="133">
        <v>1</v>
      </c>
      <c r="T70" s="133">
        <v>3240</v>
      </c>
      <c r="U70" s="133">
        <v>0</v>
      </c>
      <c r="V70" s="133">
        <v>0</v>
      </c>
      <c r="W70" s="133">
        <v>0</v>
      </c>
      <c r="X70" s="133">
        <v>0</v>
      </c>
      <c r="Y70" s="1065">
        <v>33329</v>
      </c>
      <c r="Z70" s="841"/>
      <c r="AF70" s="767">
        <f t="shared" si="2"/>
        <v>0</v>
      </c>
      <c r="AG70" s="133">
        <f>IF(voorblad!$F$32=NAW!B70,1,0)</f>
        <v>0</v>
      </c>
      <c r="AH70" s="841">
        <f t="shared" si="3"/>
        <v>0</v>
      </c>
    </row>
    <row r="71" spans="1:34" ht="12.75">
      <c r="A71">
        <v>3920</v>
      </c>
      <c r="B71" s="767">
        <v>112</v>
      </c>
      <c r="C71" s="133">
        <v>120</v>
      </c>
      <c r="D71" s="133" t="s">
        <v>1239</v>
      </c>
      <c r="E71" s="133" t="s">
        <v>1051</v>
      </c>
      <c r="F71" s="133" t="s">
        <v>2286</v>
      </c>
      <c r="G71" s="1064">
        <v>38353</v>
      </c>
      <c r="H71" s="133" t="s">
        <v>1761</v>
      </c>
      <c r="I71" s="133" t="s">
        <v>1761</v>
      </c>
      <c r="J71" s="133" t="s">
        <v>1940</v>
      </c>
      <c r="K71" s="133" t="s">
        <v>1052</v>
      </c>
      <c r="L71" s="133" t="s">
        <v>1053</v>
      </c>
      <c r="M71" s="133" t="s">
        <v>1054</v>
      </c>
      <c r="N71" s="133"/>
      <c r="O71" s="133" t="s">
        <v>1055</v>
      </c>
      <c r="P71" s="133"/>
      <c r="Q71" s="133" t="s">
        <v>1946</v>
      </c>
      <c r="R71" s="133"/>
      <c r="S71" s="133">
        <v>1</v>
      </c>
      <c r="T71" s="133">
        <v>3010</v>
      </c>
      <c r="U71" s="133">
        <v>0</v>
      </c>
      <c r="V71" s="133">
        <v>0</v>
      </c>
      <c r="W71" s="133">
        <v>0</v>
      </c>
      <c r="X71" s="133">
        <v>0</v>
      </c>
      <c r="Y71" s="1065">
        <v>33239</v>
      </c>
      <c r="Z71" s="1066">
        <v>36892</v>
      </c>
      <c r="AF71" s="767">
        <f t="shared" si="2"/>
        <v>0</v>
      </c>
      <c r="AG71" s="133">
        <f>IF(voorblad!$F$32=NAW!B71,1,0)</f>
        <v>0</v>
      </c>
      <c r="AH71" s="841">
        <f t="shared" si="3"/>
        <v>0</v>
      </c>
    </row>
    <row r="72" spans="1:34" ht="12.75">
      <c r="A72">
        <v>3928</v>
      </c>
      <c r="B72" s="767">
        <v>911</v>
      </c>
      <c r="C72" s="133">
        <v>120</v>
      </c>
      <c r="D72" s="133" t="s">
        <v>1975</v>
      </c>
      <c r="E72" s="133" t="s">
        <v>1056</v>
      </c>
      <c r="F72" s="133" t="s">
        <v>2286</v>
      </c>
      <c r="G72" s="1064">
        <v>38353</v>
      </c>
      <c r="H72" s="133" t="s">
        <v>1761</v>
      </c>
      <c r="I72" s="133" t="s">
        <v>1761</v>
      </c>
      <c r="J72" s="133" t="s">
        <v>1940</v>
      </c>
      <c r="K72" s="133" t="s">
        <v>1056</v>
      </c>
      <c r="L72" s="133" t="s">
        <v>1057</v>
      </c>
      <c r="M72" s="133" t="s">
        <v>1058</v>
      </c>
      <c r="N72" s="133"/>
      <c r="O72" s="133" t="s">
        <v>382</v>
      </c>
      <c r="P72" s="133" t="s">
        <v>1059</v>
      </c>
      <c r="Q72" s="133" t="s">
        <v>366</v>
      </c>
      <c r="R72" s="133"/>
      <c r="S72" s="133">
        <v>1</v>
      </c>
      <c r="T72" s="133">
        <v>3090</v>
      </c>
      <c r="U72" s="133">
        <v>0</v>
      </c>
      <c r="V72" s="133">
        <v>0</v>
      </c>
      <c r="W72" s="133">
        <v>0</v>
      </c>
      <c r="X72" s="133">
        <v>0</v>
      </c>
      <c r="Y72" s="1065">
        <v>33390</v>
      </c>
      <c r="Z72" s="841"/>
      <c r="AF72" s="767">
        <f t="shared" si="2"/>
        <v>1</v>
      </c>
      <c r="AG72" s="133">
        <f>IF(voorblad!$F$32=NAW!B72,1,0)</f>
        <v>0</v>
      </c>
      <c r="AH72" s="841">
        <f t="shared" si="3"/>
        <v>0</v>
      </c>
    </row>
    <row r="73" spans="1:34" ht="12.75">
      <c r="A73">
        <v>4096</v>
      </c>
      <c r="B73" s="767">
        <v>703</v>
      </c>
      <c r="C73" s="133">
        <v>120</v>
      </c>
      <c r="D73" s="133" t="s">
        <v>1965</v>
      </c>
      <c r="E73" s="133" t="s">
        <v>1060</v>
      </c>
      <c r="F73" s="133" t="s">
        <v>2286</v>
      </c>
      <c r="G73" s="1064">
        <v>38353</v>
      </c>
      <c r="H73" s="133" t="s">
        <v>1761</v>
      </c>
      <c r="I73" s="133" t="s">
        <v>1761</v>
      </c>
      <c r="J73" s="133" t="s">
        <v>1940</v>
      </c>
      <c r="K73" s="133" t="s">
        <v>1061</v>
      </c>
      <c r="L73" s="133" t="s">
        <v>1062</v>
      </c>
      <c r="M73" s="133" t="s">
        <v>1063</v>
      </c>
      <c r="N73" s="133"/>
      <c r="O73" s="133" t="s">
        <v>788</v>
      </c>
      <c r="P73" s="133" t="s">
        <v>1064</v>
      </c>
      <c r="Q73" s="133" t="s">
        <v>1971</v>
      </c>
      <c r="R73" s="133" t="s">
        <v>1065</v>
      </c>
      <c r="S73" s="133">
        <v>1</v>
      </c>
      <c r="T73" s="133">
        <v>3080</v>
      </c>
      <c r="U73" s="133">
        <v>0</v>
      </c>
      <c r="V73" s="133">
        <v>0</v>
      </c>
      <c r="W73" s="133">
        <v>0</v>
      </c>
      <c r="X73" s="133">
        <v>0</v>
      </c>
      <c r="Y73" s="1065">
        <v>33604</v>
      </c>
      <c r="Z73" s="841"/>
      <c r="AF73" s="767">
        <f t="shared" si="2"/>
        <v>0</v>
      </c>
      <c r="AG73" s="133">
        <f>IF(voorblad!$F$32=NAW!B73,1,0)</f>
        <v>0</v>
      </c>
      <c r="AH73" s="841">
        <f t="shared" si="3"/>
        <v>0</v>
      </c>
    </row>
    <row r="74" spans="1:34" ht="12.75">
      <c r="A74">
        <v>4146</v>
      </c>
      <c r="B74" s="767">
        <v>2207</v>
      </c>
      <c r="C74" s="133">
        <v>120</v>
      </c>
      <c r="D74" s="133" t="s">
        <v>1965</v>
      </c>
      <c r="E74" s="133" t="s">
        <v>659</v>
      </c>
      <c r="F74" s="133" t="s">
        <v>2286</v>
      </c>
      <c r="G74" s="1064">
        <v>38353</v>
      </c>
      <c r="H74" s="133" t="s">
        <v>1761</v>
      </c>
      <c r="I74" s="133" t="s">
        <v>1761</v>
      </c>
      <c r="J74" s="133" t="s">
        <v>1940</v>
      </c>
      <c r="K74" s="133" t="s">
        <v>659</v>
      </c>
      <c r="L74" s="133"/>
      <c r="M74" s="133"/>
      <c r="N74" s="133"/>
      <c r="O74" s="133" t="s">
        <v>1066</v>
      </c>
      <c r="P74" s="133" t="s">
        <v>1067</v>
      </c>
      <c r="Q74" s="133" t="s">
        <v>2286</v>
      </c>
      <c r="R74" s="133"/>
      <c r="S74" s="133">
        <v>1</v>
      </c>
      <c r="T74" s="133">
        <v>3280</v>
      </c>
      <c r="U74" s="133">
        <v>0</v>
      </c>
      <c r="V74" s="133">
        <v>0</v>
      </c>
      <c r="W74" s="133">
        <v>0</v>
      </c>
      <c r="X74" s="133">
        <v>9011</v>
      </c>
      <c r="Y74" s="1065">
        <v>33970</v>
      </c>
      <c r="Z74" s="841"/>
      <c r="AF74" s="767">
        <f t="shared" si="2"/>
        <v>0</v>
      </c>
      <c r="AG74" s="133">
        <f>IF(voorblad!$F$32=NAW!B74,1,0)</f>
        <v>0</v>
      </c>
      <c r="AH74" s="841">
        <f t="shared" si="3"/>
        <v>0</v>
      </c>
    </row>
    <row r="75" spans="1:34" ht="12.75">
      <c r="A75">
        <v>4156</v>
      </c>
      <c r="B75" s="767">
        <v>2305</v>
      </c>
      <c r="C75" s="133">
        <v>120</v>
      </c>
      <c r="D75" s="133" t="s">
        <v>839</v>
      </c>
      <c r="E75" s="133" t="s">
        <v>1068</v>
      </c>
      <c r="F75" s="133" t="s">
        <v>2286</v>
      </c>
      <c r="G75" s="1064">
        <v>38353</v>
      </c>
      <c r="H75" s="133" t="s">
        <v>1761</v>
      </c>
      <c r="I75" s="133" t="s">
        <v>1761</v>
      </c>
      <c r="J75" s="133" t="s">
        <v>1940</v>
      </c>
      <c r="K75" s="133" t="s">
        <v>1069</v>
      </c>
      <c r="L75" s="133" t="s">
        <v>1070</v>
      </c>
      <c r="M75" s="133" t="s">
        <v>1071</v>
      </c>
      <c r="N75" s="133"/>
      <c r="O75" s="133" t="s">
        <v>1072</v>
      </c>
      <c r="P75" s="133" t="s">
        <v>1073</v>
      </c>
      <c r="Q75" s="133" t="s">
        <v>2286</v>
      </c>
      <c r="R75" s="133"/>
      <c r="S75" s="133">
        <v>1</v>
      </c>
      <c r="T75" s="133">
        <v>3280</v>
      </c>
      <c r="U75" s="133">
        <v>0</v>
      </c>
      <c r="V75" s="133">
        <v>0</v>
      </c>
      <c r="W75" s="133">
        <v>0</v>
      </c>
      <c r="X75" s="133">
        <v>0</v>
      </c>
      <c r="Y75" s="1065">
        <v>33970</v>
      </c>
      <c r="Z75" s="1066">
        <v>37987</v>
      </c>
      <c r="AF75" s="767">
        <f t="shared" si="2"/>
        <v>0</v>
      </c>
      <c r="AG75" s="133">
        <f>IF(voorblad!$F$32=NAW!B75,1,0)</f>
        <v>0</v>
      </c>
      <c r="AH75" s="841">
        <f t="shared" si="3"/>
        <v>0</v>
      </c>
    </row>
    <row r="76" spans="1:34" ht="12.75">
      <c r="A76">
        <v>4252</v>
      </c>
      <c r="B76" s="767">
        <v>2006</v>
      </c>
      <c r="C76" s="133">
        <v>120</v>
      </c>
      <c r="D76" s="133" t="s">
        <v>839</v>
      </c>
      <c r="E76" s="133" t="s">
        <v>1074</v>
      </c>
      <c r="F76" s="133" t="s">
        <v>2286</v>
      </c>
      <c r="G76" s="1064">
        <v>38353</v>
      </c>
      <c r="H76" s="133" t="s">
        <v>1761</v>
      </c>
      <c r="I76" s="133" t="s">
        <v>1761</v>
      </c>
      <c r="J76" s="133" t="s">
        <v>1940</v>
      </c>
      <c r="K76" s="133" t="s">
        <v>1075</v>
      </c>
      <c r="L76" s="133"/>
      <c r="M76" s="133"/>
      <c r="N76" s="133"/>
      <c r="O76" s="133" t="s">
        <v>1076</v>
      </c>
      <c r="P76" s="133" t="s">
        <v>1077</v>
      </c>
      <c r="Q76" s="133" t="s">
        <v>2286</v>
      </c>
      <c r="R76" s="133" t="s">
        <v>1078</v>
      </c>
      <c r="S76" s="133">
        <v>1</v>
      </c>
      <c r="T76" s="133">
        <v>3280</v>
      </c>
      <c r="U76" s="133">
        <v>0</v>
      </c>
      <c r="V76" s="133">
        <v>0</v>
      </c>
      <c r="W76" s="133">
        <v>0</v>
      </c>
      <c r="X76" s="133">
        <v>0</v>
      </c>
      <c r="Y76" s="1065">
        <v>34335</v>
      </c>
      <c r="Z76" s="1066">
        <v>37987</v>
      </c>
      <c r="AF76" s="767">
        <f t="shared" si="2"/>
        <v>0</v>
      </c>
      <c r="AG76" s="133">
        <f>IF(voorblad!$F$32=NAW!B76,1,0)</f>
        <v>0</v>
      </c>
      <c r="AH76" s="841">
        <f t="shared" si="3"/>
        <v>0</v>
      </c>
    </row>
    <row r="77" spans="1:34" ht="12.75">
      <c r="A77">
        <v>4268</v>
      </c>
      <c r="B77" s="767">
        <v>912</v>
      </c>
      <c r="C77" s="133">
        <v>120</v>
      </c>
      <c r="D77" s="133" t="s">
        <v>1965</v>
      </c>
      <c r="E77" s="133" t="s">
        <v>1079</v>
      </c>
      <c r="F77" s="133" t="s">
        <v>2286</v>
      </c>
      <c r="G77" s="1064">
        <v>38353</v>
      </c>
      <c r="H77" s="133" t="s">
        <v>1761</v>
      </c>
      <c r="I77" s="133" t="s">
        <v>1761</v>
      </c>
      <c r="J77" s="133" t="s">
        <v>1940</v>
      </c>
      <c r="K77" s="133" t="s">
        <v>1080</v>
      </c>
      <c r="L77" s="133"/>
      <c r="M77" s="133"/>
      <c r="N77" s="133"/>
      <c r="O77" s="133" t="s">
        <v>1145</v>
      </c>
      <c r="P77" s="133" t="s">
        <v>1081</v>
      </c>
      <c r="Q77" s="133" t="s">
        <v>366</v>
      </c>
      <c r="R77" s="133" t="s">
        <v>1082</v>
      </c>
      <c r="S77" s="133">
        <v>1</v>
      </c>
      <c r="T77" s="133">
        <v>3090</v>
      </c>
      <c r="U77" s="133">
        <v>0</v>
      </c>
      <c r="V77" s="133">
        <v>0</v>
      </c>
      <c r="W77" s="133">
        <v>0</v>
      </c>
      <c r="X77" s="133">
        <v>0</v>
      </c>
      <c r="Y77" s="1065">
        <v>34335</v>
      </c>
      <c r="Z77" s="1066">
        <v>37987</v>
      </c>
      <c r="AF77" s="767">
        <f t="shared" si="2"/>
        <v>1</v>
      </c>
      <c r="AG77" s="133">
        <f>IF(voorblad!$F$32=NAW!B77,1,0)</f>
        <v>0</v>
      </c>
      <c r="AH77" s="841">
        <f t="shared" si="3"/>
        <v>0</v>
      </c>
    </row>
    <row r="78" spans="1:34" ht="12.75">
      <c r="A78">
        <v>4271</v>
      </c>
      <c r="B78" s="767">
        <v>203</v>
      </c>
      <c r="C78" s="133">
        <v>120</v>
      </c>
      <c r="D78" s="133" t="s">
        <v>1953</v>
      </c>
      <c r="E78" s="133" t="s">
        <v>1083</v>
      </c>
      <c r="F78" s="133" t="s">
        <v>2286</v>
      </c>
      <c r="G78" s="1064">
        <v>38353</v>
      </c>
      <c r="H78" s="133" t="s">
        <v>1761</v>
      </c>
      <c r="I78" s="133" t="s">
        <v>1761</v>
      </c>
      <c r="J78" s="133" t="s">
        <v>2287</v>
      </c>
      <c r="K78" s="133" t="s">
        <v>1084</v>
      </c>
      <c r="L78" s="133"/>
      <c r="M78" s="133"/>
      <c r="N78" s="133"/>
      <c r="O78" s="133" t="s">
        <v>1085</v>
      </c>
      <c r="P78" s="133" t="s">
        <v>106</v>
      </c>
      <c r="Q78" s="133" t="s">
        <v>1957</v>
      </c>
      <c r="R78" s="133" t="s">
        <v>107</v>
      </c>
      <c r="S78" s="133">
        <v>1</v>
      </c>
      <c r="T78" s="133">
        <v>3020</v>
      </c>
      <c r="U78" s="133">
        <v>0</v>
      </c>
      <c r="V78" s="133">
        <v>0</v>
      </c>
      <c r="W78" s="133">
        <v>0</v>
      </c>
      <c r="X78" s="133">
        <v>0</v>
      </c>
      <c r="Y78" s="1065">
        <v>34335</v>
      </c>
      <c r="Z78" s="1066">
        <v>35431</v>
      </c>
      <c r="AF78" s="767">
        <f t="shared" si="2"/>
        <v>0</v>
      </c>
      <c r="AG78" s="133">
        <f>IF(voorblad!$F$32=NAW!B78,1,0)</f>
        <v>0</v>
      </c>
      <c r="AH78" s="841">
        <f t="shared" si="3"/>
        <v>0</v>
      </c>
    </row>
    <row r="79" spans="1:34" ht="12.75">
      <c r="A79">
        <v>4300</v>
      </c>
      <c r="B79" s="767">
        <v>913</v>
      </c>
      <c r="C79" s="133">
        <v>120</v>
      </c>
      <c r="D79" s="133" t="s">
        <v>2066</v>
      </c>
      <c r="E79" s="133" t="s">
        <v>108</v>
      </c>
      <c r="F79" s="133" t="s">
        <v>2286</v>
      </c>
      <c r="G79" s="1064">
        <v>38353</v>
      </c>
      <c r="H79" s="133" t="s">
        <v>1761</v>
      </c>
      <c r="I79" s="133" t="s">
        <v>1761</v>
      </c>
      <c r="J79" s="133" t="s">
        <v>2287</v>
      </c>
      <c r="K79" s="133" t="s">
        <v>237</v>
      </c>
      <c r="L79" s="133" t="s">
        <v>238</v>
      </c>
      <c r="M79" s="133" t="s">
        <v>239</v>
      </c>
      <c r="N79" s="133"/>
      <c r="O79" s="133" t="s">
        <v>240</v>
      </c>
      <c r="P79" s="133"/>
      <c r="Q79" s="133" t="s">
        <v>366</v>
      </c>
      <c r="R79" s="133"/>
      <c r="S79" s="133">
        <v>1</v>
      </c>
      <c r="T79" s="133">
        <v>3090</v>
      </c>
      <c r="U79" s="133">
        <v>0</v>
      </c>
      <c r="V79" s="133">
        <v>0</v>
      </c>
      <c r="W79" s="133">
        <v>0</v>
      </c>
      <c r="X79" s="133">
        <v>0</v>
      </c>
      <c r="Y79" s="1065">
        <v>34335</v>
      </c>
      <c r="Z79" s="1066">
        <v>35064</v>
      </c>
      <c r="AF79" s="767">
        <f t="shared" si="2"/>
        <v>1</v>
      </c>
      <c r="AG79" s="133">
        <f>IF(voorblad!$F$32=NAW!B79,1,0)</f>
        <v>0</v>
      </c>
      <c r="AH79" s="841">
        <f t="shared" si="3"/>
        <v>0</v>
      </c>
    </row>
    <row r="80" spans="1:34" ht="12.75">
      <c r="A80">
        <v>4314</v>
      </c>
      <c r="B80" s="767">
        <v>1310</v>
      </c>
      <c r="C80" s="133">
        <v>120</v>
      </c>
      <c r="D80" s="133" t="s">
        <v>839</v>
      </c>
      <c r="E80" s="133" t="s">
        <v>241</v>
      </c>
      <c r="F80" s="133" t="s">
        <v>2286</v>
      </c>
      <c r="G80" s="1064">
        <v>38353</v>
      </c>
      <c r="H80" s="133" t="s">
        <v>1761</v>
      </c>
      <c r="I80" s="133" t="s">
        <v>1761</v>
      </c>
      <c r="J80" s="133" t="s">
        <v>2287</v>
      </c>
      <c r="K80" s="133" t="s">
        <v>242</v>
      </c>
      <c r="L80" s="133" t="s">
        <v>243</v>
      </c>
      <c r="M80" s="133" t="s">
        <v>244</v>
      </c>
      <c r="N80" s="133"/>
      <c r="O80" s="133" t="s">
        <v>143</v>
      </c>
      <c r="P80" s="133" t="s">
        <v>144</v>
      </c>
      <c r="Q80" s="133" t="s">
        <v>1162</v>
      </c>
      <c r="R80" s="133"/>
      <c r="S80" s="133">
        <v>1</v>
      </c>
      <c r="T80" s="133">
        <v>3060</v>
      </c>
      <c r="U80" s="133">
        <v>0</v>
      </c>
      <c r="V80" s="133">
        <v>0</v>
      </c>
      <c r="W80" s="133">
        <v>0</v>
      </c>
      <c r="X80" s="133">
        <v>9030</v>
      </c>
      <c r="Y80" s="1065">
        <v>33239</v>
      </c>
      <c r="Z80" s="1066">
        <v>35431</v>
      </c>
      <c r="AF80" s="767">
        <f t="shared" si="2"/>
        <v>0</v>
      </c>
      <c r="AG80" s="133">
        <f>IF(voorblad!$F$32=NAW!B80,1,0)</f>
        <v>0</v>
      </c>
      <c r="AH80" s="841">
        <f t="shared" si="3"/>
        <v>0</v>
      </c>
    </row>
    <row r="81" spans="1:34" ht="12.75">
      <c r="A81">
        <v>4383</v>
      </c>
      <c r="B81" s="767">
        <v>608</v>
      </c>
      <c r="C81" s="133">
        <v>120</v>
      </c>
      <c r="D81" s="133" t="s">
        <v>839</v>
      </c>
      <c r="E81" s="133" t="s">
        <v>145</v>
      </c>
      <c r="F81" s="133" t="s">
        <v>2286</v>
      </c>
      <c r="G81" s="1064">
        <v>38353</v>
      </c>
      <c r="H81" s="133" t="s">
        <v>1761</v>
      </c>
      <c r="I81" s="133" t="s">
        <v>1761</v>
      </c>
      <c r="J81" s="133" t="s">
        <v>1940</v>
      </c>
      <c r="K81" s="133" t="s">
        <v>146</v>
      </c>
      <c r="L81" s="133" t="s">
        <v>147</v>
      </c>
      <c r="M81" s="133" t="s">
        <v>148</v>
      </c>
      <c r="N81" s="133"/>
      <c r="O81" s="133" t="s">
        <v>149</v>
      </c>
      <c r="P81" s="133" t="s">
        <v>150</v>
      </c>
      <c r="Q81" s="133" t="s">
        <v>1971</v>
      </c>
      <c r="R81" s="133" t="s">
        <v>151</v>
      </c>
      <c r="S81" s="133">
        <v>1</v>
      </c>
      <c r="T81" s="133">
        <v>3070</v>
      </c>
      <c r="U81" s="133">
        <v>0</v>
      </c>
      <c r="V81" s="133">
        <v>0</v>
      </c>
      <c r="W81" s="133">
        <v>0</v>
      </c>
      <c r="X81" s="133">
        <v>0</v>
      </c>
      <c r="Y81" s="1065">
        <v>34335</v>
      </c>
      <c r="Z81" s="841"/>
      <c r="AF81" s="767">
        <f t="shared" si="2"/>
        <v>0</v>
      </c>
      <c r="AG81" s="133">
        <f>IF(voorblad!$F$32=NAW!B81,1,0)</f>
        <v>0</v>
      </c>
      <c r="AH81" s="841">
        <f t="shared" si="3"/>
        <v>0</v>
      </c>
    </row>
    <row r="82" spans="1:34" ht="12.75">
      <c r="A82">
        <v>6855</v>
      </c>
      <c r="B82" s="1139">
        <v>903</v>
      </c>
      <c r="C82" s="133">
        <v>120</v>
      </c>
      <c r="D82" s="133" t="s">
        <v>1975</v>
      </c>
      <c r="E82" s="133" t="s">
        <v>2325</v>
      </c>
      <c r="F82" s="133" t="s">
        <v>2286</v>
      </c>
      <c r="G82" s="1064">
        <v>38353</v>
      </c>
      <c r="H82" s="133" t="s">
        <v>1761</v>
      </c>
      <c r="I82" s="133" t="s">
        <v>1761</v>
      </c>
      <c r="J82" s="133" t="s">
        <v>1940</v>
      </c>
      <c r="K82" s="133" t="s">
        <v>152</v>
      </c>
      <c r="L82" s="133" t="s">
        <v>376</v>
      </c>
      <c r="M82" s="133" t="s">
        <v>377</v>
      </c>
      <c r="N82" s="133"/>
      <c r="O82" s="133" t="s">
        <v>378</v>
      </c>
      <c r="P82" s="133" t="s">
        <v>153</v>
      </c>
      <c r="Q82" s="133" t="s">
        <v>366</v>
      </c>
      <c r="R82" s="133"/>
      <c r="S82" s="133">
        <v>1</v>
      </c>
      <c r="T82" s="133">
        <v>3090</v>
      </c>
      <c r="U82" s="133">
        <v>0</v>
      </c>
      <c r="V82" s="133">
        <v>0</v>
      </c>
      <c r="W82" s="133">
        <v>0</v>
      </c>
      <c r="X82" s="133">
        <v>9025</v>
      </c>
      <c r="Y82" s="1065">
        <v>35431</v>
      </c>
      <c r="Z82" s="841"/>
      <c r="AF82" s="767">
        <f t="shared" si="2"/>
        <v>1</v>
      </c>
      <c r="AG82" s="133">
        <f>IF(voorblad!$F$32=NAW!B82,1,0)</f>
        <v>0</v>
      </c>
      <c r="AH82" s="841">
        <f t="shared" si="3"/>
        <v>0</v>
      </c>
    </row>
    <row r="83" spans="1:34" ht="12.75">
      <c r="A83">
        <v>6856</v>
      </c>
      <c r="B83" s="767">
        <v>103</v>
      </c>
      <c r="C83" s="133">
        <v>120</v>
      </c>
      <c r="D83" s="133" t="s">
        <v>1239</v>
      </c>
      <c r="E83" s="133" t="s">
        <v>2288</v>
      </c>
      <c r="F83" s="133" t="s">
        <v>2286</v>
      </c>
      <c r="G83" s="1064">
        <v>38353</v>
      </c>
      <c r="H83" s="133" t="s">
        <v>1761</v>
      </c>
      <c r="I83" s="133" t="s">
        <v>1761</v>
      </c>
      <c r="J83" s="133" t="s">
        <v>154</v>
      </c>
      <c r="K83" s="133" t="s">
        <v>2288</v>
      </c>
      <c r="L83" s="133" t="s">
        <v>829</v>
      </c>
      <c r="M83" s="133" t="s">
        <v>830</v>
      </c>
      <c r="N83" s="133"/>
      <c r="O83" s="133" t="s">
        <v>831</v>
      </c>
      <c r="P83" s="133" t="s">
        <v>832</v>
      </c>
      <c r="Q83" s="133" t="s">
        <v>833</v>
      </c>
      <c r="R83" s="133"/>
      <c r="S83" s="133">
        <v>1</v>
      </c>
      <c r="T83" s="133">
        <v>3030</v>
      </c>
      <c r="U83" s="133">
        <v>0</v>
      </c>
      <c r="V83" s="133">
        <v>0</v>
      </c>
      <c r="W83" s="133">
        <v>0</v>
      </c>
      <c r="X83" s="133">
        <v>9019</v>
      </c>
      <c r="Y83" s="1065">
        <v>35431</v>
      </c>
      <c r="Z83" s="841"/>
      <c r="AF83" s="767">
        <f t="shared" si="2"/>
        <v>0</v>
      </c>
      <c r="AG83" s="133">
        <f>IF(voorblad!$F$32=NAW!B83,1,0)</f>
        <v>0</v>
      </c>
      <c r="AH83" s="841">
        <f t="shared" si="3"/>
        <v>0</v>
      </c>
    </row>
    <row r="84" spans="1:34" ht="12.75">
      <c r="A84">
        <v>6997</v>
      </c>
      <c r="B84" s="767">
        <v>1509</v>
      </c>
      <c r="C84" s="133">
        <v>120</v>
      </c>
      <c r="D84" s="133" t="s">
        <v>1239</v>
      </c>
      <c r="E84" s="133" t="s">
        <v>155</v>
      </c>
      <c r="F84" s="133" t="s">
        <v>2286</v>
      </c>
      <c r="G84" s="1064">
        <v>38353</v>
      </c>
      <c r="H84" s="133" t="s">
        <v>1761</v>
      </c>
      <c r="I84" s="133" t="s">
        <v>1761</v>
      </c>
      <c r="J84" s="133" t="s">
        <v>1940</v>
      </c>
      <c r="K84" s="133" t="s">
        <v>156</v>
      </c>
      <c r="L84" s="133" t="s">
        <v>157</v>
      </c>
      <c r="M84" s="133" t="s">
        <v>158</v>
      </c>
      <c r="N84" s="133"/>
      <c r="O84" s="133" t="s">
        <v>754</v>
      </c>
      <c r="P84" s="133" t="s">
        <v>159</v>
      </c>
      <c r="Q84" s="133" t="s">
        <v>1549</v>
      </c>
      <c r="R84" s="133" t="s">
        <v>160</v>
      </c>
      <c r="S84" s="133">
        <v>1</v>
      </c>
      <c r="T84" s="133">
        <v>3180</v>
      </c>
      <c r="U84" s="133">
        <v>0</v>
      </c>
      <c r="V84" s="133">
        <v>0</v>
      </c>
      <c r="W84" s="133">
        <v>0</v>
      </c>
      <c r="X84" s="133">
        <v>0</v>
      </c>
      <c r="Y84" s="1065">
        <v>35431</v>
      </c>
      <c r="Z84" s="841"/>
      <c r="AF84" s="767">
        <f t="shared" si="2"/>
        <v>1</v>
      </c>
      <c r="AG84" s="133">
        <f>IF(voorblad!$F$32=NAW!B84,1,0)</f>
        <v>0</v>
      </c>
      <c r="AH84" s="841">
        <f t="shared" si="3"/>
        <v>0</v>
      </c>
    </row>
    <row r="85" spans="1:34" ht="12.75">
      <c r="A85">
        <v>7066</v>
      </c>
      <c r="B85" s="767">
        <v>611</v>
      </c>
      <c r="C85" s="133">
        <v>120</v>
      </c>
      <c r="D85" s="133" t="s">
        <v>1239</v>
      </c>
      <c r="E85" s="133" t="s">
        <v>161</v>
      </c>
      <c r="F85" s="133" t="s">
        <v>2286</v>
      </c>
      <c r="G85" s="1064">
        <v>38353</v>
      </c>
      <c r="H85" s="133" t="s">
        <v>1761</v>
      </c>
      <c r="I85" s="133" t="s">
        <v>1761</v>
      </c>
      <c r="J85" s="133" t="s">
        <v>1940</v>
      </c>
      <c r="K85" s="133" t="s">
        <v>162</v>
      </c>
      <c r="L85" s="133" t="s">
        <v>163</v>
      </c>
      <c r="M85" s="133" t="s">
        <v>164</v>
      </c>
      <c r="N85" s="133"/>
      <c r="O85" s="133" t="s">
        <v>165</v>
      </c>
      <c r="P85" s="133" t="s">
        <v>166</v>
      </c>
      <c r="Q85" s="133" t="s">
        <v>1971</v>
      </c>
      <c r="R85" s="133" t="s">
        <v>167</v>
      </c>
      <c r="S85" s="133">
        <v>1</v>
      </c>
      <c r="T85" s="133">
        <v>3070</v>
      </c>
      <c r="U85" s="133">
        <v>0</v>
      </c>
      <c r="V85" s="133">
        <v>0</v>
      </c>
      <c r="W85" s="133">
        <v>0</v>
      </c>
      <c r="X85" s="133">
        <v>0</v>
      </c>
      <c r="Y85" s="1065">
        <v>35431</v>
      </c>
      <c r="Z85" s="841"/>
      <c r="AF85" s="767">
        <f t="shared" si="2"/>
        <v>0</v>
      </c>
      <c r="AG85" s="133">
        <f>IF(voorblad!$F$32=NAW!B85,1,0)</f>
        <v>0</v>
      </c>
      <c r="AH85" s="841">
        <f t="shared" si="3"/>
        <v>0</v>
      </c>
    </row>
    <row r="86" spans="1:34" ht="12.75">
      <c r="A86">
        <v>7087</v>
      </c>
      <c r="B86" s="767">
        <v>1505</v>
      </c>
      <c r="C86" s="133">
        <v>120</v>
      </c>
      <c r="D86" s="133" t="s">
        <v>1239</v>
      </c>
      <c r="E86" s="133" t="s">
        <v>168</v>
      </c>
      <c r="F86" s="133" t="s">
        <v>2286</v>
      </c>
      <c r="G86" s="1064">
        <v>38353</v>
      </c>
      <c r="H86" s="133" t="s">
        <v>1761</v>
      </c>
      <c r="I86" s="133" t="s">
        <v>1761</v>
      </c>
      <c r="J86" s="133" t="s">
        <v>1940</v>
      </c>
      <c r="K86" s="133" t="s">
        <v>169</v>
      </c>
      <c r="L86" s="133" t="s">
        <v>170</v>
      </c>
      <c r="M86" s="133" t="s">
        <v>171</v>
      </c>
      <c r="N86" s="133"/>
      <c r="O86" s="133" t="s">
        <v>754</v>
      </c>
      <c r="P86" s="133" t="s">
        <v>80</v>
      </c>
      <c r="Q86" s="133" t="s">
        <v>1549</v>
      </c>
      <c r="R86" s="133"/>
      <c r="S86" s="133">
        <v>1</v>
      </c>
      <c r="T86" s="133">
        <v>3180</v>
      </c>
      <c r="U86" s="133">
        <v>0</v>
      </c>
      <c r="V86" s="133">
        <v>0</v>
      </c>
      <c r="W86" s="133">
        <v>0</v>
      </c>
      <c r="X86" s="133">
        <v>9001</v>
      </c>
      <c r="Y86" s="1065">
        <v>35796</v>
      </c>
      <c r="Z86" s="1066">
        <v>36161</v>
      </c>
      <c r="AF86" s="767">
        <f t="shared" si="2"/>
        <v>1</v>
      </c>
      <c r="AG86" s="133">
        <f>IF(voorblad!$F$32=NAW!B86,1,0)</f>
        <v>0</v>
      </c>
      <c r="AH86" s="841">
        <f t="shared" si="3"/>
        <v>0</v>
      </c>
    </row>
    <row r="87" spans="1:34" ht="12.75">
      <c r="A87">
        <v>7156</v>
      </c>
      <c r="B87" s="767">
        <v>2005</v>
      </c>
      <c r="C87" s="133">
        <v>120</v>
      </c>
      <c r="D87" s="133" t="s">
        <v>1975</v>
      </c>
      <c r="E87" s="133" t="s">
        <v>81</v>
      </c>
      <c r="F87" s="133" t="s">
        <v>2286</v>
      </c>
      <c r="G87" s="1064">
        <v>38353</v>
      </c>
      <c r="H87" s="133" t="s">
        <v>1761</v>
      </c>
      <c r="I87" s="133" t="s">
        <v>1761</v>
      </c>
      <c r="J87" s="133" t="s">
        <v>387</v>
      </c>
      <c r="K87" s="133" t="s">
        <v>82</v>
      </c>
      <c r="L87" s="133" t="s">
        <v>83</v>
      </c>
      <c r="M87" s="133" t="s">
        <v>84</v>
      </c>
      <c r="N87" s="133"/>
      <c r="O87" s="133" t="s">
        <v>1076</v>
      </c>
      <c r="P87" s="133" t="s">
        <v>85</v>
      </c>
      <c r="Q87" s="133" t="s">
        <v>2286</v>
      </c>
      <c r="R87" s="133"/>
      <c r="S87" s="133">
        <v>1</v>
      </c>
      <c r="T87" s="133">
        <v>3260</v>
      </c>
      <c r="U87" s="133">
        <v>0</v>
      </c>
      <c r="V87" s="133">
        <v>0</v>
      </c>
      <c r="W87" s="133">
        <v>0</v>
      </c>
      <c r="X87" s="133">
        <v>9255</v>
      </c>
      <c r="Y87" s="1065">
        <v>34700</v>
      </c>
      <c r="Z87" s="1066">
        <v>36892</v>
      </c>
      <c r="AF87" s="767">
        <f t="shared" si="2"/>
        <v>0</v>
      </c>
      <c r="AG87" s="133">
        <f>IF(voorblad!$F$32=NAW!B87,1,0)</f>
        <v>0</v>
      </c>
      <c r="AH87" s="841">
        <f t="shared" si="3"/>
        <v>0</v>
      </c>
    </row>
    <row r="88" spans="1:34" ht="12.75">
      <c r="A88">
        <v>7292</v>
      </c>
      <c r="B88" s="767">
        <v>610</v>
      </c>
      <c r="C88" s="133">
        <v>120</v>
      </c>
      <c r="D88" s="133" t="s">
        <v>1239</v>
      </c>
      <c r="E88" s="133" t="s">
        <v>86</v>
      </c>
      <c r="F88" s="133" t="s">
        <v>2286</v>
      </c>
      <c r="G88" s="1064">
        <v>38353</v>
      </c>
      <c r="H88" s="133" t="s">
        <v>1761</v>
      </c>
      <c r="I88" s="133" t="s">
        <v>1761</v>
      </c>
      <c r="J88" s="133" t="s">
        <v>1940</v>
      </c>
      <c r="K88" s="133" t="s">
        <v>87</v>
      </c>
      <c r="L88" s="133" t="s">
        <v>2148</v>
      </c>
      <c r="M88" s="133" t="s">
        <v>2149</v>
      </c>
      <c r="N88" s="133"/>
      <c r="O88" s="133" t="s">
        <v>2150</v>
      </c>
      <c r="P88" s="133" t="s">
        <v>2151</v>
      </c>
      <c r="Q88" s="133" t="s">
        <v>1971</v>
      </c>
      <c r="R88" s="133"/>
      <c r="S88" s="133">
        <v>1</v>
      </c>
      <c r="T88" s="133">
        <v>3070</v>
      </c>
      <c r="U88" s="133">
        <v>0</v>
      </c>
      <c r="V88" s="133">
        <v>0</v>
      </c>
      <c r="W88" s="133">
        <v>0</v>
      </c>
      <c r="X88" s="133">
        <v>9002</v>
      </c>
      <c r="Y88" s="1065">
        <v>36161</v>
      </c>
      <c r="Z88" s="1066">
        <v>37257</v>
      </c>
      <c r="AF88" s="767">
        <f t="shared" si="2"/>
        <v>0</v>
      </c>
      <c r="AG88" s="133">
        <f>IF(voorblad!$F$32=NAW!B88,1,0)</f>
        <v>0</v>
      </c>
      <c r="AH88" s="841">
        <f t="shared" si="3"/>
        <v>0</v>
      </c>
    </row>
    <row r="89" spans="1:34" ht="12.75">
      <c r="A89">
        <v>7293</v>
      </c>
      <c r="B89" s="767">
        <v>1510</v>
      </c>
      <c r="C89" s="133">
        <v>120</v>
      </c>
      <c r="D89" s="133" t="s">
        <v>1239</v>
      </c>
      <c r="E89" s="133" t="s">
        <v>88</v>
      </c>
      <c r="F89" s="133" t="s">
        <v>2286</v>
      </c>
      <c r="G89" s="1064">
        <v>38353</v>
      </c>
      <c r="H89" s="133" t="s">
        <v>1761</v>
      </c>
      <c r="I89" s="133" t="s">
        <v>1761</v>
      </c>
      <c r="J89" s="133" t="s">
        <v>1940</v>
      </c>
      <c r="K89" s="133" t="s">
        <v>89</v>
      </c>
      <c r="L89" s="133" t="s">
        <v>170</v>
      </c>
      <c r="M89" s="133" t="s">
        <v>171</v>
      </c>
      <c r="N89" s="133"/>
      <c r="O89" s="133" t="s">
        <v>754</v>
      </c>
      <c r="P89" s="133" t="s">
        <v>90</v>
      </c>
      <c r="Q89" s="133" t="s">
        <v>1549</v>
      </c>
      <c r="R89" s="133"/>
      <c r="S89" s="133">
        <v>1</v>
      </c>
      <c r="T89" s="133">
        <v>3180</v>
      </c>
      <c r="U89" s="133">
        <v>0</v>
      </c>
      <c r="V89" s="133">
        <v>0</v>
      </c>
      <c r="W89" s="133">
        <v>0</v>
      </c>
      <c r="X89" s="133">
        <v>9001</v>
      </c>
      <c r="Y89" s="1065">
        <v>36161</v>
      </c>
      <c r="Z89" s="841"/>
      <c r="AF89" s="767">
        <f t="shared" si="2"/>
        <v>1</v>
      </c>
      <c r="AG89" s="133">
        <f>IF(voorblad!$F$32=NAW!B89,1,0)</f>
        <v>0</v>
      </c>
      <c r="AH89" s="841">
        <f t="shared" si="3"/>
        <v>0</v>
      </c>
    </row>
    <row r="90" spans="1:34" ht="12.75">
      <c r="A90">
        <v>7297</v>
      </c>
      <c r="B90" s="767">
        <v>110</v>
      </c>
      <c r="C90" s="133">
        <v>120</v>
      </c>
      <c r="D90" s="133" t="s">
        <v>839</v>
      </c>
      <c r="E90" s="133" t="s">
        <v>2317</v>
      </c>
      <c r="F90" s="133" t="s">
        <v>2286</v>
      </c>
      <c r="G90" s="1064">
        <v>38353</v>
      </c>
      <c r="H90" s="133" t="s">
        <v>1761</v>
      </c>
      <c r="I90" s="133" t="s">
        <v>1761</v>
      </c>
      <c r="J90" s="133" t="s">
        <v>1940</v>
      </c>
      <c r="K90" s="133" t="s">
        <v>91</v>
      </c>
      <c r="L90" s="133" t="s">
        <v>1949</v>
      </c>
      <c r="M90" s="133" t="s">
        <v>1950</v>
      </c>
      <c r="N90" s="133"/>
      <c r="O90" s="133" t="s">
        <v>1951</v>
      </c>
      <c r="P90" s="133" t="s">
        <v>1952</v>
      </c>
      <c r="Q90" s="133" t="s">
        <v>833</v>
      </c>
      <c r="R90" s="133"/>
      <c r="S90" s="133">
        <v>1</v>
      </c>
      <c r="T90" s="133">
        <v>3010</v>
      </c>
      <c r="U90" s="133">
        <v>0</v>
      </c>
      <c r="V90" s="133">
        <v>0</v>
      </c>
      <c r="W90" s="133">
        <v>0</v>
      </c>
      <c r="X90" s="133">
        <v>9009</v>
      </c>
      <c r="Y90" s="1065">
        <v>36161</v>
      </c>
      <c r="Z90" s="841"/>
      <c r="AF90" s="767">
        <f t="shared" si="2"/>
        <v>0</v>
      </c>
      <c r="AG90" s="133">
        <f>IF(voorblad!$F$32=NAW!B90,1,0)</f>
        <v>0</v>
      </c>
      <c r="AH90" s="841">
        <f t="shared" si="3"/>
        <v>0</v>
      </c>
    </row>
    <row r="91" spans="1:34" ht="12.75">
      <c r="A91">
        <v>7396</v>
      </c>
      <c r="B91" s="767">
        <v>1705</v>
      </c>
      <c r="C91" s="133">
        <v>120</v>
      </c>
      <c r="D91" s="133" t="s">
        <v>1953</v>
      </c>
      <c r="E91" s="133" t="s">
        <v>92</v>
      </c>
      <c r="F91" s="133" t="s">
        <v>2286</v>
      </c>
      <c r="G91" s="1064">
        <v>38353</v>
      </c>
      <c r="H91" s="133" t="s">
        <v>1761</v>
      </c>
      <c r="I91" s="133" t="s">
        <v>1761</v>
      </c>
      <c r="J91" s="133" t="s">
        <v>1940</v>
      </c>
      <c r="K91" s="133" t="s">
        <v>93</v>
      </c>
      <c r="L91" s="133" t="s">
        <v>94</v>
      </c>
      <c r="M91" s="133" t="s">
        <v>95</v>
      </c>
      <c r="N91" s="133"/>
      <c r="O91" s="133" t="s">
        <v>772</v>
      </c>
      <c r="P91" s="133" t="s">
        <v>96</v>
      </c>
      <c r="Q91" s="133" t="s">
        <v>1549</v>
      </c>
      <c r="R91" s="133"/>
      <c r="S91" s="133">
        <v>1</v>
      </c>
      <c r="T91" s="133">
        <v>3230</v>
      </c>
      <c r="U91" s="133">
        <v>0</v>
      </c>
      <c r="V91" s="133">
        <v>0</v>
      </c>
      <c r="W91" s="133">
        <v>0</v>
      </c>
      <c r="X91" s="133">
        <v>0</v>
      </c>
      <c r="Y91" s="1065">
        <v>35796</v>
      </c>
      <c r="Z91" s="841"/>
      <c r="AF91" s="767">
        <f t="shared" si="2"/>
        <v>0</v>
      </c>
      <c r="AG91" s="133">
        <f>IF(voorblad!$F$32=NAW!B91,1,0)</f>
        <v>0</v>
      </c>
      <c r="AH91" s="841">
        <f t="shared" si="3"/>
        <v>0</v>
      </c>
    </row>
    <row r="92" spans="1:34" ht="12.75">
      <c r="A92">
        <v>7397</v>
      </c>
      <c r="B92" s="767">
        <v>1311</v>
      </c>
      <c r="C92" s="133">
        <v>120</v>
      </c>
      <c r="D92" s="133" t="s">
        <v>1239</v>
      </c>
      <c r="E92" s="133" t="s">
        <v>97</v>
      </c>
      <c r="F92" s="133" t="s">
        <v>2286</v>
      </c>
      <c r="G92" s="1064">
        <v>38353</v>
      </c>
      <c r="H92" s="133" t="s">
        <v>1761</v>
      </c>
      <c r="I92" s="133" t="s">
        <v>1761</v>
      </c>
      <c r="J92" s="133" t="s">
        <v>387</v>
      </c>
      <c r="K92" s="133" t="s">
        <v>98</v>
      </c>
      <c r="L92" s="133"/>
      <c r="M92" s="133"/>
      <c r="N92" s="133"/>
      <c r="O92" s="133" t="s">
        <v>99</v>
      </c>
      <c r="P92" s="133" t="s">
        <v>100</v>
      </c>
      <c r="Q92" s="133" t="s">
        <v>1162</v>
      </c>
      <c r="R92" s="133" t="s">
        <v>101</v>
      </c>
      <c r="S92" s="133">
        <v>1</v>
      </c>
      <c r="T92" s="133">
        <v>3150</v>
      </c>
      <c r="U92" s="133">
        <v>0</v>
      </c>
      <c r="V92" s="133">
        <v>0</v>
      </c>
      <c r="W92" s="133">
        <v>0</v>
      </c>
      <c r="X92" s="133">
        <v>0</v>
      </c>
      <c r="Y92" s="1065">
        <v>36161</v>
      </c>
      <c r="Z92" s="1066">
        <v>37987</v>
      </c>
      <c r="AF92" s="767">
        <f t="shared" si="2"/>
        <v>1</v>
      </c>
      <c r="AG92" s="133">
        <f>IF(voorblad!$F$32=NAW!B92,1,0)</f>
        <v>0</v>
      </c>
      <c r="AH92" s="841">
        <f t="shared" si="3"/>
        <v>0</v>
      </c>
    </row>
    <row r="93" spans="1:34" ht="12.75">
      <c r="A93">
        <v>8227</v>
      </c>
      <c r="B93" s="767">
        <v>109</v>
      </c>
      <c r="C93" s="133">
        <v>120</v>
      </c>
      <c r="D93" s="133" t="s">
        <v>839</v>
      </c>
      <c r="E93" s="133" t="s">
        <v>102</v>
      </c>
      <c r="F93" s="133" t="s">
        <v>2286</v>
      </c>
      <c r="G93" s="1064">
        <v>38353</v>
      </c>
      <c r="H93" s="133" t="s">
        <v>1761</v>
      </c>
      <c r="I93" s="133" t="s">
        <v>1761</v>
      </c>
      <c r="J93" s="133" t="s">
        <v>1940</v>
      </c>
      <c r="K93" s="133" t="s">
        <v>102</v>
      </c>
      <c r="L93" s="133" t="s">
        <v>103</v>
      </c>
      <c r="M93" s="133" t="s">
        <v>104</v>
      </c>
      <c r="N93" s="133"/>
      <c r="O93" s="133" t="s">
        <v>1055</v>
      </c>
      <c r="P93" s="133" t="s">
        <v>25</v>
      </c>
      <c r="Q93" s="133" t="s">
        <v>1946</v>
      </c>
      <c r="R93" s="133" t="s">
        <v>26</v>
      </c>
      <c r="S93" s="133">
        <v>1</v>
      </c>
      <c r="T93" s="133">
        <v>3010</v>
      </c>
      <c r="U93" s="133">
        <v>0</v>
      </c>
      <c r="V93" s="133">
        <v>0</v>
      </c>
      <c r="W93" s="133">
        <v>0</v>
      </c>
      <c r="X93" s="133">
        <v>0</v>
      </c>
      <c r="Y93" s="1065">
        <v>37622</v>
      </c>
      <c r="Z93" s="841"/>
      <c r="AF93" s="767">
        <f t="shared" si="2"/>
        <v>0</v>
      </c>
      <c r="AG93" s="133">
        <f>IF(voorblad!$F$32=NAW!B93,1,0)</f>
        <v>0</v>
      </c>
      <c r="AH93" s="841">
        <f t="shared" si="3"/>
        <v>0</v>
      </c>
    </row>
    <row r="94" spans="1:34" ht="12.75">
      <c r="A94">
        <v>8311</v>
      </c>
      <c r="B94" s="767">
        <v>304</v>
      </c>
      <c r="C94" s="133">
        <v>120</v>
      </c>
      <c r="D94" s="133" t="s">
        <v>1975</v>
      </c>
      <c r="E94" s="133" t="s">
        <v>27</v>
      </c>
      <c r="F94" s="133" t="s">
        <v>2286</v>
      </c>
      <c r="G94" s="1064">
        <v>38353</v>
      </c>
      <c r="H94" s="133" t="s">
        <v>1761</v>
      </c>
      <c r="I94" s="133" t="s">
        <v>1761</v>
      </c>
      <c r="J94" s="133" t="s">
        <v>1940</v>
      </c>
      <c r="K94" s="133" t="s">
        <v>28</v>
      </c>
      <c r="L94" s="133"/>
      <c r="M94" s="133"/>
      <c r="N94" s="133"/>
      <c r="O94" s="133" t="s">
        <v>1979</v>
      </c>
      <c r="P94" s="133" t="s">
        <v>29</v>
      </c>
      <c r="Q94" s="133" t="s">
        <v>1963</v>
      </c>
      <c r="R94" s="133" t="s">
        <v>30</v>
      </c>
      <c r="S94" s="133">
        <v>1</v>
      </c>
      <c r="T94" s="133">
        <v>3040</v>
      </c>
      <c r="U94" s="133">
        <v>0</v>
      </c>
      <c r="V94" s="133">
        <v>0</v>
      </c>
      <c r="W94" s="133">
        <v>0</v>
      </c>
      <c r="X94" s="133">
        <v>0</v>
      </c>
      <c r="Y94" s="1065">
        <v>36892</v>
      </c>
      <c r="Z94" s="841"/>
      <c r="AF94" s="767">
        <f t="shared" si="2"/>
        <v>0</v>
      </c>
      <c r="AG94" s="133">
        <f>IF(voorblad!$F$32=NAW!B94,1,0)</f>
        <v>0</v>
      </c>
      <c r="AH94" s="841">
        <f t="shared" si="3"/>
        <v>0</v>
      </c>
    </row>
    <row r="95" spans="1:34" ht="12.75">
      <c r="A95">
        <v>8312</v>
      </c>
      <c r="B95" s="767">
        <v>508</v>
      </c>
      <c r="C95" s="133">
        <v>120</v>
      </c>
      <c r="D95" s="133" t="s">
        <v>1239</v>
      </c>
      <c r="E95" s="133" t="s">
        <v>31</v>
      </c>
      <c r="F95" s="133" t="s">
        <v>2286</v>
      </c>
      <c r="G95" s="1064">
        <v>38353</v>
      </c>
      <c r="H95" s="133" t="s">
        <v>1761</v>
      </c>
      <c r="I95" s="133" t="s">
        <v>1761</v>
      </c>
      <c r="J95" s="133" t="s">
        <v>1940</v>
      </c>
      <c r="K95" s="133" t="s">
        <v>32</v>
      </c>
      <c r="L95" s="133"/>
      <c r="M95" s="133"/>
      <c r="N95" s="133"/>
      <c r="O95" s="133" t="s">
        <v>1973</v>
      </c>
      <c r="P95" s="133" t="s">
        <v>33</v>
      </c>
      <c r="Q95" s="133" t="s">
        <v>1963</v>
      </c>
      <c r="R95" s="133" t="s">
        <v>34</v>
      </c>
      <c r="S95" s="133">
        <v>1</v>
      </c>
      <c r="T95" s="133">
        <v>3061</v>
      </c>
      <c r="U95" s="133">
        <v>0</v>
      </c>
      <c r="V95" s="133">
        <v>0</v>
      </c>
      <c r="W95" s="133">
        <v>0</v>
      </c>
      <c r="X95" s="133">
        <v>0</v>
      </c>
      <c r="Y95" s="1065">
        <v>36892</v>
      </c>
      <c r="Z95" s="841"/>
      <c r="AF95" s="767">
        <f t="shared" si="2"/>
        <v>0</v>
      </c>
      <c r="AG95" s="133">
        <f>IF(voorblad!$F$32=NAW!B95,1,0)</f>
        <v>0</v>
      </c>
      <c r="AH95" s="841">
        <f t="shared" si="3"/>
        <v>0</v>
      </c>
    </row>
    <row r="96" spans="1:34" ht="12.75">
      <c r="A96">
        <v>8313</v>
      </c>
      <c r="B96" s="767">
        <v>615</v>
      </c>
      <c r="C96" s="133">
        <v>120</v>
      </c>
      <c r="D96" s="133" t="s">
        <v>1239</v>
      </c>
      <c r="E96" s="133" t="s">
        <v>35</v>
      </c>
      <c r="F96" s="133" t="s">
        <v>2286</v>
      </c>
      <c r="G96" s="1064">
        <v>38353</v>
      </c>
      <c r="H96" s="133" t="s">
        <v>1761</v>
      </c>
      <c r="I96" s="133" t="s">
        <v>1761</v>
      </c>
      <c r="J96" s="133" t="s">
        <v>1940</v>
      </c>
      <c r="K96" s="133" t="s">
        <v>36</v>
      </c>
      <c r="L96" s="133" t="s">
        <v>37</v>
      </c>
      <c r="M96" s="133" t="s">
        <v>38</v>
      </c>
      <c r="N96" s="133"/>
      <c r="O96" s="133" t="s">
        <v>1775</v>
      </c>
      <c r="P96" s="133" t="s">
        <v>39</v>
      </c>
      <c r="Q96" s="133" t="s">
        <v>1971</v>
      </c>
      <c r="R96" s="133" t="s">
        <v>1427</v>
      </c>
      <c r="S96" s="133">
        <v>1</v>
      </c>
      <c r="T96" s="133">
        <v>3070</v>
      </c>
      <c r="U96" s="133">
        <v>0</v>
      </c>
      <c r="V96" s="133">
        <v>0</v>
      </c>
      <c r="W96" s="133">
        <v>0</v>
      </c>
      <c r="X96" s="133">
        <v>9002</v>
      </c>
      <c r="Y96" s="1065">
        <v>36892</v>
      </c>
      <c r="Z96" s="1066">
        <v>37257</v>
      </c>
      <c r="AF96" s="767">
        <f t="shared" si="2"/>
        <v>0</v>
      </c>
      <c r="AG96" s="133">
        <f>IF(voorblad!$F$32=NAW!B96,1,0)</f>
        <v>0</v>
      </c>
      <c r="AH96" s="841">
        <f t="shared" si="3"/>
        <v>0</v>
      </c>
    </row>
    <row r="97" spans="1:34" ht="12.75">
      <c r="A97">
        <v>8314</v>
      </c>
      <c r="B97" s="767">
        <v>620</v>
      </c>
      <c r="C97" s="133">
        <v>120</v>
      </c>
      <c r="D97" s="133" t="s">
        <v>2066</v>
      </c>
      <c r="E97" s="133" t="s">
        <v>1428</v>
      </c>
      <c r="F97" s="133" t="s">
        <v>2286</v>
      </c>
      <c r="G97" s="1064">
        <v>38353</v>
      </c>
      <c r="H97" s="133" t="s">
        <v>1761</v>
      </c>
      <c r="I97" s="133" t="s">
        <v>1761</v>
      </c>
      <c r="J97" s="133" t="s">
        <v>1940</v>
      </c>
      <c r="K97" s="133" t="s">
        <v>1429</v>
      </c>
      <c r="L97" s="133"/>
      <c r="M97" s="133"/>
      <c r="N97" s="133"/>
      <c r="O97" s="133" t="s">
        <v>1430</v>
      </c>
      <c r="P97" s="133" t="s">
        <v>1431</v>
      </c>
      <c r="Q97" s="133" t="s">
        <v>1971</v>
      </c>
      <c r="R97" s="133" t="s">
        <v>1432</v>
      </c>
      <c r="S97" s="133">
        <v>1</v>
      </c>
      <c r="T97" s="133">
        <v>3070</v>
      </c>
      <c r="U97" s="133">
        <v>0</v>
      </c>
      <c r="V97" s="133">
        <v>0</v>
      </c>
      <c r="W97" s="133">
        <v>0</v>
      </c>
      <c r="X97" s="133">
        <v>9033</v>
      </c>
      <c r="Y97" s="1065">
        <v>36892</v>
      </c>
      <c r="Z97" s="1066">
        <v>37257</v>
      </c>
      <c r="AF97" s="767">
        <f t="shared" si="2"/>
        <v>0</v>
      </c>
      <c r="AG97" s="133">
        <f>IF(voorblad!$F$32=NAW!B97,1,0)</f>
        <v>0</v>
      </c>
      <c r="AH97" s="841">
        <f t="shared" si="3"/>
        <v>0</v>
      </c>
    </row>
    <row r="98" spans="1:34" ht="12.75">
      <c r="A98">
        <v>8316</v>
      </c>
      <c r="B98" s="767">
        <v>1320</v>
      </c>
      <c r="C98" s="133">
        <v>120</v>
      </c>
      <c r="D98" s="133" t="s">
        <v>1965</v>
      </c>
      <c r="E98" s="133" t="s">
        <v>1433</v>
      </c>
      <c r="F98" s="133" t="s">
        <v>2286</v>
      </c>
      <c r="G98" s="1064">
        <v>38353</v>
      </c>
      <c r="H98" s="133" t="s">
        <v>1761</v>
      </c>
      <c r="I98" s="133" t="s">
        <v>1761</v>
      </c>
      <c r="J98" s="133" t="s">
        <v>1940</v>
      </c>
      <c r="K98" s="133" t="s">
        <v>1434</v>
      </c>
      <c r="L98" s="133" t="s">
        <v>1435</v>
      </c>
      <c r="M98" s="133" t="s">
        <v>1245</v>
      </c>
      <c r="N98" s="133"/>
      <c r="O98" s="133" t="s">
        <v>1246</v>
      </c>
      <c r="P98" s="133" t="s">
        <v>1247</v>
      </c>
      <c r="Q98" s="133" t="s">
        <v>1162</v>
      </c>
      <c r="R98" s="133"/>
      <c r="S98" s="133">
        <v>1</v>
      </c>
      <c r="T98" s="133">
        <v>3120</v>
      </c>
      <c r="U98" s="133">
        <v>0</v>
      </c>
      <c r="V98" s="133">
        <v>0</v>
      </c>
      <c r="W98" s="133">
        <v>0</v>
      </c>
      <c r="X98" s="133">
        <v>0</v>
      </c>
      <c r="Y98" s="1065">
        <v>36892</v>
      </c>
      <c r="Z98" s="841"/>
      <c r="AF98" s="767">
        <f t="shared" si="2"/>
        <v>0</v>
      </c>
      <c r="AG98" s="133">
        <f>IF(voorblad!$F$32=NAW!B98,1,0)</f>
        <v>0</v>
      </c>
      <c r="AH98" s="841">
        <f t="shared" si="3"/>
        <v>0</v>
      </c>
    </row>
    <row r="99" spans="1:34" ht="12.75">
      <c r="A99">
        <v>8317</v>
      </c>
      <c r="B99" s="767">
        <v>1324</v>
      </c>
      <c r="C99" s="133">
        <v>120</v>
      </c>
      <c r="D99" s="133" t="s">
        <v>1965</v>
      </c>
      <c r="E99" s="133" t="s">
        <v>1248</v>
      </c>
      <c r="F99" s="133" t="s">
        <v>2286</v>
      </c>
      <c r="G99" s="1064">
        <v>38353</v>
      </c>
      <c r="H99" s="133" t="s">
        <v>1761</v>
      </c>
      <c r="I99" s="133" t="s">
        <v>1761</v>
      </c>
      <c r="J99" s="133" t="s">
        <v>1940</v>
      </c>
      <c r="K99" s="133" t="s">
        <v>1170</v>
      </c>
      <c r="L99" s="133"/>
      <c r="M99" s="133"/>
      <c r="N99" s="133"/>
      <c r="O99" s="133" t="s">
        <v>1249</v>
      </c>
      <c r="P99" s="133" t="s">
        <v>1250</v>
      </c>
      <c r="Q99" s="133" t="s">
        <v>1162</v>
      </c>
      <c r="R99" s="133" t="s">
        <v>1251</v>
      </c>
      <c r="S99" s="133">
        <v>1</v>
      </c>
      <c r="T99" s="133">
        <v>3130</v>
      </c>
      <c r="U99" s="133">
        <v>0</v>
      </c>
      <c r="V99" s="133">
        <v>0</v>
      </c>
      <c r="W99" s="133">
        <v>0</v>
      </c>
      <c r="X99" s="133">
        <v>0</v>
      </c>
      <c r="Y99" s="1065">
        <v>36892</v>
      </c>
      <c r="Z99" s="1066">
        <v>38353</v>
      </c>
      <c r="AF99" s="767">
        <f t="shared" si="2"/>
        <v>0</v>
      </c>
      <c r="AG99" s="133">
        <f>IF(voorblad!$F$32=NAW!B99,1,0)</f>
        <v>0</v>
      </c>
      <c r="AH99" s="841">
        <f t="shared" si="3"/>
        <v>0</v>
      </c>
    </row>
    <row r="100" spans="1:34" ht="12.75">
      <c r="A100">
        <v>8318</v>
      </c>
      <c r="B100" s="767">
        <v>1422</v>
      </c>
      <c r="C100" s="133">
        <v>120</v>
      </c>
      <c r="D100" s="133" t="s">
        <v>1965</v>
      </c>
      <c r="E100" s="133" t="s">
        <v>420</v>
      </c>
      <c r="F100" s="133" t="s">
        <v>2286</v>
      </c>
      <c r="G100" s="1064">
        <v>38353</v>
      </c>
      <c r="H100" s="133" t="s">
        <v>1761</v>
      </c>
      <c r="I100" s="133" t="s">
        <v>1761</v>
      </c>
      <c r="J100" s="133" t="s">
        <v>1940</v>
      </c>
      <c r="K100" s="133" t="s">
        <v>1170</v>
      </c>
      <c r="L100" s="133"/>
      <c r="M100" s="133"/>
      <c r="N100" s="133"/>
      <c r="O100" s="133" t="s">
        <v>421</v>
      </c>
      <c r="P100" s="133" t="s">
        <v>422</v>
      </c>
      <c r="Q100" s="133" t="s">
        <v>1162</v>
      </c>
      <c r="R100" s="133" t="s">
        <v>423</v>
      </c>
      <c r="S100" s="133">
        <v>1</v>
      </c>
      <c r="T100" s="133">
        <v>3130</v>
      </c>
      <c r="U100" s="133">
        <v>0</v>
      </c>
      <c r="V100" s="133">
        <v>0</v>
      </c>
      <c r="W100" s="133">
        <v>0</v>
      </c>
      <c r="X100" s="133">
        <v>0</v>
      </c>
      <c r="Y100" s="1065">
        <v>36892</v>
      </c>
      <c r="Z100" s="1066">
        <v>38353</v>
      </c>
      <c r="AF100" s="767">
        <f t="shared" si="2"/>
        <v>0</v>
      </c>
      <c r="AG100" s="133">
        <f>IF(voorblad!$F$32=NAW!B100,1,0)</f>
        <v>0</v>
      </c>
      <c r="AH100" s="841">
        <f t="shared" si="3"/>
        <v>0</v>
      </c>
    </row>
    <row r="101" spans="1:34" ht="12.75">
      <c r="A101">
        <v>8319</v>
      </c>
      <c r="B101" s="767">
        <v>1635</v>
      </c>
      <c r="C101" s="133">
        <v>120</v>
      </c>
      <c r="D101" s="133" t="s">
        <v>839</v>
      </c>
      <c r="E101" s="133" t="s">
        <v>424</v>
      </c>
      <c r="F101" s="133" t="s">
        <v>2286</v>
      </c>
      <c r="G101" s="1064">
        <v>38353</v>
      </c>
      <c r="H101" s="133" t="s">
        <v>1761</v>
      </c>
      <c r="I101" s="133" t="s">
        <v>1761</v>
      </c>
      <c r="J101" s="133" t="s">
        <v>1940</v>
      </c>
      <c r="K101" s="133" t="s">
        <v>425</v>
      </c>
      <c r="L101" s="133" t="s">
        <v>426</v>
      </c>
      <c r="M101" s="133" t="s">
        <v>427</v>
      </c>
      <c r="N101" s="133"/>
      <c r="O101" s="133" t="s">
        <v>428</v>
      </c>
      <c r="P101" s="133" t="s">
        <v>429</v>
      </c>
      <c r="Q101" s="133" t="s">
        <v>1549</v>
      </c>
      <c r="R101" s="133"/>
      <c r="S101" s="133">
        <v>1</v>
      </c>
      <c r="T101" s="133">
        <v>3170</v>
      </c>
      <c r="U101" s="133">
        <v>0</v>
      </c>
      <c r="V101" s="133">
        <v>0</v>
      </c>
      <c r="W101" s="133">
        <v>0</v>
      </c>
      <c r="X101" s="133">
        <v>0</v>
      </c>
      <c r="Y101" s="1065">
        <v>36892</v>
      </c>
      <c r="Z101" s="1066">
        <v>38353</v>
      </c>
      <c r="AF101" s="767">
        <f t="shared" si="2"/>
        <v>0</v>
      </c>
      <c r="AG101" s="133">
        <f>IF(voorblad!$F$32=NAW!B101,1,0)</f>
        <v>0</v>
      </c>
      <c r="AH101" s="841">
        <f t="shared" si="3"/>
        <v>0</v>
      </c>
    </row>
    <row r="102" spans="1:34" ht="12.75">
      <c r="A102">
        <v>8320</v>
      </c>
      <c r="B102" s="767">
        <v>1740</v>
      </c>
      <c r="C102" s="133">
        <v>120</v>
      </c>
      <c r="D102" s="133" t="s">
        <v>1953</v>
      </c>
      <c r="E102" s="133" t="s">
        <v>430</v>
      </c>
      <c r="F102" s="133" t="s">
        <v>2286</v>
      </c>
      <c r="G102" s="1064">
        <v>38353</v>
      </c>
      <c r="H102" s="133" t="s">
        <v>1761</v>
      </c>
      <c r="I102" s="133" t="s">
        <v>1761</v>
      </c>
      <c r="J102" s="133" t="s">
        <v>1940</v>
      </c>
      <c r="K102" s="133" t="s">
        <v>430</v>
      </c>
      <c r="L102" s="133" t="s">
        <v>431</v>
      </c>
      <c r="M102" s="133" t="s">
        <v>432</v>
      </c>
      <c r="N102" s="133"/>
      <c r="O102" s="133" t="s">
        <v>1593</v>
      </c>
      <c r="P102" s="133"/>
      <c r="Q102" s="133" t="s">
        <v>1549</v>
      </c>
      <c r="R102" s="133" t="s">
        <v>433</v>
      </c>
      <c r="S102" s="133">
        <v>1</v>
      </c>
      <c r="T102" s="133">
        <v>3230</v>
      </c>
      <c r="U102" s="133">
        <v>0</v>
      </c>
      <c r="V102" s="133">
        <v>0</v>
      </c>
      <c r="W102" s="133">
        <v>0</v>
      </c>
      <c r="X102" s="133">
        <v>0</v>
      </c>
      <c r="Y102" s="1065">
        <v>36892</v>
      </c>
      <c r="Z102" s="841"/>
      <c r="AF102" s="767">
        <f t="shared" si="2"/>
        <v>0</v>
      </c>
      <c r="AG102" s="133">
        <f>IF(voorblad!$F$32=NAW!B102,1,0)</f>
        <v>0</v>
      </c>
      <c r="AH102" s="841">
        <f t="shared" si="3"/>
        <v>0</v>
      </c>
    </row>
    <row r="103" spans="1:34" ht="12.75">
      <c r="A103">
        <v>8321</v>
      </c>
      <c r="B103" s="767">
        <v>1747</v>
      </c>
      <c r="C103" s="133">
        <v>120</v>
      </c>
      <c r="D103" s="133" t="s">
        <v>1953</v>
      </c>
      <c r="E103" s="133" t="s">
        <v>434</v>
      </c>
      <c r="F103" s="133" t="s">
        <v>2286</v>
      </c>
      <c r="G103" s="1064">
        <v>38353</v>
      </c>
      <c r="H103" s="133" t="s">
        <v>1761</v>
      </c>
      <c r="I103" s="133" t="s">
        <v>1761</v>
      </c>
      <c r="J103" s="133" t="s">
        <v>1940</v>
      </c>
      <c r="K103" s="133" t="s">
        <v>435</v>
      </c>
      <c r="L103" s="133" t="s">
        <v>436</v>
      </c>
      <c r="M103" s="133" t="s">
        <v>437</v>
      </c>
      <c r="N103" s="133"/>
      <c r="O103" s="133" t="s">
        <v>737</v>
      </c>
      <c r="P103" s="133" t="s">
        <v>438</v>
      </c>
      <c r="Q103" s="133" t="s">
        <v>1549</v>
      </c>
      <c r="R103" s="133"/>
      <c r="S103" s="133">
        <v>1</v>
      </c>
      <c r="T103" s="133">
        <v>3210</v>
      </c>
      <c r="U103" s="133">
        <v>0</v>
      </c>
      <c r="V103" s="133">
        <v>0</v>
      </c>
      <c r="W103" s="133">
        <v>0</v>
      </c>
      <c r="X103" s="133">
        <v>0</v>
      </c>
      <c r="Y103" s="1065">
        <v>36892</v>
      </c>
      <c r="Z103" s="841"/>
      <c r="AF103" s="767">
        <f t="shared" si="2"/>
        <v>1</v>
      </c>
      <c r="AG103" s="133">
        <f>IF(voorblad!$F$32=NAW!B103,1,0)</f>
        <v>0</v>
      </c>
      <c r="AH103" s="841">
        <f t="shared" si="3"/>
        <v>0</v>
      </c>
    </row>
    <row r="104" spans="1:34" ht="12.75">
      <c r="A104">
        <v>8322</v>
      </c>
      <c r="B104" s="767">
        <v>2455</v>
      </c>
      <c r="C104" s="133">
        <v>120</v>
      </c>
      <c r="D104" s="133" t="s">
        <v>1953</v>
      </c>
      <c r="E104" s="133" t="s">
        <v>439</v>
      </c>
      <c r="F104" s="133" t="s">
        <v>2286</v>
      </c>
      <c r="G104" s="1064">
        <v>38353</v>
      </c>
      <c r="H104" s="133" t="s">
        <v>1761</v>
      </c>
      <c r="I104" s="133" t="s">
        <v>1761</v>
      </c>
      <c r="J104" s="133" t="s">
        <v>1940</v>
      </c>
      <c r="K104" s="133" t="s">
        <v>440</v>
      </c>
      <c r="L104" s="133"/>
      <c r="M104" s="133"/>
      <c r="N104" s="133"/>
      <c r="O104" s="133" t="s">
        <v>1597</v>
      </c>
      <c r="P104" s="133" t="s">
        <v>441</v>
      </c>
      <c r="Q104" s="133" t="s">
        <v>1359</v>
      </c>
      <c r="R104" s="133" t="s">
        <v>442</v>
      </c>
      <c r="S104" s="133">
        <v>1</v>
      </c>
      <c r="T104" s="133">
        <v>3300</v>
      </c>
      <c r="U104" s="133">
        <v>0</v>
      </c>
      <c r="V104" s="133">
        <v>0</v>
      </c>
      <c r="W104" s="133">
        <v>0</v>
      </c>
      <c r="X104" s="133">
        <v>0</v>
      </c>
      <c r="Y104" s="1065">
        <v>36892</v>
      </c>
      <c r="Z104" s="1066">
        <v>38353</v>
      </c>
      <c r="AF104" s="767">
        <f t="shared" si="2"/>
        <v>0</v>
      </c>
      <c r="AG104" s="133">
        <f>IF(voorblad!$F$32=NAW!B104,1,0)</f>
        <v>0</v>
      </c>
      <c r="AH104" s="841">
        <f t="shared" si="3"/>
        <v>0</v>
      </c>
    </row>
    <row r="105" spans="1:34" ht="12.75">
      <c r="A105">
        <v>8323</v>
      </c>
      <c r="B105" s="767">
        <v>2456</v>
      </c>
      <c r="C105" s="133">
        <v>120</v>
      </c>
      <c r="D105" s="133" t="s">
        <v>1953</v>
      </c>
      <c r="E105" s="133" t="s">
        <v>443</v>
      </c>
      <c r="F105" s="133" t="s">
        <v>2286</v>
      </c>
      <c r="G105" s="1064">
        <v>38353</v>
      </c>
      <c r="H105" s="133" t="s">
        <v>1761</v>
      </c>
      <c r="I105" s="133" t="s">
        <v>1761</v>
      </c>
      <c r="J105" s="133" t="s">
        <v>1940</v>
      </c>
      <c r="K105" s="133" t="s">
        <v>444</v>
      </c>
      <c r="L105" s="133" t="s">
        <v>445</v>
      </c>
      <c r="M105" s="133" t="s">
        <v>446</v>
      </c>
      <c r="N105" s="133"/>
      <c r="O105" s="133" t="s">
        <v>447</v>
      </c>
      <c r="P105" s="133" t="s">
        <v>448</v>
      </c>
      <c r="Q105" s="133" t="s">
        <v>1359</v>
      </c>
      <c r="R105" s="133" t="s">
        <v>449</v>
      </c>
      <c r="S105" s="133">
        <v>1</v>
      </c>
      <c r="T105" s="133">
        <v>3300</v>
      </c>
      <c r="U105" s="133">
        <v>0</v>
      </c>
      <c r="V105" s="133">
        <v>0</v>
      </c>
      <c r="W105" s="133">
        <v>0</v>
      </c>
      <c r="X105" s="133">
        <v>0</v>
      </c>
      <c r="Y105" s="1065">
        <v>36892</v>
      </c>
      <c r="Z105" s="841"/>
      <c r="AF105" s="767">
        <f t="shared" si="2"/>
        <v>0</v>
      </c>
      <c r="AG105" s="133">
        <f>IF(voorblad!$F$32=NAW!B105,1,0)</f>
        <v>0</v>
      </c>
      <c r="AH105" s="841">
        <f t="shared" si="3"/>
        <v>0</v>
      </c>
    </row>
    <row r="106" spans="1:34" ht="12.75">
      <c r="A106">
        <v>8324</v>
      </c>
      <c r="B106" s="767">
        <v>2557</v>
      </c>
      <c r="C106" s="133">
        <v>120</v>
      </c>
      <c r="D106" s="133" t="s">
        <v>2066</v>
      </c>
      <c r="E106" s="133" t="s">
        <v>450</v>
      </c>
      <c r="F106" s="133" t="s">
        <v>2286</v>
      </c>
      <c r="G106" s="1064">
        <v>38353</v>
      </c>
      <c r="H106" s="133" t="s">
        <v>1761</v>
      </c>
      <c r="I106" s="133" t="s">
        <v>1761</v>
      </c>
      <c r="J106" s="133" t="s">
        <v>1940</v>
      </c>
      <c r="K106" s="133" t="s">
        <v>397</v>
      </c>
      <c r="L106" s="133"/>
      <c r="M106" s="133"/>
      <c r="N106" s="133"/>
      <c r="O106" s="133" t="s">
        <v>398</v>
      </c>
      <c r="P106" s="133" t="s">
        <v>399</v>
      </c>
      <c r="Q106" s="133" t="s">
        <v>1359</v>
      </c>
      <c r="R106" s="133" t="s">
        <v>400</v>
      </c>
      <c r="S106" s="133">
        <v>1</v>
      </c>
      <c r="T106" s="133">
        <v>3310</v>
      </c>
      <c r="U106" s="133">
        <v>0</v>
      </c>
      <c r="V106" s="133">
        <v>0</v>
      </c>
      <c r="W106" s="133">
        <v>0</v>
      </c>
      <c r="X106" s="133">
        <v>0</v>
      </c>
      <c r="Y106" s="1065">
        <v>36892</v>
      </c>
      <c r="Z106" s="1066">
        <v>37622</v>
      </c>
      <c r="AF106" s="767">
        <f t="shared" si="2"/>
        <v>0</v>
      </c>
      <c r="AG106" s="133">
        <f>IF(voorblad!$F$32=NAW!B106,1,0)</f>
        <v>0</v>
      </c>
      <c r="AH106" s="841">
        <f t="shared" si="3"/>
        <v>0</v>
      </c>
    </row>
    <row r="107" spans="1:34" ht="12.75">
      <c r="A107">
        <v>8325</v>
      </c>
      <c r="B107" s="767">
        <v>2559</v>
      </c>
      <c r="C107" s="133">
        <v>120</v>
      </c>
      <c r="D107" s="133" t="s">
        <v>2066</v>
      </c>
      <c r="E107" s="133" t="s">
        <v>401</v>
      </c>
      <c r="F107" s="133" t="s">
        <v>2286</v>
      </c>
      <c r="G107" s="1064">
        <v>38353</v>
      </c>
      <c r="H107" s="133" t="s">
        <v>1761</v>
      </c>
      <c r="I107" s="133" t="s">
        <v>1761</v>
      </c>
      <c r="J107" s="133" t="s">
        <v>1940</v>
      </c>
      <c r="K107" s="133" t="s">
        <v>402</v>
      </c>
      <c r="L107" s="133" t="s">
        <v>403</v>
      </c>
      <c r="M107" s="133" t="s">
        <v>404</v>
      </c>
      <c r="N107" s="133"/>
      <c r="O107" s="133" t="s">
        <v>1369</v>
      </c>
      <c r="P107" s="133" t="s">
        <v>405</v>
      </c>
      <c r="Q107" s="133" t="s">
        <v>1359</v>
      </c>
      <c r="R107" s="133"/>
      <c r="S107" s="133">
        <v>1</v>
      </c>
      <c r="T107" s="133">
        <v>3310</v>
      </c>
      <c r="U107" s="133">
        <v>0</v>
      </c>
      <c r="V107" s="133">
        <v>0</v>
      </c>
      <c r="W107" s="133">
        <v>0</v>
      </c>
      <c r="X107" s="133">
        <v>0</v>
      </c>
      <c r="Y107" s="1065">
        <v>36892</v>
      </c>
      <c r="Z107" s="841"/>
      <c r="AF107" s="767">
        <f t="shared" si="2"/>
        <v>0</v>
      </c>
      <c r="AG107" s="133">
        <f>IF(voorblad!$F$32=NAW!B107,1,0)</f>
        <v>0</v>
      </c>
      <c r="AH107" s="841">
        <f t="shared" si="3"/>
        <v>0</v>
      </c>
    </row>
    <row r="108" spans="1:34" ht="12.75">
      <c r="A108">
        <v>8326</v>
      </c>
      <c r="B108" s="767">
        <v>816</v>
      </c>
      <c r="C108" s="133">
        <v>120</v>
      </c>
      <c r="D108" s="133" t="s">
        <v>839</v>
      </c>
      <c r="E108" s="133" t="s">
        <v>406</v>
      </c>
      <c r="F108" s="133" t="s">
        <v>2286</v>
      </c>
      <c r="G108" s="1064">
        <v>38353</v>
      </c>
      <c r="H108" s="133" t="s">
        <v>1761</v>
      </c>
      <c r="I108" s="133" t="s">
        <v>1761</v>
      </c>
      <c r="J108" s="133" t="s">
        <v>1940</v>
      </c>
      <c r="K108" s="133" t="s">
        <v>407</v>
      </c>
      <c r="L108" s="133"/>
      <c r="M108" s="133"/>
      <c r="N108" s="133"/>
      <c r="O108" s="133" t="s">
        <v>364</v>
      </c>
      <c r="P108" s="133" t="s">
        <v>408</v>
      </c>
      <c r="Q108" s="133" t="s">
        <v>366</v>
      </c>
      <c r="R108" s="133" t="s">
        <v>409</v>
      </c>
      <c r="S108" s="133">
        <v>1</v>
      </c>
      <c r="T108" s="133">
        <v>3090</v>
      </c>
      <c r="U108" s="133">
        <v>0</v>
      </c>
      <c r="V108" s="133">
        <v>0</v>
      </c>
      <c r="W108" s="133">
        <v>0</v>
      </c>
      <c r="X108" s="133">
        <v>0</v>
      </c>
      <c r="Y108" s="1065">
        <v>36892</v>
      </c>
      <c r="Z108" s="841"/>
      <c r="AF108" s="767">
        <f t="shared" si="2"/>
        <v>1</v>
      </c>
      <c r="AG108" s="133">
        <f>IF(voorblad!$F$32=NAW!B108,1,0)</f>
        <v>0</v>
      </c>
      <c r="AH108" s="841">
        <f t="shared" si="3"/>
        <v>0</v>
      </c>
    </row>
    <row r="109" spans="1:34" ht="12.75">
      <c r="A109">
        <v>8327</v>
      </c>
      <c r="B109" s="767">
        <v>115</v>
      </c>
      <c r="C109" s="133">
        <v>120</v>
      </c>
      <c r="D109" s="133" t="s">
        <v>1239</v>
      </c>
      <c r="E109" s="133" t="s">
        <v>410</v>
      </c>
      <c r="F109" s="133" t="s">
        <v>2286</v>
      </c>
      <c r="G109" s="1064">
        <v>38353</v>
      </c>
      <c r="H109" s="133" t="s">
        <v>1761</v>
      </c>
      <c r="I109" s="133" t="s">
        <v>1761</v>
      </c>
      <c r="J109" s="133" t="s">
        <v>1940</v>
      </c>
      <c r="K109" s="133" t="s">
        <v>411</v>
      </c>
      <c r="L109" s="133" t="s">
        <v>412</v>
      </c>
      <c r="M109" s="133" t="s">
        <v>413</v>
      </c>
      <c r="N109" s="133"/>
      <c r="O109" s="133" t="s">
        <v>1055</v>
      </c>
      <c r="P109" s="133" t="s">
        <v>414</v>
      </c>
      <c r="Q109" s="133" t="s">
        <v>1946</v>
      </c>
      <c r="R109" s="133" t="s">
        <v>415</v>
      </c>
      <c r="S109" s="133">
        <v>1</v>
      </c>
      <c r="T109" s="133">
        <v>3010</v>
      </c>
      <c r="U109" s="133">
        <v>0</v>
      </c>
      <c r="V109" s="133">
        <v>0</v>
      </c>
      <c r="W109" s="133">
        <v>0</v>
      </c>
      <c r="X109" s="133">
        <v>0</v>
      </c>
      <c r="Y109" s="1065">
        <v>36892</v>
      </c>
      <c r="Z109" s="841"/>
      <c r="AF109" s="767">
        <f t="shared" si="2"/>
        <v>0</v>
      </c>
      <c r="AG109" s="133">
        <f>IF(voorblad!$F$32=NAW!B109,1,0)</f>
        <v>0</v>
      </c>
      <c r="AH109" s="841">
        <f t="shared" si="3"/>
        <v>0</v>
      </c>
    </row>
    <row r="110" spans="1:34" ht="12.75">
      <c r="A110">
        <v>8328</v>
      </c>
      <c r="B110" s="767">
        <v>2000</v>
      </c>
      <c r="C110" s="133">
        <v>120</v>
      </c>
      <c r="D110" s="133" t="s">
        <v>1975</v>
      </c>
      <c r="E110" s="133" t="s">
        <v>515</v>
      </c>
      <c r="F110" s="133" t="s">
        <v>2286</v>
      </c>
      <c r="G110" s="1064">
        <v>38353</v>
      </c>
      <c r="H110" s="133" t="s">
        <v>1761</v>
      </c>
      <c r="I110" s="133" t="s">
        <v>1761</v>
      </c>
      <c r="J110" s="133" t="s">
        <v>1940</v>
      </c>
      <c r="K110" s="133" t="s">
        <v>416</v>
      </c>
      <c r="L110" s="133" t="s">
        <v>1809</v>
      </c>
      <c r="M110" s="133" t="s">
        <v>1810</v>
      </c>
      <c r="N110" s="133"/>
      <c r="O110" s="133" t="s">
        <v>1076</v>
      </c>
      <c r="P110" s="133" t="s">
        <v>9</v>
      </c>
      <c r="Q110" s="133" t="s">
        <v>2286</v>
      </c>
      <c r="R110" s="133"/>
      <c r="S110" s="133">
        <v>1</v>
      </c>
      <c r="T110" s="133">
        <v>3260</v>
      </c>
      <c r="U110" s="133">
        <v>0</v>
      </c>
      <c r="V110" s="133">
        <v>0</v>
      </c>
      <c r="W110" s="133">
        <v>0</v>
      </c>
      <c r="X110" s="133">
        <v>9255</v>
      </c>
      <c r="Y110" s="1065">
        <v>36892</v>
      </c>
      <c r="Z110" s="841"/>
      <c r="AF110" s="767">
        <f t="shared" si="2"/>
        <v>0</v>
      </c>
      <c r="AG110" s="133">
        <f>IF(voorblad!$F$32=NAW!B110,1,0)</f>
        <v>0</v>
      </c>
      <c r="AH110" s="841">
        <f t="shared" si="3"/>
        <v>0</v>
      </c>
    </row>
    <row r="111" spans="1:34" ht="12.75">
      <c r="A111">
        <v>8329</v>
      </c>
      <c r="B111" s="767">
        <v>1537</v>
      </c>
      <c r="C111" s="133">
        <v>120</v>
      </c>
      <c r="D111" s="133" t="s">
        <v>1953</v>
      </c>
      <c r="E111" s="133" t="s">
        <v>1811</v>
      </c>
      <c r="F111" s="133" t="s">
        <v>2286</v>
      </c>
      <c r="G111" s="1064">
        <v>38353</v>
      </c>
      <c r="H111" s="133" t="s">
        <v>1761</v>
      </c>
      <c r="I111" s="133" t="s">
        <v>1761</v>
      </c>
      <c r="J111" s="133" t="s">
        <v>1940</v>
      </c>
      <c r="K111" s="133" t="s">
        <v>1780</v>
      </c>
      <c r="L111" s="133"/>
      <c r="M111" s="133"/>
      <c r="N111" s="133"/>
      <c r="O111" s="133" t="s">
        <v>1781</v>
      </c>
      <c r="P111" s="133" t="s">
        <v>1782</v>
      </c>
      <c r="Q111" s="133" t="s">
        <v>1549</v>
      </c>
      <c r="R111" s="133" t="s">
        <v>1783</v>
      </c>
      <c r="S111" s="133">
        <v>1</v>
      </c>
      <c r="T111" s="133">
        <v>3180</v>
      </c>
      <c r="U111" s="133">
        <v>0</v>
      </c>
      <c r="V111" s="133">
        <v>0</v>
      </c>
      <c r="W111" s="133">
        <v>0</v>
      </c>
      <c r="X111" s="133">
        <v>9001</v>
      </c>
      <c r="Y111" s="1065">
        <v>36892</v>
      </c>
      <c r="Z111" s="1066">
        <v>37622</v>
      </c>
      <c r="AF111" s="767">
        <f t="shared" si="2"/>
        <v>1</v>
      </c>
      <c r="AG111" s="133">
        <f>IF(voorblad!$F$32=NAW!B111,1,0)</f>
        <v>0</v>
      </c>
      <c r="AH111" s="841">
        <f t="shared" si="3"/>
        <v>0</v>
      </c>
    </row>
    <row r="112" spans="1:34" ht="12.75">
      <c r="A112">
        <v>8330</v>
      </c>
      <c r="B112" s="767">
        <v>1410</v>
      </c>
      <c r="C112" s="133">
        <v>120</v>
      </c>
      <c r="D112" s="133" t="s">
        <v>839</v>
      </c>
      <c r="E112" s="133" t="s">
        <v>1784</v>
      </c>
      <c r="F112" s="133" t="s">
        <v>2286</v>
      </c>
      <c r="G112" s="1064">
        <v>38353</v>
      </c>
      <c r="H112" s="133" t="s">
        <v>1761</v>
      </c>
      <c r="I112" s="133" t="s">
        <v>1761</v>
      </c>
      <c r="J112" s="133" t="s">
        <v>1940</v>
      </c>
      <c r="K112" s="133" t="s">
        <v>1785</v>
      </c>
      <c r="L112" s="133" t="s">
        <v>1786</v>
      </c>
      <c r="M112" s="133" t="s">
        <v>1787</v>
      </c>
      <c r="N112" s="133"/>
      <c r="O112" s="133" t="s">
        <v>1788</v>
      </c>
      <c r="P112" s="133" t="s">
        <v>1789</v>
      </c>
      <c r="Q112" s="133" t="s">
        <v>1549</v>
      </c>
      <c r="R112" s="133"/>
      <c r="S112" s="133">
        <v>1</v>
      </c>
      <c r="T112" s="133">
        <v>3170</v>
      </c>
      <c r="U112" s="133">
        <v>0</v>
      </c>
      <c r="V112" s="133">
        <v>0</v>
      </c>
      <c r="W112" s="133">
        <v>0</v>
      </c>
      <c r="X112" s="133">
        <v>0</v>
      </c>
      <c r="Y112" s="1065">
        <v>36892</v>
      </c>
      <c r="Z112" s="1066">
        <v>38353</v>
      </c>
      <c r="AF112" s="767">
        <f t="shared" si="2"/>
        <v>0</v>
      </c>
      <c r="AG112" s="133">
        <f>IF(voorblad!$F$32=NAW!B112,1,0)</f>
        <v>0</v>
      </c>
      <c r="AH112" s="841">
        <f t="shared" si="3"/>
        <v>0</v>
      </c>
    </row>
    <row r="113" spans="1:34" ht="12.75">
      <c r="A113">
        <v>8472</v>
      </c>
      <c r="B113" s="767">
        <v>5001</v>
      </c>
      <c r="C113" s="133">
        <v>120</v>
      </c>
      <c r="D113" s="133" t="s">
        <v>1975</v>
      </c>
      <c r="E113" s="133" t="s">
        <v>856</v>
      </c>
      <c r="F113" s="133" t="s">
        <v>2286</v>
      </c>
      <c r="G113" s="1064">
        <v>38353</v>
      </c>
      <c r="H113" s="133" t="s">
        <v>1761</v>
      </c>
      <c r="I113" s="133" t="s">
        <v>1761</v>
      </c>
      <c r="J113" s="133" t="s">
        <v>2287</v>
      </c>
      <c r="K113" s="133" t="s">
        <v>1790</v>
      </c>
      <c r="L113" s="133" t="s">
        <v>1791</v>
      </c>
      <c r="M113" s="133" t="s">
        <v>1792</v>
      </c>
      <c r="N113" s="133"/>
      <c r="O113" s="133" t="s">
        <v>382</v>
      </c>
      <c r="P113" s="133" t="s">
        <v>1793</v>
      </c>
      <c r="Q113" s="133" t="s">
        <v>366</v>
      </c>
      <c r="R113" s="133" t="s">
        <v>1794</v>
      </c>
      <c r="S113" s="133">
        <v>1</v>
      </c>
      <c r="T113" s="133">
        <v>3090</v>
      </c>
      <c r="U113" s="133">
        <v>0</v>
      </c>
      <c r="V113" s="133">
        <v>0</v>
      </c>
      <c r="W113" s="133">
        <v>0</v>
      </c>
      <c r="X113" s="133">
        <v>0</v>
      </c>
      <c r="Y113" s="1065">
        <v>36892</v>
      </c>
      <c r="Z113" s="841"/>
      <c r="AF113" s="767">
        <f t="shared" si="2"/>
        <v>1</v>
      </c>
      <c r="AG113" s="133">
        <f>IF(voorblad!$F$32=NAW!B113,1,0)</f>
        <v>0</v>
      </c>
      <c r="AH113" s="841">
        <f t="shared" si="3"/>
        <v>0</v>
      </c>
    </row>
    <row r="114" spans="1:34" ht="12.75">
      <c r="A114">
        <v>8491</v>
      </c>
      <c r="B114" s="767">
        <v>612</v>
      </c>
      <c r="C114" s="133">
        <v>120</v>
      </c>
      <c r="D114" s="133" t="s">
        <v>1239</v>
      </c>
      <c r="E114" s="133" t="s">
        <v>2321</v>
      </c>
      <c r="F114" s="133" t="s">
        <v>2286</v>
      </c>
      <c r="G114" s="1064">
        <v>38353</v>
      </c>
      <c r="H114" s="133" t="s">
        <v>1761</v>
      </c>
      <c r="I114" s="133" t="s">
        <v>1761</v>
      </c>
      <c r="J114" s="133" t="s">
        <v>1940</v>
      </c>
      <c r="K114" s="133" t="s">
        <v>87</v>
      </c>
      <c r="L114" s="133" t="s">
        <v>2148</v>
      </c>
      <c r="M114" s="133" t="s">
        <v>2149</v>
      </c>
      <c r="N114" s="133"/>
      <c r="O114" s="133" t="s">
        <v>2150</v>
      </c>
      <c r="P114" s="133" t="s">
        <v>2151</v>
      </c>
      <c r="Q114" s="133" t="s">
        <v>1971</v>
      </c>
      <c r="R114" s="133"/>
      <c r="S114" s="133">
        <v>1</v>
      </c>
      <c r="T114" s="133">
        <v>3070</v>
      </c>
      <c r="U114" s="133">
        <v>0</v>
      </c>
      <c r="V114" s="133">
        <v>0</v>
      </c>
      <c r="W114" s="133">
        <v>0</v>
      </c>
      <c r="X114" s="133">
        <v>9002</v>
      </c>
      <c r="Y114" s="1065">
        <v>37257</v>
      </c>
      <c r="Z114" s="841"/>
      <c r="AF114" s="767">
        <f t="shared" si="2"/>
        <v>0</v>
      </c>
      <c r="AG114" s="133">
        <f>IF(voorblad!$F$32=NAW!B114,1,0)</f>
        <v>0</v>
      </c>
      <c r="AH114" s="841">
        <f t="shared" si="3"/>
        <v>0</v>
      </c>
    </row>
    <row r="115" spans="1:34" ht="12.75">
      <c r="A115">
        <v>8522</v>
      </c>
      <c r="B115" s="767">
        <v>507</v>
      </c>
      <c r="C115" s="133">
        <v>120</v>
      </c>
      <c r="D115" s="133" t="s">
        <v>2066</v>
      </c>
      <c r="E115" s="133" t="s">
        <v>2320</v>
      </c>
      <c r="F115" s="133" t="s">
        <v>2286</v>
      </c>
      <c r="G115" s="1064">
        <v>38353</v>
      </c>
      <c r="H115" s="133" t="s">
        <v>1761</v>
      </c>
      <c r="I115" s="133" t="s">
        <v>1761</v>
      </c>
      <c r="J115" s="133" t="s">
        <v>1940</v>
      </c>
      <c r="K115" s="133" t="s">
        <v>1795</v>
      </c>
      <c r="L115" s="133" t="s">
        <v>1796</v>
      </c>
      <c r="M115" s="133" t="s">
        <v>1797</v>
      </c>
      <c r="N115" s="133"/>
      <c r="O115" s="133" t="s">
        <v>1985</v>
      </c>
      <c r="P115" s="133" t="s">
        <v>1798</v>
      </c>
      <c r="Q115" s="133" t="s">
        <v>1971</v>
      </c>
      <c r="R115" s="133"/>
      <c r="S115" s="133">
        <v>1</v>
      </c>
      <c r="T115" s="133">
        <v>3070</v>
      </c>
      <c r="U115" s="133">
        <v>0</v>
      </c>
      <c r="V115" s="133">
        <v>0</v>
      </c>
      <c r="W115" s="133">
        <v>0</v>
      </c>
      <c r="X115" s="133">
        <v>9033</v>
      </c>
      <c r="Y115" s="1065">
        <v>37257</v>
      </c>
      <c r="Z115" s="841"/>
      <c r="AF115" s="767">
        <f t="shared" si="2"/>
        <v>0</v>
      </c>
      <c r="AG115" s="133">
        <f>IF(voorblad!$F$32=NAW!B115,1,0)</f>
        <v>0</v>
      </c>
      <c r="AH115" s="841">
        <f t="shared" si="3"/>
        <v>0</v>
      </c>
    </row>
    <row r="116" spans="1:34" ht="12.75">
      <c r="A116">
        <v>8794</v>
      </c>
      <c r="B116" s="767">
        <v>5002</v>
      </c>
      <c r="C116" s="133">
        <v>120</v>
      </c>
      <c r="D116" s="133" t="s">
        <v>1239</v>
      </c>
      <c r="E116" s="133" t="s">
        <v>517</v>
      </c>
      <c r="F116" s="133" t="s">
        <v>2286</v>
      </c>
      <c r="G116" s="1064">
        <v>38353</v>
      </c>
      <c r="H116" s="133" t="s">
        <v>1761</v>
      </c>
      <c r="I116" s="133" t="s">
        <v>1761</v>
      </c>
      <c r="J116" s="133"/>
      <c r="K116" s="133" t="s">
        <v>1799</v>
      </c>
      <c r="L116" s="133"/>
      <c r="M116" s="133"/>
      <c r="N116" s="133"/>
      <c r="O116" s="133" t="s">
        <v>831</v>
      </c>
      <c r="P116" s="133"/>
      <c r="Q116" s="133" t="s">
        <v>833</v>
      </c>
      <c r="R116" s="133"/>
      <c r="S116" s="133">
        <v>1</v>
      </c>
      <c r="T116" s="133">
        <v>3030</v>
      </c>
      <c r="U116" s="133">
        <v>0</v>
      </c>
      <c r="V116" s="133">
        <v>0</v>
      </c>
      <c r="W116" s="133">
        <v>10</v>
      </c>
      <c r="X116" s="133">
        <v>100</v>
      </c>
      <c r="Y116" s="1065">
        <v>37257</v>
      </c>
      <c r="Z116" s="841"/>
      <c r="AF116" s="767">
        <f t="shared" si="2"/>
        <v>0</v>
      </c>
      <c r="AG116" s="133">
        <f>IF(voorblad!$F$32=NAW!B116,1,0)</f>
        <v>0</v>
      </c>
      <c r="AH116" s="841">
        <f t="shared" si="3"/>
        <v>0</v>
      </c>
    </row>
    <row r="117" spans="1:34" ht="12.75">
      <c r="A117">
        <v>8795</v>
      </c>
      <c r="B117" s="767">
        <v>5003</v>
      </c>
      <c r="C117" s="133">
        <v>120</v>
      </c>
      <c r="D117" s="133" t="s">
        <v>1239</v>
      </c>
      <c r="E117" s="133" t="s">
        <v>1800</v>
      </c>
      <c r="F117" s="133" t="s">
        <v>2286</v>
      </c>
      <c r="G117" s="1064">
        <v>38353</v>
      </c>
      <c r="H117" s="133" t="s">
        <v>1761</v>
      </c>
      <c r="I117" s="133" t="s">
        <v>1761</v>
      </c>
      <c r="J117" s="133"/>
      <c r="K117" s="133" t="s">
        <v>1801</v>
      </c>
      <c r="L117" s="133"/>
      <c r="M117" s="133"/>
      <c r="N117" s="133"/>
      <c r="O117" s="133" t="s">
        <v>1802</v>
      </c>
      <c r="P117" s="133"/>
      <c r="Q117" s="133" t="s">
        <v>833</v>
      </c>
      <c r="R117" s="133"/>
      <c r="S117" s="133">
        <v>1</v>
      </c>
      <c r="T117" s="133">
        <v>3030</v>
      </c>
      <c r="U117" s="133">
        <v>0</v>
      </c>
      <c r="V117" s="133">
        <v>0</v>
      </c>
      <c r="W117" s="133">
        <v>10</v>
      </c>
      <c r="X117" s="133">
        <v>102</v>
      </c>
      <c r="Y117" s="1065">
        <v>37257</v>
      </c>
      <c r="Z117" s="1066">
        <v>38353</v>
      </c>
      <c r="AF117" s="767">
        <f t="shared" si="2"/>
        <v>0</v>
      </c>
      <c r="AG117" s="133">
        <f>IF(voorblad!$F$32=NAW!B117,1,0)</f>
        <v>0</v>
      </c>
      <c r="AH117" s="841">
        <f t="shared" si="3"/>
        <v>0</v>
      </c>
    </row>
    <row r="118" spans="1:34" ht="12.75">
      <c r="A118">
        <v>8796</v>
      </c>
      <c r="B118" s="767">
        <v>5004</v>
      </c>
      <c r="C118" s="133">
        <v>120</v>
      </c>
      <c r="D118" s="133" t="s">
        <v>1953</v>
      </c>
      <c r="E118" s="133" t="s">
        <v>518</v>
      </c>
      <c r="F118" s="133" t="s">
        <v>2286</v>
      </c>
      <c r="G118" s="1064">
        <v>38353</v>
      </c>
      <c r="H118" s="133" t="s">
        <v>1761</v>
      </c>
      <c r="I118" s="133" t="s">
        <v>1761</v>
      </c>
      <c r="J118" s="133"/>
      <c r="K118" s="133" t="s">
        <v>1803</v>
      </c>
      <c r="L118" s="133"/>
      <c r="M118" s="133"/>
      <c r="N118" s="133"/>
      <c r="O118" s="133" t="s">
        <v>1804</v>
      </c>
      <c r="P118" s="133"/>
      <c r="Q118" s="133" t="s">
        <v>1957</v>
      </c>
      <c r="R118" s="133"/>
      <c r="S118" s="133">
        <v>1</v>
      </c>
      <c r="T118" s="133">
        <v>3020</v>
      </c>
      <c r="U118" s="133">
        <v>0</v>
      </c>
      <c r="V118" s="133">
        <v>0</v>
      </c>
      <c r="W118" s="133">
        <v>10</v>
      </c>
      <c r="X118" s="133">
        <v>201</v>
      </c>
      <c r="Y118" s="1065">
        <v>37257</v>
      </c>
      <c r="Z118" s="841"/>
      <c r="AF118" s="767">
        <f t="shared" si="2"/>
        <v>0</v>
      </c>
      <c r="AG118" s="133">
        <f>IF(voorblad!$F$32=NAW!B118,1,0)</f>
        <v>0</v>
      </c>
      <c r="AH118" s="841">
        <f t="shared" si="3"/>
        <v>0</v>
      </c>
    </row>
    <row r="119" spans="1:34" ht="12.75">
      <c r="A119">
        <v>8797</v>
      </c>
      <c r="B119" s="767">
        <v>5005</v>
      </c>
      <c r="C119" s="133">
        <v>120</v>
      </c>
      <c r="D119" s="133" t="s">
        <v>1239</v>
      </c>
      <c r="E119" s="133" t="s">
        <v>1805</v>
      </c>
      <c r="F119" s="133" t="s">
        <v>2286</v>
      </c>
      <c r="G119" s="1064">
        <v>38353</v>
      </c>
      <c r="H119" s="133" t="s">
        <v>1761</v>
      </c>
      <c r="I119" s="133" t="s">
        <v>1761</v>
      </c>
      <c r="J119" s="133"/>
      <c r="K119" s="133" t="s">
        <v>1806</v>
      </c>
      <c r="L119" s="133"/>
      <c r="M119" s="133"/>
      <c r="N119" s="133"/>
      <c r="O119" s="133" t="s">
        <v>1807</v>
      </c>
      <c r="P119" s="133"/>
      <c r="Q119" s="133" t="s">
        <v>833</v>
      </c>
      <c r="R119" s="133"/>
      <c r="S119" s="133">
        <v>1</v>
      </c>
      <c r="T119" s="133">
        <v>3030</v>
      </c>
      <c r="U119" s="133">
        <v>0</v>
      </c>
      <c r="V119" s="133">
        <v>0</v>
      </c>
      <c r="W119" s="133">
        <v>10</v>
      </c>
      <c r="X119" s="133">
        <v>105</v>
      </c>
      <c r="Y119" s="1065">
        <v>37257</v>
      </c>
      <c r="Z119" s="1066">
        <v>38353</v>
      </c>
      <c r="AF119" s="767">
        <f t="shared" si="2"/>
        <v>0</v>
      </c>
      <c r="AG119" s="133">
        <f>IF(voorblad!$F$32=NAW!B119,1,0)</f>
        <v>0</v>
      </c>
      <c r="AH119" s="841">
        <f t="shared" si="3"/>
        <v>0</v>
      </c>
    </row>
    <row r="120" spans="1:34" ht="12.75">
      <c r="A120">
        <v>8798</v>
      </c>
      <c r="B120" s="767">
        <v>5006</v>
      </c>
      <c r="C120" s="133">
        <v>120</v>
      </c>
      <c r="D120" s="133" t="s">
        <v>1953</v>
      </c>
      <c r="E120" s="133" t="s">
        <v>520</v>
      </c>
      <c r="F120" s="133" t="s">
        <v>2286</v>
      </c>
      <c r="G120" s="1064">
        <v>38353</v>
      </c>
      <c r="H120" s="133" t="s">
        <v>1761</v>
      </c>
      <c r="I120" s="133" t="s">
        <v>1761</v>
      </c>
      <c r="J120" s="133"/>
      <c r="K120" s="133" t="s">
        <v>1808</v>
      </c>
      <c r="L120" s="133"/>
      <c r="M120" s="133"/>
      <c r="N120" s="133"/>
      <c r="O120" s="133" t="s">
        <v>1085</v>
      </c>
      <c r="P120" s="133"/>
      <c r="Q120" s="133" t="s">
        <v>1957</v>
      </c>
      <c r="R120" s="133"/>
      <c r="S120" s="133">
        <v>1</v>
      </c>
      <c r="T120" s="133">
        <v>3020</v>
      </c>
      <c r="U120" s="133">
        <v>0</v>
      </c>
      <c r="V120" s="133">
        <v>0</v>
      </c>
      <c r="W120" s="133">
        <v>10</v>
      </c>
      <c r="X120" s="133">
        <v>203</v>
      </c>
      <c r="Y120" s="1065">
        <v>37257</v>
      </c>
      <c r="Z120" s="841"/>
      <c r="AF120" s="767">
        <f t="shared" si="2"/>
        <v>0</v>
      </c>
      <c r="AG120" s="133">
        <f>IF(voorblad!$F$32=NAW!B120,1,0)</f>
        <v>0</v>
      </c>
      <c r="AH120" s="841">
        <f t="shared" si="3"/>
        <v>0</v>
      </c>
    </row>
    <row r="121" spans="1:34" ht="12.75">
      <c r="A121">
        <v>8799</v>
      </c>
      <c r="B121" s="767">
        <v>5007</v>
      </c>
      <c r="C121" s="133">
        <v>120</v>
      </c>
      <c r="D121" s="133" t="s">
        <v>1953</v>
      </c>
      <c r="E121" s="133" t="s">
        <v>521</v>
      </c>
      <c r="F121" s="133" t="s">
        <v>2286</v>
      </c>
      <c r="G121" s="1064">
        <v>38353</v>
      </c>
      <c r="H121" s="133" t="s">
        <v>1761</v>
      </c>
      <c r="I121" s="133" t="s">
        <v>1761</v>
      </c>
      <c r="J121" s="133"/>
      <c r="K121" s="133" t="s">
        <v>389</v>
      </c>
      <c r="L121" s="133"/>
      <c r="M121" s="133"/>
      <c r="N121" s="133"/>
      <c r="O121" s="133" t="s">
        <v>390</v>
      </c>
      <c r="P121" s="133"/>
      <c r="Q121" s="133" t="s">
        <v>1957</v>
      </c>
      <c r="R121" s="133"/>
      <c r="S121" s="133">
        <v>1</v>
      </c>
      <c r="T121" s="133">
        <v>3020</v>
      </c>
      <c r="U121" s="133">
        <v>0</v>
      </c>
      <c r="V121" s="133">
        <v>0</v>
      </c>
      <c r="W121" s="133">
        <v>10</v>
      </c>
      <c r="X121" s="133">
        <v>205</v>
      </c>
      <c r="Y121" s="1065">
        <v>37257</v>
      </c>
      <c r="Z121" s="841"/>
      <c r="AF121" s="767">
        <f t="shared" si="2"/>
        <v>0</v>
      </c>
      <c r="AG121" s="133">
        <f>IF(voorblad!$F$32=NAW!B121,1,0)</f>
        <v>0</v>
      </c>
      <c r="AH121" s="841">
        <f t="shared" si="3"/>
        <v>0</v>
      </c>
    </row>
    <row r="122" spans="1:34" ht="12.75">
      <c r="A122">
        <v>8800</v>
      </c>
      <c r="B122" s="767">
        <v>5008</v>
      </c>
      <c r="C122" s="133">
        <v>120</v>
      </c>
      <c r="D122" s="133" t="s">
        <v>1953</v>
      </c>
      <c r="E122" s="133" t="s">
        <v>522</v>
      </c>
      <c r="F122" s="133" t="s">
        <v>2286</v>
      </c>
      <c r="G122" s="1064">
        <v>38353</v>
      </c>
      <c r="H122" s="133" t="s">
        <v>1761</v>
      </c>
      <c r="I122" s="133" t="s">
        <v>1761</v>
      </c>
      <c r="J122" s="133"/>
      <c r="K122" s="133" t="s">
        <v>391</v>
      </c>
      <c r="L122" s="133"/>
      <c r="M122" s="133"/>
      <c r="N122" s="133"/>
      <c r="O122" s="133" t="s">
        <v>1385</v>
      </c>
      <c r="P122" s="133"/>
      <c r="Q122" s="133" t="s">
        <v>1957</v>
      </c>
      <c r="R122" s="133"/>
      <c r="S122" s="133">
        <v>1</v>
      </c>
      <c r="T122" s="133">
        <v>3020</v>
      </c>
      <c r="U122" s="133">
        <v>0</v>
      </c>
      <c r="V122" s="133">
        <v>0</v>
      </c>
      <c r="W122" s="133">
        <v>10</v>
      </c>
      <c r="X122" s="133">
        <v>206</v>
      </c>
      <c r="Y122" s="1065">
        <v>37257</v>
      </c>
      <c r="Z122" s="841"/>
      <c r="AF122" s="767">
        <f t="shared" si="2"/>
        <v>0</v>
      </c>
      <c r="AG122" s="133">
        <f>IF(voorblad!$F$32=NAW!B122,1,0)</f>
        <v>0</v>
      </c>
      <c r="AH122" s="841">
        <f t="shared" si="3"/>
        <v>0</v>
      </c>
    </row>
    <row r="123" spans="1:34" ht="12.75">
      <c r="A123">
        <v>8801</v>
      </c>
      <c r="B123" s="767">
        <v>5009</v>
      </c>
      <c r="C123" s="133">
        <v>120</v>
      </c>
      <c r="D123" s="133" t="s">
        <v>1975</v>
      </c>
      <c r="E123" s="133" t="s">
        <v>392</v>
      </c>
      <c r="F123" s="133" t="s">
        <v>2286</v>
      </c>
      <c r="G123" s="1064">
        <v>38353</v>
      </c>
      <c r="H123" s="133" t="s">
        <v>1761</v>
      </c>
      <c r="I123" s="133" t="s">
        <v>1761</v>
      </c>
      <c r="J123" s="133"/>
      <c r="K123" s="133" t="s">
        <v>393</v>
      </c>
      <c r="L123" s="133"/>
      <c r="M123" s="133"/>
      <c r="N123" s="133"/>
      <c r="O123" s="133" t="s">
        <v>394</v>
      </c>
      <c r="P123" s="133"/>
      <c r="Q123" s="133" t="s">
        <v>1963</v>
      </c>
      <c r="R123" s="133"/>
      <c r="S123" s="133">
        <v>1</v>
      </c>
      <c r="T123" s="133">
        <v>3040</v>
      </c>
      <c r="U123" s="133">
        <v>0</v>
      </c>
      <c r="V123" s="133">
        <v>0</v>
      </c>
      <c r="W123" s="133">
        <v>10</v>
      </c>
      <c r="X123" s="133">
        <v>301</v>
      </c>
      <c r="Y123" s="1065">
        <v>37257</v>
      </c>
      <c r="Z123" s="841"/>
      <c r="AF123" s="767">
        <f t="shared" si="2"/>
        <v>0</v>
      </c>
      <c r="AG123" s="133">
        <f>IF(voorblad!$F$32=NAW!B123,1,0)</f>
        <v>0</v>
      </c>
      <c r="AH123" s="841">
        <f t="shared" si="3"/>
        <v>0</v>
      </c>
    </row>
    <row r="124" spans="1:34" ht="12.75">
      <c r="A124">
        <v>8802</v>
      </c>
      <c r="B124" s="767">
        <v>5010</v>
      </c>
      <c r="C124" s="133">
        <v>120</v>
      </c>
      <c r="D124" s="133" t="s">
        <v>1239</v>
      </c>
      <c r="E124" s="133" t="s">
        <v>523</v>
      </c>
      <c r="F124" s="133" t="s">
        <v>2286</v>
      </c>
      <c r="G124" s="1064">
        <v>38353</v>
      </c>
      <c r="H124" s="133" t="s">
        <v>1761</v>
      </c>
      <c r="I124" s="133" t="s">
        <v>1761</v>
      </c>
      <c r="J124" s="133"/>
      <c r="K124" s="133" t="s">
        <v>395</v>
      </c>
      <c r="L124" s="133"/>
      <c r="M124" s="133"/>
      <c r="N124" s="133"/>
      <c r="O124" s="133" t="s">
        <v>396</v>
      </c>
      <c r="P124" s="133"/>
      <c r="Q124" s="133" t="s">
        <v>833</v>
      </c>
      <c r="R124" s="133"/>
      <c r="S124" s="133">
        <v>1</v>
      </c>
      <c r="T124" s="133">
        <v>3030</v>
      </c>
      <c r="U124" s="133">
        <v>0</v>
      </c>
      <c r="V124" s="133">
        <v>0</v>
      </c>
      <c r="W124" s="133">
        <v>10</v>
      </c>
      <c r="X124" s="133">
        <v>303</v>
      </c>
      <c r="Y124" s="1065">
        <v>37257</v>
      </c>
      <c r="Z124" s="841"/>
      <c r="AF124" s="767">
        <f t="shared" si="2"/>
        <v>0</v>
      </c>
      <c r="AG124" s="133">
        <f>IF(voorblad!$F$32=NAW!B124,1,0)</f>
        <v>0</v>
      </c>
      <c r="AH124" s="841">
        <f t="shared" si="3"/>
        <v>0</v>
      </c>
    </row>
    <row r="125" spans="1:34" ht="12.75">
      <c r="A125">
        <v>8803</v>
      </c>
      <c r="B125" s="767">
        <v>5011</v>
      </c>
      <c r="C125" s="133">
        <v>120</v>
      </c>
      <c r="D125" s="133" t="s">
        <v>1975</v>
      </c>
      <c r="E125" s="133" t="s">
        <v>524</v>
      </c>
      <c r="F125" s="133" t="s">
        <v>2286</v>
      </c>
      <c r="G125" s="1064">
        <v>38353</v>
      </c>
      <c r="H125" s="133" t="s">
        <v>1761</v>
      </c>
      <c r="I125" s="133" t="s">
        <v>1761</v>
      </c>
      <c r="J125" s="133"/>
      <c r="K125" s="133" t="s">
        <v>246</v>
      </c>
      <c r="L125" s="133"/>
      <c r="M125" s="133"/>
      <c r="N125" s="133"/>
      <c r="O125" s="133" t="s">
        <v>1979</v>
      </c>
      <c r="P125" s="133"/>
      <c r="Q125" s="133" t="s">
        <v>1963</v>
      </c>
      <c r="R125" s="133"/>
      <c r="S125" s="133">
        <v>1</v>
      </c>
      <c r="T125" s="133">
        <v>3040</v>
      </c>
      <c r="U125" s="133">
        <v>0</v>
      </c>
      <c r="V125" s="133">
        <v>0</v>
      </c>
      <c r="W125" s="133">
        <v>10</v>
      </c>
      <c r="X125" s="133">
        <v>306</v>
      </c>
      <c r="Y125" s="1065">
        <v>37257</v>
      </c>
      <c r="Z125" s="841"/>
      <c r="AF125" s="767">
        <f t="shared" si="2"/>
        <v>0</v>
      </c>
      <c r="AG125" s="133">
        <f>IF(voorblad!$F$32=NAW!B125,1,0)</f>
        <v>0</v>
      </c>
      <c r="AH125" s="841">
        <f t="shared" si="3"/>
        <v>0</v>
      </c>
    </row>
    <row r="126" spans="1:34" ht="12.75">
      <c r="A126">
        <v>8804</v>
      </c>
      <c r="B126" s="767">
        <v>5012</v>
      </c>
      <c r="C126" s="133">
        <v>120</v>
      </c>
      <c r="D126" s="133" t="s">
        <v>1975</v>
      </c>
      <c r="E126" s="133" t="s">
        <v>525</v>
      </c>
      <c r="F126" s="133" t="s">
        <v>2286</v>
      </c>
      <c r="G126" s="1064">
        <v>38353</v>
      </c>
      <c r="H126" s="133" t="s">
        <v>1761</v>
      </c>
      <c r="I126" s="133" t="s">
        <v>1761</v>
      </c>
      <c r="J126" s="133"/>
      <c r="K126" s="133" t="s">
        <v>247</v>
      </c>
      <c r="L126" s="133"/>
      <c r="M126" s="133"/>
      <c r="N126" s="133"/>
      <c r="O126" s="133" t="s">
        <v>248</v>
      </c>
      <c r="P126" s="133"/>
      <c r="Q126" s="133" t="s">
        <v>249</v>
      </c>
      <c r="R126" s="133"/>
      <c r="S126" s="133">
        <v>1</v>
      </c>
      <c r="T126" s="133">
        <v>3100</v>
      </c>
      <c r="U126" s="133">
        <v>0</v>
      </c>
      <c r="V126" s="133">
        <v>0</v>
      </c>
      <c r="W126" s="133">
        <v>10</v>
      </c>
      <c r="X126" s="133">
        <v>310</v>
      </c>
      <c r="Y126" s="1065">
        <v>37257</v>
      </c>
      <c r="Z126" s="841"/>
      <c r="AF126" s="767">
        <f t="shared" si="2"/>
        <v>0</v>
      </c>
      <c r="AG126" s="133">
        <f>IF(voorblad!$F$32=NAW!B126,1,0)</f>
        <v>0</v>
      </c>
      <c r="AH126" s="841">
        <f t="shared" si="3"/>
        <v>0</v>
      </c>
    </row>
    <row r="127" spans="1:34" ht="12.75">
      <c r="A127">
        <v>8805</v>
      </c>
      <c r="B127" s="767">
        <v>5013</v>
      </c>
      <c r="C127" s="133">
        <v>120</v>
      </c>
      <c r="D127" s="133" t="s">
        <v>839</v>
      </c>
      <c r="E127" s="133" t="s">
        <v>250</v>
      </c>
      <c r="F127" s="133" t="s">
        <v>2286</v>
      </c>
      <c r="G127" s="1064">
        <v>38353</v>
      </c>
      <c r="H127" s="133" t="s">
        <v>1761</v>
      </c>
      <c r="I127" s="133" t="s">
        <v>1761</v>
      </c>
      <c r="J127" s="133"/>
      <c r="K127" s="133" t="s">
        <v>251</v>
      </c>
      <c r="L127" s="133"/>
      <c r="M127" s="133"/>
      <c r="N127" s="133"/>
      <c r="O127" s="133" t="s">
        <v>252</v>
      </c>
      <c r="P127" s="133"/>
      <c r="Q127" s="133" t="s">
        <v>1963</v>
      </c>
      <c r="R127" s="133"/>
      <c r="S127" s="133">
        <v>1</v>
      </c>
      <c r="T127" s="133">
        <v>3050</v>
      </c>
      <c r="U127" s="133">
        <v>0</v>
      </c>
      <c r="V127" s="133">
        <v>0</v>
      </c>
      <c r="W127" s="133">
        <v>10</v>
      </c>
      <c r="X127" s="133">
        <v>403</v>
      </c>
      <c r="Y127" s="1065">
        <v>37257</v>
      </c>
      <c r="Z127" s="841"/>
      <c r="AF127" s="767">
        <f t="shared" si="2"/>
        <v>0</v>
      </c>
      <c r="AG127" s="133">
        <f>IF(voorblad!$F$32=NAW!B127,1,0)</f>
        <v>0</v>
      </c>
      <c r="AH127" s="841">
        <f t="shared" si="3"/>
        <v>0</v>
      </c>
    </row>
    <row r="128" spans="1:34" ht="12.75">
      <c r="A128">
        <v>8806</v>
      </c>
      <c r="B128" s="767">
        <v>5014</v>
      </c>
      <c r="C128" s="133">
        <v>120</v>
      </c>
      <c r="D128" s="133" t="s">
        <v>839</v>
      </c>
      <c r="E128" s="133" t="s">
        <v>526</v>
      </c>
      <c r="F128" s="133" t="s">
        <v>2286</v>
      </c>
      <c r="G128" s="1064">
        <v>38353</v>
      </c>
      <c r="H128" s="133" t="s">
        <v>1761</v>
      </c>
      <c r="I128" s="133" t="s">
        <v>1761</v>
      </c>
      <c r="J128" s="133"/>
      <c r="K128" s="133" t="s">
        <v>253</v>
      </c>
      <c r="L128" s="133"/>
      <c r="M128" s="133"/>
      <c r="N128" s="133"/>
      <c r="O128" s="133" t="s">
        <v>254</v>
      </c>
      <c r="P128" s="133"/>
      <c r="Q128" s="133" t="s">
        <v>1963</v>
      </c>
      <c r="R128" s="133"/>
      <c r="S128" s="133">
        <v>1</v>
      </c>
      <c r="T128" s="133">
        <v>3050</v>
      </c>
      <c r="U128" s="133">
        <v>0</v>
      </c>
      <c r="V128" s="133">
        <v>0</v>
      </c>
      <c r="W128" s="133">
        <v>10</v>
      </c>
      <c r="X128" s="133">
        <v>400</v>
      </c>
      <c r="Y128" s="1065">
        <v>37257</v>
      </c>
      <c r="Z128" s="841"/>
      <c r="AF128" s="767">
        <f t="shared" si="2"/>
        <v>0</v>
      </c>
      <c r="AG128" s="133">
        <f>IF(voorblad!$F$32=NAW!B128,1,0)</f>
        <v>0</v>
      </c>
      <c r="AH128" s="841">
        <f t="shared" si="3"/>
        <v>0</v>
      </c>
    </row>
    <row r="129" spans="1:34" ht="12.75">
      <c r="A129">
        <v>8807</v>
      </c>
      <c r="B129" s="767">
        <v>5015</v>
      </c>
      <c r="C129" s="133">
        <v>120</v>
      </c>
      <c r="D129" s="133" t="s">
        <v>839</v>
      </c>
      <c r="E129" s="133" t="s">
        <v>527</v>
      </c>
      <c r="F129" s="133" t="s">
        <v>2286</v>
      </c>
      <c r="G129" s="1064">
        <v>38353</v>
      </c>
      <c r="H129" s="133" t="s">
        <v>1761</v>
      </c>
      <c r="I129" s="133" t="s">
        <v>1761</v>
      </c>
      <c r="J129" s="133"/>
      <c r="K129" s="133" t="s">
        <v>1091</v>
      </c>
      <c r="L129" s="133"/>
      <c r="M129" s="133"/>
      <c r="N129" s="133"/>
      <c r="O129" s="133" t="s">
        <v>1961</v>
      </c>
      <c r="P129" s="133"/>
      <c r="Q129" s="133" t="s">
        <v>1963</v>
      </c>
      <c r="R129" s="133"/>
      <c r="S129" s="133">
        <v>1</v>
      </c>
      <c r="T129" s="133">
        <v>3050</v>
      </c>
      <c r="U129" s="133">
        <v>0</v>
      </c>
      <c r="V129" s="133">
        <v>0</v>
      </c>
      <c r="W129" s="133">
        <v>10</v>
      </c>
      <c r="X129" s="133">
        <v>406</v>
      </c>
      <c r="Y129" s="1065">
        <v>37257</v>
      </c>
      <c r="Z129" s="841"/>
      <c r="AF129" s="767">
        <f t="shared" si="2"/>
        <v>0</v>
      </c>
      <c r="AG129" s="133">
        <f>IF(voorblad!$F$32=NAW!B129,1,0)</f>
        <v>0</v>
      </c>
      <c r="AH129" s="841">
        <f t="shared" si="3"/>
        <v>0</v>
      </c>
    </row>
    <row r="130" spans="1:34" ht="12.75">
      <c r="A130">
        <v>8809</v>
      </c>
      <c r="B130" s="767">
        <v>5016</v>
      </c>
      <c r="C130" s="133">
        <v>120</v>
      </c>
      <c r="D130" s="133" t="s">
        <v>1239</v>
      </c>
      <c r="E130" s="133" t="s">
        <v>528</v>
      </c>
      <c r="F130" s="133" t="s">
        <v>2286</v>
      </c>
      <c r="G130" s="1064">
        <v>38353</v>
      </c>
      <c r="H130" s="133" t="s">
        <v>1761</v>
      </c>
      <c r="I130" s="133" t="s">
        <v>1761</v>
      </c>
      <c r="J130" s="133"/>
      <c r="K130" s="133" t="s">
        <v>1092</v>
      </c>
      <c r="L130" s="133"/>
      <c r="M130" s="133"/>
      <c r="N130" s="133"/>
      <c r="O130" s="133" t="s">
        <v>1973</v>
      </c>
      <c r="P130" s="133"/>
      <c r="Q130" s="133" t="s">
        <v>1963</v>
      </c>
      <c r="R130" s="133"/>
      <c r="S130" s="133">
        <v>1</v>
      </c>
      <c r="T130" s="133">
        <v>3061</v>
      </c>
      <c r="U130" s="133">
        <v>0</v>
      </c>
      <c r="V130" s="133">
        <v>0</v>
      </c>
      <c r="W130" s="133">
        <v>10</v>
      </c>
      <c r="X130" s="133">
        <v>502</v>
      </c>
      <c r="Y130" s="1065">
        <v>37257</v>
      </c>
      <c r="Z130" s="841"/>
      <c r="AF130" s="767">
        <f t="shared" si="2"/>
        <v>0</v>
      </c>
      <c r="AG130" s="133">
        <f>IF(voorblad!$F$32=NAW!B130,1,0)</f>
        <v>0</v>
      </c>
      <c r="AH130" s="841">
        <f t="shared" si="3"/>
        <v>0</v>
      </c>
    </row>
    <row r="131" spans="1:34" ht="12.75">
      <c r="A131">
        <v>8810</v>
      </c>
      <c r="B131" s="767">
        <v>5017</v>
      </c>
      <c r="C131" s="133">
        <v>120</v>
      </c>
      <c r="D131" s="133" t="s">
        <v>2066</v>
      </c>
      <c r="E131" s="133" t="s">
        <v>529</v>
      </c>
      <c r="F131" s="133" t="s">
        <v>2286</v>
      </c>
      <c r="G131" s="1064">
        <v>38353</v>
      </c>
      <c r="H131" s="133" t="s">
        <v>1761</v>
      </c>
      <c r="I131" s="133" t="s">
        <v>1761</v>
      </c>
      <c r="J131" s="133"/>
      <c r="K131" s="133" t="s">
        <v>1093</v>
      </c>
      <c r="L131" s="133"/>
      <c r="M131" s="133"/>
      <c r="N131" s="133"/>
      <c r="O131" s="133" t="s">
        <v>1094</v>
      </c>
      <c r="P131" s="133"/>
      <c r="Q131" s="133" t="s">
        <v>1971</v>
      </c>
      <c r="R131" s="133"/>
      <c r="S131" s="133">
        <v>1</v>
      </c>
      <c r="T131" s="133">
        <v>3060</v>
      </c>
      <c r="U131" s="133">
        <v>0</v>
      </c>
      <c r="V131" s="133">
        <v>0</v>
      </c>
      <c r="W131" s="133">
        <v>10</v>
      </c>
      <c r="X131" s="133">
        <v>505</v>
      </c>
      <c r="Y131" s="1065">
        <v>37257</v>
      </c>
      <c r="Z131" s="841"/>
      <c r="AF131" s="767">
        <f aca="true" t="shared" si="4" ref="AF131:AF194">IF(OR(T131=$AF$241,T131=$AF$242,T131=$AF$243,T131=$AF$244),1,0)</f>
        <v>0</v>
      </c>
      <c r="AG131" s="133">
        <f>IF(voorblad!$F$32=NAW!B131,1,0)</f>
        <v>0</v>
      </c>
      <c r="AH131" s="841">
        <f aca="true" t="shared" si="5" ref="AH131:AH194">IF(AF131+AG131=2,1,0)</f>
        <v>0</v>
      </c>
    </row>
    <row r="132" spans="1:34" ht="12.75">
      <c r="A132">
        <v>8811</v>
      </c>
      <c r="B132" s="767">
        <v>5018</v>
      </c>
      <c r="C132" s="133">
        <v>120</v>
      </c>
      <c r="D132" s="133" t="s">
        <v>2066</v>
      </c>
      <c r="E132" s="133" t="s">
        <v>530</v>
      </c>
      <c r="F132" s="133" t="s">
        <v>2286</v>
      </c>
      <c r="G132" s="1064">
        <v>38353</v>
      </c>
      <c r="H132" s="133" t="s">
        <v>1761</v>
      </c>
      <c r="I132" s="133" t="s">
        <v>1761</v>
      </c>
      <c r="J132" s="133"/>
      <c r="K132" s="133" t="s">
        <v>1095</v>
      </c>
      <c r="L132" s="133"/>
      <c r="M132" s="133"/>
      <c r="N132" s="133"/>
      <c r="O132" s="133" t="s">
        <v>1430</v>
      </c>
      <c r="P132" s="133"/>
      <c r="Q132" s="133" t="s">
        <v>1971</v>
      </c>
      <c r="R132" s="133"/>
      <c r="S132" s="133">
        <v>1</v>
      </c>
      <c r="T132" s="133">
        <v>3070</v>
      </c>
      <c r="U132" s="133">
        <v>0</v>
      </c>
      <c r="V132" s="133">
        <v>0</v>
      </c>
      <c r="W132" s="133">
        <v>10</v>
      </c>
      <c r="X132" s="133">
        <v>604</v>
      </c>
      <c r="Y132" s="1065">
        <v>37257</v>
      </c>
      <c r="Z132" s="841"/>
      <c r="AF132" s="767">
        <f t="shared" si="4"/>
        <v>0</v>
      </c>
      <c r="AG132" s="133">
        <f>IF(voorblad!$F$32=NAW!B132,1,0)</f>
        <v>0</v>
      </c>
      <c r="AH132" s="841">
        <f t="shared" si="5"/>
        <v>0</v>
      </c>
    </row>
    <row r="133" spans="1:34" ht="12.75">
      <c r="A133">
        <v>8812</v>
      </c>
      <c r="B133" s="767">
        <v>5019</v>
      </c>
      <c r="C133" s="133">
        <v>120</v>
      </c>
      <c r="D133" s="133" t="s">
        <v>1965</v>
      </c>
      <c r="E133" s="133" t="s">
        <v>531</v>
      </c>
      <c r="F133" s="133" t="s">
        <v>2286</v>
      </c>
      <c r="G133" s="1064">
        <v>38353</v>
      </c>
      <c r="H133" s="133" t="s">
        <v>1761</v>
      </c>
      <c r="I133" s="133" t="s">
        <v>1761</v>
      </c>
      <c r="J133" s="133"/>
      <c r="K133" s="133" t="s">
        <v>458</v>
      </c>
      <c r="L133" s="133"/>
      <c r="M133" s="133"/>
      <c r="N133" s="133"/>
      <c r="O133" s="133" t="s">
        <v>459</v>
      </c>
      <c r="P133" s="133"/>
      <c r="Q133" s="133" t="s">
        <v>1971</v>
      </c>
      <c r="R133" s="133"/>
      <c r="S133" s="133">
        <v>1</v>
      </c>
      <c r="T133" s="133">
        <v>3070</v>
      </c>
      <c r="U133" s="133">
        <v>0</v>
      </c>
      <c r="V133" s="133">
        <v>0</v>
      </c>
      <c r="W133" s="133">
        <v>10</v>
      </c>
      <c r="X133" s="133">
        <v>609</v>
      </c>
      <c r="Y133" s="1065">
        <v>37257</v>
      </c>
      <c r="Z133" s="841"/>
      <c r="AF133" s="767">
        <f t="shared" si="4"/>
        <v>0</v>
      </c>
      <c r="AG133" s="133">
        <f>IF(voorblad!$F$32=NAW!B133,1,0)</f>
        <v>0</v>
      </c>
      <c r="AH133" s="841">
        <f t="shared" si="5"/>
        <v>0</v>
      </c>
    </row>
    <row r="134" spans="1:34" ht="12.75">
      <c r="A134">
        <v>8813</v>
      </c>
      <c r="B134" s="767">
        <v>5020</v>
      </c>
      <c r="C134" s="133">
        <v>120</v>
      </c>
      <c r="D134" s="133" t="s">
        <v>1239</v>
      </c>
      <c r="E134" s="133" t="s">
        <v>532</v>
      </c>
      <c r="F134" s="133" t="s">
        <v>2286</v>
      </c>
      <c r="G134" s="1064">
        <v>38353</v>
      </c>
      <c r="H134" s="133" t="s">
        <v>1761</v>
      </c>
      <c r="I134" s="133" t="s">
        <v>1761</v>
      </c>
      <c r="J134" s="133"/>
      <c r="K134" s="133" t="s">
        <v>460</v>
      </c>
      <c r="L134" s="133"/>
      <c r="M134" s="133"/>
      <c r="N134" s="133"/>
      <c r="O134" s="133" t="s">
        <v>165</v>
      </c>
      <c r="P134" s="133"/>
      <c r="Q134" s="133" t="s">
        <v>1971</v>
      </c>
      <c r="R134" s="133"/>
      <c r="S134" s="133">
        <v>1</v>
      </c>
      <c r="T134" s="133">
        <v>3070</v>
      </c>
      <c r="U134" s="133">
        <v>0</v>
      </c>
      <c r="V134" s="133">
        <v>0</v>
      </c>
      <c r="W134" s="133">
        <v>10</v>
      </c>
      <c r="X134" s="133">
        <v>612</v>
      </c>
      <c r="Y134" s="1065">
        <v>37257</v>
      </c>
      <c r="Z134" s="841"/>
      <c r="AF134" s="767">
        <f t="shared" si="4"/>
        <v>0</v>
      </c>
      <c r="AG134" s="133">
        <f>IF(voorblad!$F$32=NAW!B134,1,0)</f>
        <v>0</v>
      </c>
      <c r="AH134" s="841">
        <f t="shared" si="5"/>
        <v>0</v>
      </c>
    </row>
    <row r="135" spans="1:34" ht="12.75">
      <c r="A135">
        <v>8814</v>
      </c>
      <c r="B135" s="767">
        <v>5021</v>
      </c>
      <c r="C135" s="133">
        <v>120</v>
      </c>
      <c r="D135" s="133" t="s">
        <v>1965</v>
      </c>
      <c r="E135" s="133" t="s">
        <v>533</v>
      </c>
      <c r="F135" s="133" t="s">
        <v>2286</v>
      </c>
      <c r="G135" s="1064">
        <v>38353</v>
      </c>
      <c r="H135" s="133" t="s">
        <v>1761</v>
      </c>
      <c r="I135" s="133" t="s">
        <v>1761</v>
      </c>
      <c r="J135" s="133"/>
      <c r="K135" s="133" t="s">
        <v>461</v>
      </c>
      <c r="L135" s="133"/>
      <c r="M135" s="133"/>
      <c r="N135" s="133"/>
      <c r="O135" s="133" t="s">
        <v>1775</v>
      </c>
      <c r="P135" s="133"/>
      <c r="Q135" s="133" t="s">
        <v>1971</v>
      </c>
      <c r="R135" s="133"/>
      <c r="S135" s="133">
        <v>1</v>
      </c>
      <c r="T135" s="133">
        <v>3070</v>
      </c>
      <c r="U135" s="133">
        <v>0</v>
      </c>
      <c r="V135" s="133">
        <v>0</v>
      </c>
      <c r="W135" s="133">
        <v>10</v>
      </c>
      <c r="X135" s="133">
        <v>614</v>
      </c>
      <c r="Y135" s="1065">
        <v>37257</v>
      </c>
      <c r="Z135" s="841"/>
      <c r="AF135" s="767">
        <f t="shared" si="4"/>
        <v>0</v>
      </c>
      <c r="AG135" s="133">
        <f>IF(voorblad!$F$32=NAW!B135,1,0)</f>
        <v>0</v>
      </c>
      <c r="AH135" s="841">
        <f t="shared" si="5"/>
        <v>0</v>
      </c>
    </row>
    <row r="136" spans="1:34" ht="12.75">
      <c r="A136">
        <v>8815</v>
      </c>
      <c r="B136" s="767">
        <v>5022</v>
      </c>
      <c r="C136" s="133">
        <v>120</v>
      </c>
      <c r="D136" s="133" t="s">
        <v>1965</v>
      </c>
      <c r="E136" s="133" t="s">
        <v>462</v>
      </c>
      <c r="F136" s="133" t="s">
        <v>2286</v>
      </c>
      <c r="G136" s="1064">
        <v>38353</v>
      </c>
      <c r="H136" s="133" t="s">
        <v>1761</v>
      </c>
      <c r="I136" s="133" t="s">
        <v>1761</v>
      </c>
      <c r="J136" s="133"/>
      <c r="K136" s="133" t="s">
        <v>463</v>
      </c>
      <c r="L136" s="133"/>
      <c r="M136" s="133"/>
      <c r="N136" s="133"/>
      <c r="O136" s="133" t="s">
        <v>464</v>
      </c>
      <c r="P136" s="133"/>
      <c r="Q136" s="133" t="s">
        <v>2286</v>
      </c>
      <c r="R136" s="133"/>
      <c r="S136" s="133">
        <v>1</v>
      </c>
      <c r="T136" s="133">
        <v>3280</v>
      </c>
      <c r="U136" s="133">
        <v>0</v>
      </c>
      <c r="V136" s="133">
        <v>0</v>
      </c>
      <c r="W136" s="133">
        <v>10</v>
      </c>
      <c r="X136" s="133">
        <v>700</v>
      </c>
      <c r="Y136" s="1065">
        <v>37257</v>
      </c>
      <c r="Z136" s="841"/>
      <c r="AF136" s="767">
        <f t="shared" si="4"/>
        <v>0</v>
      </c>
      <c r="AG136" s="133">
        <f>IF(voorblad!$F$32=NAW!B136,1,0)</f>
        <v>0</v>
      </c>
      <c r="AH136" s="841">
        <f t="shared" si="5"/>
        <v>0</v>
      </c>
    </row>
    <row r="137" spans="1:34" ht="12.75">
      <c r="A137">
        <v>8816</v>
      </c>
      <c r="B137" s="767">
        <v>5023</v>
      </c>
      <c r="C137" s="133">
        <v>120</v>
      </c>
      <c r="D137" s="133" t="s">
        <v>1965</v>
      </c>
      <c r="E137" s="133" t="s">
        <v>534</v>
      </c>
      <c r="F137" s="133" t="s">
        <v>2286</v>
      </c>
      <c r="G137" s="1064">
        <v>38353</v>
      </c>
      <c r="H137" s="133" t="s">
        <v>1761</v>
      </c>
      <c r="I137" s="133" t="s">
        <v>1761</v>
      </c>
      <c r="J137" s="133"/>
      <c r="K137" s="133" t="s">
        <v>465</v>
      </c>
      <c r="L137" s="133"/>
      <c r="M137" s="133"/>
      <c r="N137" s="133"/>
      <c r="O137" s="133" t="s">
        <v>788</v>
      </c>
      <c r="P137" s="133"/>
      <c r="Q137" s="133" t="s">
        <v>1971</v>
      </c>
      <c r="R137" s="133"/>
      <c r="S137" s="133">
        <v>1</v>
      </c>
      <c r="T137" s="133">
        <v>3080</v>
      </c>
      <c r="U137" s="133">
        <v>0</v>
      </c>
      <c r="V137" s="133">
        <v>0</v>
      </c>
      <c r="W137" s="133">
        <v>10</v>
      </c>
      <c r="X137" s="133">
        <v>701</v>
      </c>
      <c r="Y137" s="1065">
        <v>37257</v>
      </c>
      <c r="Z137" s="841"/>
      <c r="AF137" s="767">
        <f t="shared" si="4"/>
        <v>0</v>
      </c>
      <c r="AG137" s="133">
        <f>IF(voorblad!$F$32=NAW!B137,1,0)</f>
        <v>0</v>
      </c>
      <c r="AH137" s="841">
        <f t="shared" si="5"/>
        <v>0</v>
      </c>
    </row>
    <row r="138" spans="1:34" ht="12.75">
      <c r="A138">
        <v>8817</v>
      </c>
      <c r="B138" s="767">
        <v>5024</v>
      </c>
      <c r="C138" s="133">
        <v>120</v>
      </c>
      <c r="D138" s="133" t="s">
        <v>839</v>
      </c>
      <c r="E138" s="133" t="s">
        <v>535</v>
      </c>
      <c r="F138" s="133" t="s">
        <v>2286</v>
      </c>
      <c r="G138" s="1064">
        <v>38353</v>
      </c>
      <c r="H138" s="133" t="s">
        <v>1761</v>
      </c>
      <c r="I138" s="133" t="s">
        <v>1761</v>
      </c>
      <c r="J138" s="133"/>
      <c r="K138" s="133" t="s">
        <v>466</v>
      </c>
      <c r="L138" s="133"/>
      <c r="M138" s="133"/>
      <c r="N138" s="133"/>
      <c r="O138" s="133" t="s">
        <v>364</v>
      </c>
      <c r="P138" s="133"/>
      <c r="Q138" s="133" t="s">
        <v>366</v>
      </c>
      <c r="R138" s="133"/>
      <c r="S138" s="133">
        <v>1</v>
      </c>
      <c r="T138" s="133">
        <v>3090</v>
      </c>
      <c r="U138" s="133">
        <v>0</v>
      </c>
      <c r="V138" s="133">
        <v>0</v>
      </c>
      <c r="W138" s="133">
        <v>10</v>
      </c>
      <c r="X138" s="133">
        <v>807</v>
      </c>
      <c r="Y138" s="1065">
        <v>37257</v>
      </c>
      <c r="Z138" s="841"/>
      <c r="AF138" s="767">
        <f t="shared" si="4"/>
        <v>1</v>
      </c>
      <c r="AG138" s="133">
        <f>IF(voorblad!$F$32=NAW!B138,1,0)</f>
        <v>0</v>
      </c>
      <c r="AH138" s="841">
        <f t="shared" si="5"/>
        <v>0</v>
      </c>
    </row>
    <row r="139" spans="1:34" ht="12.75">
      <c r="A139">
        <v>8818</v>
      </c>
      <c r="B139" s="767">
        <v>5025</v>
      </c>
      <c r="C139" s="133">
        <v>120</v>
      </c>
      <c r="D139" s="133" t="s">
        <v>1965</v>
      </c>
      <c r="E139" s="133" t="s">
        <v>536</v>
      </c>
      <c r="F139" s="133" t="s">
        <v>2286</v>
      </c>
      <c r="G139" s="1064">
        <v>38353</v>
      </c>
      <c r="H139" s="133" t="s">
        <v>1761</v>
      </c>
      <c r="I139" s="133" t="s">
        <v>1761</v>
      </c>
      <c r="J139" s="133"/>
      <c r="K139" s="133" t="s">
        <v>467</v>
      </c>
      <c r="L139" s="133"/>
      <c r="M139" s="133"/>
      <c r="N139" s="133"/>
      <c r="O139" s="133" t="s">
        <v>468</v>
      </c>
      <c r="P139" s="133"/>
      <c r="Q139" s="133" t="s">
        <v>1971</v>
      </c>
      <c r="R139" s="133"/>
      <c r="S139" s="133">
        <v>1</v>
      </c>
      <c r="T139" s="133">
        <v>3080</v>
      </c>
      <c r="U139" s="133">
        <v>0</v>
      </c>
      <c r="V139" s="133">
        <v>0</v>
      </c>
      <c r="W139" s="133">
        <v>10</v>
      </c>
      <c r="X139" s="133">
        <v>900</v>
      </c>
      <c r="Y139" s="1065">
        <v>37257</v>
      </c>
      <c r="Z139" s="841"/>
      <c r="AF139" s="767">
        <f t="shared" si="4"/>
        <v>0</v>
      </c>
      <c r="AG139" s="133">
        <f>IF(voorblad!$F$32=NAW!B139,1,0)</f>
        <v>0</v>
      </c>
      <c r="AH139" s="841">
        <f t="shared" si="5"/>
        <v>0</v>
      </c>
    </row>
    <row r="140" spans="1:34" ht="12.75">
      <c r="A140">
        <v>8819</v>
      </c>
      <c r="B140" s="767">
        <v>5026</v>
      </c>
      <c r="C140" s="133">
        <v>120</v>
      </c>
      <c r="D140" s="133" t="s">
        <v>1975</v>
      </c>
      <c r="E140" s="133" t="s">
        <v>537</v>
      </c>
      <c r="F140" s="133" t="s">
        <v>2286</v>
      </c>
      <c r="G140" s="1064">
        <v>38353</v>
      </c>
      <c r="H140" s="133" t="s">
        <v>1761</v>
      </c>
      <c r="I140" s="133" t="s">
        <v>1761</v>
      </c>
      <c r="J140" s="133"/>
      <c r="K140" s="133" t="s">
        <v>469</v>
      </c>
      <c r="L140" s="133"/>
      <c r="M140" s="133"/>
      <c r="N140" s="133"/>
      <c r="O140" s="133" t="s">
        <v>470</v>
      </c>
      <c r="P140" s="133"/>
      <c r="Q140" s="133" t="s">
        <v>366</v>
      </c>
      <c r="R140" s="133"/>
      <c r="S140" s="133">
        <v>1</v>
      </c>
      <c r="T140" s="133">
        <v>3090</v>
      </c>
      <c r="U140" s="133">
        <v>0</v>
      </c>
      <c r="V140" s="133">
        <v>0</v>
      </c>
      <c r="W140" s="133">
        <v>10</v>
      </c>
      <c r="X140" s="133">
        <v>906</v>
      </c>
      <c r="Y140" s="1065">
        <v>37257</v>
      </c>
      <c r="Z140" s="841"/>
      <c r="AF140" s="767">
        <f t="shared" si="4"/>
        <v>1</v>
      </c>
      <c r="AG140" s="133">
        <f>IF(voorblad!$F$32=NAW!B140,1,0)</f>
        <v>0</v>
      </c>
      <c r="AH140" s="841">
        <f t="shared" si="5"/>
        <v>0</v>
      </c>
    </row>
    <row r="141" spans="1:34" ht="12.75">
      <c r="A141">
        <v>8820</v>
      </c>
      <c r="B141" s="767">
        <v>5027</v>
      </c>
      <c r="C141" s="133">
        <v>120</v>
      </c>
      <c r="D141" s="133" t="s">
        <v>1975</v>
      </c>
      <c r="E141" s="133" t="s">
        <v>538</v>
      </c>
      <c r="F141" s="133" t="s">
        <v>2286</v>
      </c>
      <c r="G141" s="1064">
        <v>38353</v>
      </c>
      <c r="H141" s="133" t="s">
        <v>1761</v>
      </c>
      <c r="I141" s="133" t="s">
        <v>1761</v>
      </c>
      <c r="J141" s="133"/>
      <c r="K141" s="133" t="s">
        <v>471</v>
      </c>
      <c r="L141" s="133"/>
      <c r="M141" s="133"/>
      <c r="N141" s="133"/>
      <c r="O141" s="133" t="s">
        <v>382</v>
      </c>
      <c r="P141" s="133"/>
      <c r="Q141" s="133" t="s">
        <v>366</v>
      </c>
      <c r="R141" s="133"/>
      <c r="S141" s="133">
        <v>1</v>
      </c>
      <c r="T141" s="133">
        <v>3090</v>
      </c>
      <c r="U141" s="133">
        <v>0</v>
      </c>
      <c r="V141" s="133">
        <v>0</v>
      </c>
      <c r="W141" s="133">
        <v>10</v>
      </c>
      <c r="X141" s="133">
        <v>910</v>
      </c>
      <c r="Y141" s="1065">
        <v>37257</v>
      </c>
      <c r="Z141" s="841"/>
      <c r="AF141" s="767">
        <f t="shared" si="4"/>
        <v>1</v>
      </c>
      <c r="AG141" s="133">
        <f>IF(voorblad!$F$32=NAW!B141,1,0)</f>
        <v>0</v>
      </c>
      <c r="AH141" s="841">
        <f t="shared" si="5"/>
        <v>0</v>
      </c>
    </row>
    <row r="142" spans="1:34" ht="12.75">
      <c r="A142">
        <v>8821</v>
      </c>
      <c r="B142" s="767">
        <v>5028</v>
      </c>
      <c r="C142" s="133">
        <v>120</v>
      </c>
      <c r="D142" s="133" t="s">
        <v>1239</v>
      </c>
      <c r="E142" s="133" t="s">
        <v>539</v>
      </c>
      <c r="F142" s="133" t="s">
        <v>2286</v>
      </c>
      <c r="G142" s="1064">
        <v>38353</v>
      </c>
      <c r="H142" s="133" t="s">
        <v>1761</v>
      </c>
      <c r="I142" s="133" t="s">
        <v>1761</v>
      </c>
      <c r="J142" s="133"/>
      <c r="K142" s="133" t="s">
        <v>472</v>
      </c>
      <c r="L142" s="133"/>
      <c r="M142" s="133"/>
      <c r="N142" s="133"/>
      <c r="O142" s="133" t="s">
        <v>473</v>
      </c>
      <c r="P142" s="133"/>
      <c r="Q142" s="133" t="s">
        <v>1162</v>
      </c>
      <c r="R142" s="133"/>
      <c r="S142" s="133">
        <v>1</v>
      </c>
      <c r="T142" s="133">
        <v>3110</v>
      </c>
      <c r="U142" s="133">
        <v>0</v>
      </c>
      <c r="V142" s="133">
        <v>0</v>
      </c>
      <c r="W142" s="133">
        <v>10</v>
      </c>
      <c r="X142" s="133">
        <v>1001</v>
      </c>
      <c r="Y142" s="1065">
        <v>37257</v>
      </c>
      <c r="Z142" s="841"/>
      <c r="AF142" s="767">
        <f t="shared" si="4"/>
        <v>0</v>
      </c>
      <c r="AG142" s="133">
        <f>IF(voorblad!$F$32=NAW!B142,1,0)</f>
        <v>0</v>
      </c>
      <c r="AH142" s="841">
        <f t="shared" si="5"/>
        <v>0</v>
      </c>
    </row>
    <row r="143" spans="1:34" ht="12.75">
      <c r="A143">
        <v>8822</v>
      </c>
      <c r="B143" s="767">
        <v>5029</v>
      </c>
      <c r="C143" s="133">
        <v>120</v>
      </c>
      <c r="D143" s="133" t="s">
        <v>1239</v>
      </c>
      <c r="E143" s="133" t="s">
        <v>474</v>
      </c>
      <c r="F143" s="133" t="s">
        <v>2286</v>
      </c>
      <c r="G143" s="1064">
        <v>38353</v>
      </c>
      <c r="H143" s="133" t="s">
        <v>1761</v>
      </c>
      <c r="I143" s="133" t="s">
        <v>1761</v>
      </c>
      <c r="J143" s="133"/>
      <c r="K143" s="133" t="s">
        <v>475</v>
      </c>
      <c r="L143" s="133"/>
      <c r="M143" s="133"/>
      <c r="N143" s="133"/>
      <c r="O143" s="133" t="s">
        <v>476</v>
      </c>
      <c r="P143" s="133"/>
      <c r="Q143" s="133" t="s">
        <v>1162</v>
      </c>
      <c r="R143" s="133"/>
      <c r="S143" s="133">
        <v>1</v>
      </c>
      <c r="T143" s="133">
        <v>3110</v>
      </c>
      <c r="U143" s="133">
        <v>0</v>
      </c>
      <c r="V143" s="133">
        <v>0</v>
      </c>
      <c r="W143" s="133">
        <v>10</v>
      </c>
      <c r="X143" s="133">
        <v>1002</v>
      </c>
      <c r="Y143" s="1065">
        <v>37257</v>
      </c>
      <c r="Z143" s="1066">
        <v>38353</v>
      </c>
      <c r="AF143" s="767">
        <f t="shared" si="4"/>
        <v>0</v>
      </c>
      <c r="AG143" s="133">
        <f>IF(voorblad!$F$32=NAW!B143,1,0)</f>
        <v>0</v>
      </c>
      <c r="AH143" s="841">
        <f t="shared" si="5"/>
        <v>0</v>
      </c>
    </row>
    <row r="144" spans="1:34" ht="12.75">
      <c r="A144">
        <v>8823</v>
      </c>
      <c r="B144" s="767">
        <v>5030</v>
      </c>
      <c r="C144" s="133">
        <v>120</v>
      </c>
      <c r="D144" s="133" t="s">
        <v>1965</v>
      </c>
      <c r="E144" s="133" t="s">
        <v>540</v>
      </c>
      <c r="F144" s="133" t="s">
        <v>2286</v>
      </c>
      <c r="G144" s="1064">
        <v>38353</v>
      </c>
      <c r="H144" s="133" t="s">
        <v>1761</v>
      </c>
      <c r="I144" s="133" t="s">
        <v>1761</v>
      </c>
      <c r="J144" s="133"/>
      <c r="K144" s="133" t="s">
        <v>477</v>
      </c>
      <c r="L144" s="133"/>
      <c r="M144" s="133"/>
      <c r="N144" s="133"/>
      <c r="O144" s="133" t="s">
        <v>1123</v>
      </c>
      <c r="P144" s="133"/>
      <c r="Q144" s="133" t="s">
        <v>1162</v>
      </c>
      <c r="R144" s="133"/>
      <c r="S144" s="133">
        <v>1</v>
      </c>
      <c r="T144" s="133">
        <v>3120</v>
      </c>
      <c r="U144" s="133">
        <v>0</v>
      </c>
      <c r="V144" s="133">
        <v>0</v>
      </c>
      <c r="W144" s="133">
        <v>10</v>
      </c>
      <c r="X144" s="133">
        <v>1100</v>
      </c>
      <c r="Y144" s="1065">
        <v>37257</v>
      </c>
      <c r="Z144" s="841"/>
      <c r="AF144" s="767">
        <f t="shared" si="4"/>
        <v>0</v>
      </c>
      <c r="AG144" s="133">
        <f>IF(voorblad!$F$32=NAW!B144,1,0)</f>
        <v>0</v>
      </c>
      <c r="AH144" s="841">
        <f t="shared" si="5"/>
        <v>0</v>
      </c>
    </row>
    <row r="145" spans="1:34" ht="12.75">
      <c r="A145">
        <v>8824</v>
      </c>
      <c r="B145" s="767">
        <v>5031</v>
      </c>
      <c r="C145" s="133">
        <v>120</v>
      </c>
      <c r="D145" s="133" t="s">
        <v>1965</v>
      </c>
      <c r="E145" s="133" t="s">
        <v>541</v>
      </c>
      <c r="F145" s="133" t="s">
        <v>2286</v>
      </c>
      <c r="G145" s="1064">
        <v>38353</v>
      </c>
      <c r="H145" s="133" t="s">
        <v>1761</v>
      </c>
      <c r="I145" s="133" t="s">
        <v>1761</v>
      </c>
      <c r="J145" s="133"/>
      <c r="K145" s="133" t="s">
        <v>478</v>
      </c>
      <c r="L145" s="133"/>
      <c r="M145" s="133"/>
      <c r="N145" s="133"/>
      <c r="O145" s="133" t="s">
        <v>1246</v>
      </c>
      <c r="P145" s="133"/>
      <c r="Q145" s="133" t="s">
        <v>1162</v>
      </c>
      <c r="R145" s="133"/>
      <c r="S145" s="133">
        <v>1</v>
      </c>
      <c r="T145" s="133">
        <v>3120</v>
      </c>
      <c r="U145" s="133">
        <v>0</v>
      </c>
      <c r="V145" s="133">
        <v>0</v>
      </c>
      <c r="W145" s="133">
        <v>10</v>
      </c>
      <c r="X145" s="133">
        <v>1102</v>
      </c>
      <c r="Y145" s="1065">
        <v>37257</v>
      </c>
      <c r="Z145" s="841"/>
      <c r="AF145" s="767">
        <f t="shared" si="4"/>
        <v>0</v>
      </c>
      <c r="AG145" s="133">
        <f>IF(voorblad!$F$32=NAW!B145,1,0)</f>
        <v>0</v>
      </c>
      <c r="AH145" s="841">
        <f t="shared" si="5"/>
        <v>0</v>
      </c>
    </row>
    <row r="146" spans="1:34" ht="12.75">
      <c r="A146">
        <v>8825</v>
      </c>
      <c r="B146" s="767">
        <v>5032</v>
      </c>
      <c r="C146" s="133">
        <v>120</v>
      </c>
      <c r="D146" s="133" t="s">
        <v>1965</v>
      </c>
      <c r="E146" s="133" t="s">
        <v>542</v>
      </c>
      <c r="F146" s="133" t="s">
        <v>2286</v>
      </c>
      <c r="G146" s="1064">
        <v>38353</v>
      </c>
      <c r="H146" s="133" t="s">
        <v>1761</v>
      </c>
      <c r="I146" s="133" t="s">
        <v>1761</v>
      </c>
      <c r="J146" s="133"/>
      <c r="K146" s="133" t="s">
        <v>479</v>
      </c>
      <c r="L146" s="133"/>
      <c r="M146" s="133"/>
      <c r="N146" s="133"/>
      <c r="O146" s="133" t="s">
        <v>480</v>
      </c>
      <c r="P146" s="133"/>
      <c r="Q146" s="133" t="s">
        <v>1162</v>
      </c>
      <c r="R146" s="133"/>
      <c r="S146" s="133">
        <v>1</v>
      </c>
      <c r="T146" s="133">
        <v>3130</v>
      </c>
      <c r="U146" s="133">
        <v>0</v>
      </c>
      <c r="V146" s="133">
        <v>0</v>
      </c>
      <c r="W146" s="133">
        <v>10</v>
      </c>
      <c r="X146" s="133">
        <v>1210</v>
      </c>
      <c r="Y146" s="1065">
        <v>37257</v>
      </c>
      <c r="Z146" s="841"/>
      <c r="AF146" s="767">
        <f t="shared" si="4"/>
        <v>0</v>
      </c>
      <c r="AG146" s="133">
        <f>IF(voorblad!$F$32=NAW!B146,1,0)</f>
        <v>0</v>
      </c>
      <c r="AH146" s="841">
        <f t="shared" si="5"/>
        <v>0</v>
      </c>
    </row>
    <row r="147" spans="1:34" ht="12.75">
      <c r="A147">
        <v>8826</v>
      </c>
      <c r="B147" s="767">
        <v>5033</v>
      </c>
      <c r="C147" s="133">
        <v>120</v>
      </c>
      <c r="D147" s="133" t="s">
        <v>1965</v>
      </c>
      <c r="E147" s="133" t="s">
        <v>543</v>
      </c>
      <c r="F147" s="133" t="s">
        <v>2286</v>
      </c>
      <c r="G147" s="1064">
        <v>38353</v>
      </c>
      <c r="H147" s="133" t="s">
        <v>1761</v>
      </c>
      <c r="I147" s="133" t="s">
        <v>1761</v>
      </c>
      <c r="J147" s="133"/>
      <c r="K147" s="133" t="s">
        <v>481</v>
      </c>
      <c r="L147" s="133"/>
      <c r="M147" s="133"/>
      <c r="N147" s="133"/>
      <c r="O147" s="133" t="s">
        <v>482</v>
      </c>
      <c r="P147" s="133"/>
      <c r="Q147" s="133" t="s">
        <v>1162</v>
      </c>
      <c r="R147" s="133"/>
      <c r="S147" s="133">
        <v>1</v>
      </c>
      <c r="T147" s="133">
        <v>3140</v>
      </c>
      <c r="U147" s="133">
        <v>0</v>
      </c>
      <c r="V147" s="133">
        <v>0</v>
      </c>
      <c r="W147" s="133">
        <v>10</v>
      </c>
      <c r="X147" s="133">
        <v>1316</v>
      </c>
      <c r="Y147" s="1065">
        <v>37257</v>
      </c>
      <c r="Z147" s="841"/>
      <c r="AF147" s="767">
        <f t="shared" si="4"/>
        <v>0</v>
      </c>
      <c r="AG147" s="133">
        <f>IF(voorblad!$F$32=NAW!B147,1,0)</f>
        <v>0</v>
      </c>
      <c r="AH147" s="841">
        <f t="shared" si="5"/>
        <v>0</v>
      </c>
    </row>
    <row r="148" spans="1:34" ht="12.75">
      <c r="A148">
        <v>8827</v>
      </c>
      <c r="B148" s="767">
        <v>5034</v>
      </c>
      <c r="C148" s="133">
        <v>120</v>
      </c>
      <c r="D148" s="133" t="s">
        <v>1965</v>
      </c>
      <c r="E148" s="133" t="s">
        <v>544</v>
      </c>
      <c r="F148" s="133" t="s">
        <v>2286</v>
      </c>
      <c r="G148" s="1064">
        <v>38353</v>
      </c>
      <c r="H148" s="133" t="s">
        <v>1761</v>
      </c>
      <c r="I148" s="133" t="s">
        <v>1761</v>
      </c>
      <c r="J148" s="133"/>
      <c r="K148" s="133" t="s">
        <v>483</v>
      </c>
      <c r="L148" s="133"/>
      <c r="M148" s="133"/>
      <c r="N148" s="133"/>
      <c r="O148" s="133" t="s">
        <v>1249</v>
      </c>
      <c r="P148" s="133"/>
      <c r="Q148" s="133" t="s">
        <v>1162</v>
      </c>
      <c r="R148" s="133"/>
      <c r="S148" s="133">
        <v>1</v>
      </c>
      <c r="T148" s="133">
        <v>3140</v>
      </c>
      <c r="U148" s="133">
        <v>0</v>
      </c>
      <c r="V148" s="133">
        <v>0</v>
      </c>
      <c r="W148" s="133">
        <v>10</v>
      </c>
      <c r="X148" s="133">
        <v>1317</v>
      </c>
      <c r="Y148" s="1065">
        <v>37257</v>
      </c>
      <c r="Z148" s="841"/>
      <c r="AF148" s="767">
        <f t="shared" si="4"/>
        <v>0</v>
      </c>
      <c r="AG148" s="133">
        <f>IF(voorblad!$F$32=NAW!B148,1,0)</f>
        <v>0</v>
      </c>
      <c r="AH148" s="841">
        <f t="shared" si="5"/>
        <v>0</v>
      </c>
    </row>
    <row r="149" spans="1:34" ht="12.75">
      <c r="A149">
        <v>8828</v>
      </c>
      <c r="B149" s="767">
        <v>5035</v>
      </c>
      <c r="C149" s="133">
        <v>120</v>
      </c>
      <c r="D149" s="133" t="s">
        <v>839</v>
      </c>
      <c r="E149" s="133" t="s">
        <v>1252</v>
      </c>
      <c r="F149" s="133" t="s">
        <v>2286</v>
      </c>
      <c r="G149" s="1064">
        <v>38353</v>
      </c>
      <c r="H149" s="133" t="s">
        <v>1761</v>
      </c>
      <c r="I149" s="133" t="s">
        <v>1761</v>
      </c>
      <c r="J149" s="133"/>
      <c r="K149" s="133" t="s">
        <v>484</v>
      </c>
      <c r="L149" s="133"/>
      <c r="M149" s="133"/>
      <c r="N149" s="133"/>
      <c r="O149" s="133" t="s">
        <v>1178</v>
      </c>
      <c r="P149" s="133"/>
      <c r="Q149" s="133" t="s">
        <v>1162</v>
      </c>
      <c r="R149" s="133"/>
      <c r="S149" s="133">
        <v>1</v>
      </c>
      <c r="T149" s="133">
        <v>3150</v>
      </c>
      <c r="U149" s="133">
        <v>0</v>
      </c>
      <c r="V149" s="133">
        <v>0</v>
      </c>
      <c r="W149" s="133">
        <v>10</v>
      </c>
      <c r="X149" s="133">
        <v>1321</v>
      </c>
      <c r="Y149" s="1065">
        <v>37257</v>
      </c>
      <c r="Z149" s="841"/>
      <c r="AF149" s="767">
        <f t="shared" si="4"/>
        <v>1</v>
      </c>
      <c r="AG149" s="133">
        <f>IF(voorblad!$F$32=NAW!B149,1,0)</f>
        <v>0</v>
      </c>
      <c r="AH149" s="841">
        <f t="shared" si="5"/>
        <v>0</v>
      </c>
    </row>
    <row r="150" spans="1:34" ht="12.75">
      <c r="A150">
        <v>8829</v>
      </c>
      <c r="B150" s="767">
        <v>5036</v>
      </c>
      <c r="C150" s="133">
        <v>120</v>
      </c>
      <c r="D150" s="133" t="s">
        <v>1953</v>
      </c>
      <c r="E150" s="133" t="s">
        <v>485</v>
      </c>
      <c r="F150" s="133" t="s">
        <v>2286</v>
      </c>
      <c r="G150" s="1064">
        <v>38353</v>
      </c>
      <c r="H150" s="133" t="s">
        <v>1761</v>
      </c>
      <c r="I150" s="133" t="s">
        <v>1761</v>
      </c>
      <c r="J150" s="133"/>
      <c r="K150" s="133" t="s">
        <v>486</v>
      </c>
      <c r="L150" s="133"/>
      <c r="M150" s="133"/>
      <c r="N150" s="133"/>
      <c r="O150" s="133" t="s">
        <v>750</v>
      </c>
      <c r="P150" s="133"/>
      <c r="Q150" s="133" t="s">
        <v>1549</v>
      </c>
      <c r="R150" s="133"/>
      <c r="S150" s="133">
        <v>1</v>
      </c>
      <c r="T150" s="133">
        <v>3190</v>
      </c>
      <c r="U150" s="133">
        <v>0</v>
      </c>
      <c r="V150" s="133">
        <v>0</v>
      </c>
      <c r="W150" s="133">
        <v>10</v>
      </c>
      <c r="X150" s="133">
        <v>1511</v>
      </c>
      <c r="Y150" s="1065">
        <v>37257</v>
      </c>
      <c r="Z150" s="1066">
        <v>38353</v>
      </c>
      <c r="AF150" s="767">
        <f t="shared" si="4"/>
        <v>0</v>
      </c>
      <c r="AG150" s="133">
        <f>IF(voorblad!$F$32=NAW!B150,1,0)</f>
        <v>0</v>
      </c>
      <c r="AH150" s="841">
        <f t="shared" si="5"/>
        <v>0</v>
      </c>
    </row>
    <row r="151" spans="1:34" ht="12.75">
      <c r="A151">
        <v>8830</v>
      </c>
      <c r="B151" s="767">
        <v>5037</v>
      </c>
      <c r="C151" s="133">
        <v>120</v>
      </c>
      <c r="D151" s="133" t="s">
        <v>839</v>
      </c>
      <c r="E151" s="133" t="s">
        <v>1253</v>
      </c>
      <c r="F151" s="133" t="s">
        <v>2286</v>
      </c>
      <c r="G151" s="1064">
        <v>38353</v>
      </c>
      <c r="H151" s="133" t="s">
        <v>1761</v>
      </c>
      <c r="I151" s="133" t="s">
        <v>1761</v>
      </c>
      <c r="J151" s="133"/>
      <c r="K151" s="133" t="s">
        <v>487</v>
      </c>
      <c r="L151" s="133"/>
      <c r="M151" s="133"/>
      <c r="N151" s="133"/>
      <c r="O151" s="133" t="s">
        <v>428</v>
      </c>
      <c r="P151" s="133"/>
      <c r="Q151" s="133" t="s">
        <v>1549</v>
      </c>
      <c r="R151" s="133"/>
      <c r="S151" s="133">
        <v>1</v>
      </c>
      <c r="T151" s="133">
        <v>3200</v>
      </c>
      <c r="U151" s="133">
        <v>0</v>
      </c>
      <c r="V151" s="133">
        <v>0</v>
      </c>
      <c r="W151" s="133">
        <v>10</v>
      </c>
      <c r="X151" s="133">
        <v>1602</v>
      </c>
      <c r="Y151" s="1065">
        <v>37257</v>
      </c>
      <c r="Z151" s="841"/>
      <c r="AF151" s="767">
        <f t="shared" si="4"/>
        <v>0</v>
      </c>
      <c r="AG151" s="133">
        <f>IF(voorblad!$F$32=NAW!B151,1,0)</f>
        <v>0</v>
      </c>
      <c r="AH151" s="841">
        <f t="shared" si="5"/>
        <v>0</v>
      </c>
    </row>
    <row r="152" spans="1:34" ht="12.75">
      <c r="A152">
        <v>8831</v>
      </c>
      <c r="B152" s="767">
        <v>5038</v>
      </c>
      <c r="C152" s="133">
        <v>120</v>
      </c>
      <c r="D152" s="133" t="s">
        <v>1975</v>
      </c>
      <c r="E152" s="133" t="s">
        <v>1254</v>
      </c>
      <c r="F152" s="133" t="s">
        <v>2286</v>
      </c>
      <c r="G152" s="1064">
        <v>38353</v>
      </c>
      <c r="H152" s="133" t="s">
        <v>1761</v>
      </c>
      <c r="I152" s="133" t="s">
        <v>1761</v>
      </c>
      <c r="J152" s="133"/>
      <c r="K152" s="133" t="s">
        <v>488</v>
      </c>
      <c r="L152" s="133"/>
      <c r="M152" s="133"/>
      <c r="N152" s="133"/>
      <c r="O152" s="133" t="s">
        <v>778</v>
      </c>
      <c r="P152" s="133"/>
      <c r="Q152" s="133" t="s">
        <v>1549</v>
      </c>
      <c r="R152" s="133"/>
      <c r="S152" s="133">
        <v>1</v>
      </c>
      <c r="T152" s="133">
        <v>3240</v>
      </c>
      <c r="U152" s="133">
        <v>0</v>
      </c>
      <c r="V152" s="133">
        <v>0</v>
      </c>
      <c r="W152" s="133">
        <v>10</v>
      </c>
      <c r="X152" s="133">
        <v>1808</v>
      </c>
      <c r="Y152" s="1065">
        <v>37257</v>
      </c>
      <c r="Z152" s="841"/>
      <c r="AF152" s="767">
        <f t="shared" si="4"/>
        <v>0</v>
      </c>
      <c r="AG152" s="133">
        <f>IF(voorblad!$F$32=NAW!B152,1,0)</f>
        <v>0</v>
      </c>
      <c r="AH152" s="841">
        <f t="shared" si="5"/>
        <v>0</v>
      </c>
    </row>
    <row r="153" spans="1:34" ht="12.75">
      <c r="A153">
        <v>8832</v>
      </c>
      <c r="B153" s="767">
        <v>5039</v>
      </c>
      <c r="C153" s="133">
        <v>120</v>
      </c>
      <c r="D153" s="133" t="s">
        <v>1239</v>
      </c>
      <c r="E153" s="133" t="s">
        <v>1255</v>
      </c>
      <c r="F153" s="133" t="s">
        <v>2286</v>
      </c>
      <c r="G153" s="1064">
        <v>38353</v>
      </c>
      <c r="H153" s="133" t="s">
        <v>1761</v>
      </c>
      <c r="I153" s="133" t="s">
        <v>1761</v>
      </c>
      <c r="J153" s="133"/>
      <c r="K153" s="133" t="s">
        <v>489</v>
      </c>
      <c r="L153" s="133"/>
      <c r="M153" s="133"/>
      <c r="N153" s="133"/>
      <c r="O153" s="133" t="s">
        <v>490</v>
      </c>
      <c r="P153" s="133"/>
      <c r="Q153" s="133" t="s">
        <v>3</v>
      </c>
      <c r="R153" s="133"/>
      <c r="S153" s="133">
        <v>1</v>
      </c>
      <c r="T153" s="133">
        <v>3250</v>
      </c>
      <c r="U153" s="133">
        <v>0</v>
      </c>
      <c r="V153" s="133">
        <v>0</v>
      </c>
      <c r="W153" s="133">
        <v>10</v>
      </c>
      <c r="X153" s="133">
        <v>1902</v>
      </c>
      <c r="Y153" s="1065">
        <v>37257</v>
      </c>
      <c r="Z153" s="841"/>
      <c r="AF153" s="767">
        <f t="shared" si="4"/>
        <v>0</v>
      </c>
      <c r="AG153" s="133">
        <f>IF(voorblad!$F$32=NAW!B153,1,0)</f>
        <v>0</v>
      </c>
      <c r="AH153" s="841">
        <f t="shared" si="5"/>
        <v>0</v>
      </c>
    </row>
    <row r="154" spans="1:34" ht="12.75">
      <c r="A154">
        <v>8833</v>
      </c>
      <c r="B154" s="767">
        <v>5040</v>
      </c>
      <c r="C154" s="133">
        <v>120</v>
      </c>
      <c r="D154" s="133" t="s">
        <v>1239</v>
      </c>
      <c r="E154" s="133" t="s">
        <v>491</v>
      </c>
      <c r="F154" s="133" t="s">
        <v>2286</v>
      </c>
      <c r="G154" s="1064">
        <v>38353</v>
      </c>
      <c r="H154" s="133" t="s">
        <v>1761</v>
      </c>
      <c r="I154" s="133" t="s">
        <v>1761</v>
      </c>
      <c r="J154" s="133"/>
      <c r="K154" s="133" t="s">
        <v>492</v>
      </c>
      <c r="L154" s="133"/>
      <c r="M154" s="133"/>
      <c r="N154" s="133"/>
      <c r="O154" s="133" t="s">
        <v>493</v>
      </c>
      <c r="P154" s="133"/>
      <c r="Q154" s="133" t="s">
        <v>3</v>
      </c>
      <c r="R154" s="133"/>
      <c r="S154" s="133">
        <v>1</v>
      </c>
      <c r="T154" s="133">
        <v>3250</v>
      </c>
      <c r="U154" s="133">
        <v>0</v>
      </c>
      <c r="V154" s="133">
        <v>0</v>
      </c>
      <c r="W154" s="133">
        <v>10</v>
      </c>
      <c r="X154" s="133">
        <v>1906</v>
      </c>
      <c r="Y154" s="1065">
        <v>37257</v>
      </c>
      <c r="Z154" s="841"/>
      <c r="AF154" s="767">
        <f t="shared" si="4"/>
        <v>0</v>
      </c>
      <c r="AG154" s="133">
        <f>IF(voorblad!$F$32=NAW!B154,1,0)</f>
        <v>0</v>
      </c>
      <c r="AH154" s="841">
        <f t="shared" si="5"/>
        <v>0</v>
      </c>
    </row>
    <row r="155" spans="1:34" ht="12.75">
      <c r="A155">
        <v>8834</v>
      </c>
      <c r="B155" s="767">
        <v>5041</v>
      </c>
      <c r="C155" s="133">
        <v>120</v>
      </c>
      <c r="D155" s="133" t="s">
        <v>1953</v>
      </c>
      <c r="E155" s="133" t="s">
        <v>1259</v>
      </c>
      <c r="F155" s="133" t="s">
        <v>2286</v>
      </c>
      <c r="G155" s="1064">
        <v>38353</v>
      </c>
      <c r="H155" s="133" t="s">
        <v>1761</v>
      </c>
      <c r="I155" s="133" t="s">
        <v>1761</v>
      </c>
      <c r="J155" s="133"/>
      <c r="K155" s="133" t="s">
        <v>494</v>
      </c>
      <c r="L155" s="133"/>
      <c r="M155" s="133"/>
      <c r="N155" s="133"/>
      <c r="O155" s="133" t="s">
        <v>495</v>
      </c>
      <c r="P155" s="133"/>
      <c r="Q155" s="133" t="s">
        <v>2286</v>
      </c>
      <c r="R155" s="133"/>
      <c r="S155" s="133">
        <v>1</v>
      </c>
      <c r="T155" s="133">
        <v>3260</v>
      </c>
      <c r="U155" s="133">
        <v>0</v>
      </c>
      <c r="V155" s="133">
        <v>0</v>
      </c>
      <c r="W155" s="133">
        <v>10</v>
      </c>
      <c r="X155" s="133">
        <v>2000</v>
      </c>
      <c r="Y155" s="1065">
        <v>37257</v>
      </c>
      <c r="Z155" s="841"/>
      <c r="AF155" s="767">
        <f t="shared" si="4"/>
        <v>0</v>
      </c>
      <c r="AG155" s="133">
        <f>IF(voorblad!$F$32=NAW!B155,1,0)</f>
        <v>0</v>
      </c>
      <c r="AH155" s="841">
        <f t="shared" si="5"/>
        <v>0</v>
      </c>
    </row>
    <row r="156" spans="1:34" ht="12.75">
      <c r="A156">
        <v>8835</v>
      </c>
      <c r="B156" s="767">
        <v>5042</v>
      </c>
      <c r="C156" s="133">
        <v>120</v>
      </c>
      <c r="D156" s="133" t="s">
        <v>1975</v>
      </c>
      <c r="E156" s="133" t="s">
        <v>988</v>
      </c>
      <c r="F156" s="133" t="s">
        <v>2286</v>
      </c>
      <c r="G156" s="1064">
        <v>38353</v>
      </c>
      <c r="H156" s="133" t="s">
        <v>1761</v>
      </c>
      <c r="I156" s="133" t="s">
        <v>1761</v>
      </c>
      <c r="J156" s="133"/>
      <c r="K156" s="133" t="s">
        <v>496</v>
      </c>
      <c r="L156" s="133"/>
      <c r="M156" s="133"/>
      <c r="N156" s="133"/>
      <c r="O156" s="133" t="s">
        <v>1076</v>
      </c>
      <c r="P156" s="133"/>
      <c r="Q156" s="133" t="s">
        <v>2286</v>
      </c>
      <c r="R156" s="133"/>
      <c r="S156" s="133">
        <v>1</v>
      </c>
      <c r="T156" s="133">
        <v>3260</v>
      </c>
      <c r="U156" s="133">
        <v>0</v>
      </c>
      <c r="V156" s="133">
        <v>0</v>
      </c>
      <c r="W156" s="133">
        <v>10</v>
      </c>
      <c r="X156" s="133">
        <v>2009</v>
      </c>
      <c r="Y156" s="1065">
        <v>37257</v>
      </c>
      <c r="Z156" s="841"/>
      <c r="AF156" s="767">
        <f t="shared" si="4"/>
        <v>0</v>
      </c>
      <c r="AG156" s="133">
        <f>IF(voorblad!$F$32=NAW!B156,1,0)</f>
        <v>0</v>
      </c>
      <c r="AH156" s="841">
        <f t="shared" si="5"/>
        <v>0</v>
      </c>
    </row>
    <row r="157" spans="1:34" ht="12.75">
      <c r="A157">
        <v>8836</v>
      </c>
      <c r="B157" s="767">
        <v>5043</v>
      </c>
      <c r="C157" s="133">
        <v>120</v>
      </c>
      <c r="D157" s="133" t="s">
        <v>839</v>
      </c>
      <c r="E157" s="133" t="s">
        <v>989</v>
      </c>
      <c r="F157" s="133" t="s">
        <v>2286</v>
      </c>
      <c r="G157" s="1064">
        <v>38353</v>
      </c>
      <c r="H157" s="133" t="s">
        <v>1761</v>
      </c>
      <c r="I157" s="133" t="s">
        <v>1761</v>
      </c>
      <c r="J157" s="133"/>
      <c r="K157" s="133" t="s">
        <v>497</v>
      </c>
      <c r="L157" s="133"/>
      <c r="M157" s="133"/>
      <c r="N157" s="133"/>
      <c r="O157" s="133" t="s">
        <v>1346</v>
      </c>
      <c r="P157" s="133"/>
      <c r="Q157" s="133" t="s">
        <v>2286</v>
      </c>
      <c r="R157" s="133"/>
      <c r="S157" s="133">
        <v>1</v>
      </c>
      <c r="T157" s="133">
        <v>3270</v>
      </c>
      <c r="U157" s="133">
        <v>0</v>
      </c>
      <c r="V157" s="133">
        <v>0</v>
      </c>
      <c r="W157" s="133">
        <v>10</v>
      </c>
      <c r="X157" s="133">
        <v>2101</v>
      </c>
      <c r="Y157" s="1065">
        <v>37257</v>
      </c>
      <c r="Z157" s="841"/>
      <c r="AF157" s="767">
        <f t="shared" si="4"/>
        <v>0</v>
      </c>
      <c r="AG157" s="133">
        <f>IF(voorblad!$F$32=NAW!B157,1,0)</f>
        <v>0</v>
      </c>
      <c r="AH157" s="841">
        <f t="shared" si="5"/>
        <v>0</v>
      </c>
    </row>
    <row r="158" spans="1:34" ht="12.75">
      <c r="A158">
        <v>8837</v>
      </c>
      <c r="B158" s="767">
        <v>5044</v>
      </c>
      <c r="C158" s="133">
        <v>120</v>
      </c>
      <c r="D158" s="133" t="s">
        <v>839</v>
      </c>
      <c r="E158" s="133" t="s">
        <v>990</v>
      </c>
      <c r="F158" s="133" t="s">
        <v>2286</v>
      </c>
      <c r="G158" s="1064">
        <v>38353</v>
      </c>
      <c r="H158" s="133" t="s">
        <v>1761</v>
      </c>
      <c r="I158" s="133" t="s">
        <v>1761</v>
      </c>
      <c r="J158" s="133"/>
      <c r="K158" s="133" t="s">
        <v>498</v>
      </c>
      <c r="L158" s="133"/>
      <c r="M158" s="133"/>
      <c r="N158" s="133"/>
      <c r="O158" s="133" t="s">
        <v>1346</v>
      </c>
      <c r="P158" s="133"/>
      <c r="Q158" s="133" t="s">
        <v>2286</v>
      </c>
      <c r="R158" s="133"/>
      <c r="S158" s="133">
        <v>1</v>
      </c>
      <c r="T158" s="133">
        <v>3270</v>
      </c>
      <c r="U158" s="133">
        <v>0</v>
      </c>
      <c r="V158" s="133">
        <v>0</v>
      </c>
      <c r="W158" s="133">
        <v>10</v>
      </c>
      <c r="X158" s="133">
        <v>2103</v>
      </c>
      <c r="Y158" s="1065">
        <v>37257</v>
      </c>
      <c r="Z158" s="841"/>
      <c r="AF158" s="767">
        <f t="shared" si="4"/>
        <v>0</v>
      </c>
      <c r="AG158" s="133">
        <f>IF(voorblad!$F$32=NAW!B158,1,0)</f>
        <v>0</v>
      </c>
      <c r="AH158" s="841">
        <f t="shared" si="5"/>
        <v>0</v>
      </c>
    </row>
    <row r="159" spans="1:34" ht="12.75">
      <c r="A159">
        <v>8839</v>
      </c>
      <c r="B159" s="767">
        <v>5045</v>
      </c>
      <c r="C159" s="133">
        <v>120</v>
      </c>
      <c r="D159" s="133" t="s">
        <v>1239</v>
      </c>
      <c r="E159" s="133" t="s">
        <v>991</v>
      </c>
      <c r="F159" s="133" t="s">
        <v>2286</v>
      </c>
      <c r="G159" s="1064">
        <v>38353</v>
      </c>
      <c r="H159" s="133" t="s">
        <v>1761</v>
      </c>
      <c r="I159" s="133" t="s">
        <v>1761</v>
      </c>
      <c r="J159" s="133"/>
      <c r="K159" s="133" t="s">
        <v>499</v>
      </c>
      <c r="L159" s="133"/>
      <c r="M159" s="133"/>
      <c r="N159" s="133"/>
      <c r="O159" s="133" t="s">
        <v>500</v>
      </c>
      <c r="P159" s="133"/>
      <c r="Q159" s="133" t="s">
        <v>2286</v>
      </c>
      <c r="R159" s="133"/>
      <c r="S159" s="133">
        <v>1</v>
      </c>
      <c r="T159" s="133">
        <v>3280</v>
      </c>
      <c r="U159" s="133">
        <v>0</v>
      </c>
      <c r="V159" s="133">
        <v>0</v>
      </c>
      <c r="W159" s="133">
        <v>10</v>
      </c>
      <c r="X159" s="133">
        <v>2214</v>
      </c>
      <c r="Y159" s="1065">
        <v>37257</v>
      </c>
      <c r="Z159" s="841"/>
      <c r="AF159" s="767">
        <f t="shared" si="4"/>
        <v>0</v>
      </c>
      <c r="AG159" s="133">
        <f>IF(voorblad!$F$32=NAW!B159,1,0)</f>
        <v>0</v>
      </c>
      <c r="AH159" s="841">
        <f t="shared" si="5"/>
        <v>0</v>
      </c>
    </row>
    <row r="160" spans="1:34" ht="12.75">
      <c r="A160">
        <v>8840</v>
      </c>
      <c r="B160" s="767">
        <v>5046</v>
      </c>
      <c r="C160" s="133">
        <v>120</v>
      </c>
      <c r="D160" s="133" t="s">
        <v>2066</v>
      </c>
      <c r="E160" s="133" t="s">
        <v>992</v>
      </c>
      <c r="F160" s="133" t="s">
        <v>2286</v>
      </c>
      <c r="G160" s="1064">
        <v>38353</v>
      </c>
      <c r="H160" s="133" t="s">
        <v>1761</v>
      </c>
      <c r="I160" s="133" t="s">
        <v>1761</v>
      </c>
      <c r="J160" s="133"/>
      <c r="K160" s="133" t="s">
        <v>501</v>
      </c>
      <c r="L160" s="133"/>
      <c r="M160" s="133"/>
      <c r="N160" s="133"/>
      <c r="O160" s="133" t="s">
        <v>1351</v>
      </c>
      <c r="P160" s="133"/>
      <c r="Q160" s="133" t="s">
        <v>2286</v>
      </c>
      <c r="R160" s="133"/>
      <c r="S160" s="133">
        <v>1</v>
      </c>
      <c r="T160" s="133">
        <v>3290</v>
      </c>
      <c r="U160" s="133">
        <v>0</v>
      </c>
      <c r="V160" s="133">
        <v>0</v>
      </c>
      <c r="W160" s="133">
        <v>10</v>
      </c>
      <c r="X160" s="133">
        <v>2301</v>
      </c>
      <c r="Y160" s="1065">
        <v>37257</v>
      </c>
      <c r="Z160" s="841"/>
      <c r="AF160" s="767">
        <f t="shared" si="4"/>
        <v>0</v>
      </c>
      <c r="AG160" s="133">
        <f>IF(voorblad!$F$32=NAW!B160,1,0)</f>
        <v>0</v>
      </c>
      <c r="AH160" s="841">
        <f t="shared" si="5"/>
        <v>0</v>
      </c>
    </row>
    <row r="161" spans="1:34" ht="12.75">
      <c r="A161">
        <v>8841</v>
      </c>
      <c r="B161" s="767">
        <v>5047</v>
      </c>
      <c r="C161" s="133">
        <v>120</v>
      </c>
      <c r="D161" s="133" t="s">
        <v>2066</v>
      </c>
      <c r="E161" s="133" t="s">
        <v>993</v>
      </c>
      <c r="F161" s="133" t="s">
        <v>2286</v>
      </c>
      <c r="G161" s="1064">
        <v>38353</v>
      </c>
      <c r="H161" s="133" t="s">
        <v>1761</v>
      </c>
      <c r="I161" s="133" t="s">
        <v>1761</v>
      </c>
      <c r="J161" s="133"/>
      <c r="K161" s="133" t="s">
        <v>502</v>
      </c>
      <c r="L161" s="133"/>
      <c r="M161" s="133"/>
      <c r="N161" s="133"/>
      <c r="O161" s="133" t="s">
        <v>503</v>
      </c>
      <c r="P161" s="133"/>
      <c r="Q161" s="133" t="s">
        <v>2286</v>
      </c>
      <c r="R161" s="133"/>
      <c r="S161" s="133">
        <v>1</v>
      </c>
      <c r="T161" s="133">
        <v>3290</v>
      </c>
      <c r="U161" s="133">
        <v>0</v>
      </c>
      <c r="V161" s="133">
        <v>0</v>
      </c>
      <c r="W161" s="133">
        <v>10</v>
      </c>
      <c r="X161" s="133">
        <v>2304</v>
      </c>
      <c r="Y161" s="1065">
        <v>37257</v>
      </c>
      <c r="Z161" s="841"/>
      <c r="AF161" s="767">
        <f t="shared" si="4"/>
        <v>0</v>
      </c>
      <c r="AG161" s="133">
        <f>IF(voorblad!$F$32=NAW!B161,1,0)</f>
        <v>0</v>
      </c>
      <c r="AH161" s="841">
        <f t="shared" si="5"/>
        <v>0</v>
      </c>
    </row>
    <row r="162" spans="1:34" ht="12.75">
      <c r="A162">
        <v>8842</v>
      </c>
      <c r="B162" s="767">
        <v>5048</v>
      </c>
      <c r="C162" s="133">
        <v>120</v>
      </c>
      <c r="D162" s="133" t="s">
        <v>1965</v>
      </c>
      <c r="E162" s="133" t="s">
        <v>994</v>
      </c>
      <c r="F162" s="133" t="s">
        <v>2286</v>
      </c>
      <c r="G162" s="1064">
        <v>38353</v>
      </c>
      <c r="H162" s="133" t="s">
        <v>1761</v>
      </c>
      <c r="I162" s="133" t="s">
        <v>1761</v>
      </c>
      <c r="J162" s="133"/>
      <c r="K162" s="133" t="s">
        <v>504</v>
      </c>
      <c r="L162" s="133"/>
      <c r="M162" s="133"/>
      <c r="N162" s="133"/>
      <c r="O162" s="133" t="s">
        <v>505</v>
      </c>
      <c r="P162" s="133"/>
      <c r="Q162" s="133" t="s">
        <v>2286</v>
      </c>
      <c r="R162" s="133"/>
      <c r="S162" s="133">
        <v>1</v>
      </c>
      <c r="T162" s="133">
        <v>3290</v>
      </c>
      <c r="U162" s="133">
        <v>0</v>
      </c>
      <c r="V162" s="133">
        <v>0</v>
      </c>
      <c r="W162" s="133">
        <v>10</v>
      </c>
      <c r="X162" s="133">
        <v>2306</v>
      </c>
      <c r="Y162" s="1065">
        <v>37257</v>
      </c>
      <c r="Z162" s="841"/>
      <c r="AF162" s="767">
        <f t="shared" si="4"/>
        <v>0</v>
      </c>
      <c r="AG162" s="133">
        <f>IF(voorblad!$F$32=NAW!B162,1,0)</f>
        <v>0</v>
      </c>
      <c r="AH162" s="841">
        <f t="shared" si="5"/>
        <v>0</v>
      </c>
    </row>
    <row r="163" spans="1:34" ht="12.75">
      <c r="A163">
        <v>8843</v>
      </c>
      <c r="B163" s="767">
        <v>5049</v>
      </c>
      <c r="C163" s="133">
        <v>120</v>
      </c>
      <c r="D163" s="133" t="s">
        <v>2066</v>
      </c>
      <c r="E163" s="133" t="s">
        <v>506</v>
      </c>
      <c r="F163" s="133" t="s">
        <v>2286</v>
      </c>
      <c r="G163" s="1064">
        <v>38353</v>
      </c>
      <c r="H163" s="133" t="s">
        <v>1761</v>
      </c>
      <c r="I163" s="133" t="s">
        <v>1761</v>
      </c>
      <c r="J163" s="133"/>
      <c r="K163" s="133" t="s">
        <v>507</v>
      </c>
      <c r="L163" s="133"/>
      <c r="M163" s="133"/>
      <c r="N163" s="133"/>
      <c r="O163" s="133" t="s">
        <v>508</v>
      </c>
      <c r="P163" s="133"/>
      <c r="Q163" s="133" t="s">
        <v>2286</v>
      </c>
      <c r="R163" s="133"/>
      <c r="S163" s="133">
        <v>1</v>
      </c>
      <c r="T163" s="133">
        <v>3290</v>
      </c>
      <c r="U163" s="133">
        <v>0</v>
      </c>
      <c r="V163" s="133">
        <v>0</v>
      </c>
      <c r="W163" s="133">
        <v>10</v>
      </c>
      <c r="X163" s="133">
        <v>2307</v>
      </c>
      <c r="Y163" s="1065">
        <v>37257</v>
      </c>
      <c r="Z163" s="841"/>
      <c r="AF163" s="767">
        <f t="shared" si="4"/>
        <v>0</v>
      </c>
      <c r="AG163" s="133">
        <f>IF(voorblad!$F$32=NAW!B163,1,0)</f>
        <v>0</v>
      </c>
      <c r="AH163" s="841">
        <f t="shared" si="5"/>
        <v>0</v>
      </c>
    </row>
    <row r="164" spans="1:34" ht="12.75">
      <c r="A164">
        <v>8844</v>
      </c>
      <c r="B164" s="767">
        <v>5050</v>
      </c>
      <c r="C164" s="133">
        <v>120</v>
      </c>
      <c r="D164" s="133" t="s">
        <v>1953</v>
      </c>
      <c r="E164" s="133" t="s">
        <v>995</v>
      </c>
      <c r="F164" s="133" t="s">
        <v>2286</v>
      </c>
      <c r="G164" s="1064">
        <v>38353</v>
      </c>
      <c r="H164" s="133" t="s">
        <v>1761</v>
      </c>
      <c r="I164" s="133" t="s">
        <v>1761</v>
      </c>
      <c r="J164" s="133"/>
      <c r="K164" s="133" t="s">
        <v>509</v>
      </c>
      <c r="L164" s="133"/>
      <c r="M164" s="133"/>
      <c r="N164" s="133"/>
      <c r="O164" s="133" t="s">
        <v>447</v>
      </c>
      <c r="P164" s="133"/>
      <c r="Q164" s="133" t="s">
        <v>1359</v>
      </c>
      <c r="R164" s="133"/>
      <c r="S164" s="133">
        <v>1</v>
      </c>
      <c r="T164" s="133">
        <v>3300</v>
      </c>
      <c r="U164" s="133">
        <v>0</v>
      </c>
      <c r="V164" s="133">
        <v>0</v>
      </c>
      <c r="W164" s="133">
        <v>10</v>
      </c>
      <c r="X164" s="133">
        <v>2400</v>
      </c>
      <c r="Y164" s="1065">
        <v>37257</v>
      </c>
      <c r="Z164" s="841"/>
      <c r="AF164" s="767">
        <f t="shared" si="4"/>
        <v>0</v>
      </c>
      <c r="AG164" s="133">
        <f>IF(voorblad!$F$32=NAW!B164,1,0)</f>
        <v>0</v>
      </c>
      <c r="AH164" s="841">
        <f t="shared" si="5"/>
        <v>0</v>
      </c>
    </row>
    <row r="165" spans="1:34" ht="12.75">
      <c r="A165">
        <v>8845</v>
      </c>
      <c r="B165" s="767">
        <v>5051</v>
      </c>
      <c r="C165" s="133">
        <v>120</v>
      </c>
      <c r="D165" s="133" t="s">
        <v>1953</v>
      </c>
      <c r="E165" s="133" t="s">
        <v>996</v>
      </c>
      <c r="F165" s="133" t="s">
        <v>2286</v>
      </c>
      <c r="G165" s="1064">
        <v>38353</v>
      </c>
      <c r="H165" s="133" t="s">
        <v>1761</v>
      </c>
      <c r="I165" s="133" t="s">
        <v>1761</v>
      </c>
      <c r="J165" s="133"/>
      <c r="K165" s="133" t="s">
        <v>510</v>
      </c>
      <c r="L165" s="133"/>
      <c r="M165" s="133"/>
      <c r="N165" s="133"/>
      <c r="O165" s="133" t="s">
        <v>22</v>
      </c>
      <c r="P165" s="133"/>
      <c r="Q165" s="133" t="s">
        <v>1359</v>
      </c>
      <c r="R165" s="133"/>
      <c r="S165" s="133">
        <v>1</v>
      </c>
      <c r="T165" s="133">
        <v>3300</v>
      </c>
      <c r="U165" s="133">
        <v>0</v>
      </c>
      <c r="V165" s="133">
        <v>0</v>
      </c>
      <c r="W165" s="133">
        <v>10</v>
      </c>
      <c r="X165" s="133">
        <v>2403</v>
      </c>
      <c r="Y165" s="1065">
        <v>37257</v>
      </c>
      <c r="Z165" s="841"/>
      <c r="AF165" s="767">
        <f t="shared" si="4"/>
        <v>0</v>
      </c>
      <c r="AG165" s="133">
        <f>IF(voorblad!$F$32=NAW!B165,1,0)</f>
        <v>0</v>
      </c>
      <c r="AH165" s="841">
        <f t="shared" si="5"/>
        <v>0</v>
      </c>
    </row>
    <row r="166" spans="1:34" ht="12.75">
      <c r="A166">
        <v>8846</v>
      </c>
      <c r="B166" s="767">
        <v>5052</v>
      </c>
      <c r="C166" s="133">
        <v>120</v>
      </c>
      <c r="D166" s="133" t="s">
        <v>1953</v>
      </c>
      <c r="E166" s="133" t="s">
        <v>997</v>
      </c>
      <c r="F166" s="133" t="s">
        <v>2286</v>
      </c>
      <c r="G166" s="1064">
        <v>38353</v>
      </c>
      <c r="H166" s="133" t="s">
        <v>1761</v>
      </c>
      <c r="I166" s="133" t="s">
        <v>1761</v>
      </c>
      <c r="J166" s="133"/>
      <c r="K166" s="133" t="s">
        <v>1261</v>
      </c>
      <c r="L166" s="133"/>
      <c r="M166" s="133"/>
      <c r="N166" s="133"/>
      <c r="O166" s="133" t="s">
        <v>1597</v>
      </c>
      <c r="P166" s="133"/>
      <c r="Q166" s="133" t="s">
        <v>1359</v>
      </c>
      <c r="R166" s="133"/>
      <c r="S166" s="133">
        <v>1</v>
      </c>
      <c r="T166" s="133">
        <v>3300</v>
      </c>
      <c r="U166" s="133">
        <v>0</v>
      </c>
      <c r="V166" s="133">
        <v>0</v>
      </c>
      <c r="W166" s="133">
        <v>10</v>
      </c>
      <c r="X166" s="133">
        <v>2404</v>
      </c>
      <c r="Y166" s="1065">
        <v>37257</v>
      </c>
      <c r="Z166" s="841"/>
      <c r="AF166" s="767">
        <f t="shared" si="4"/>
        <v>0</v>
      </c>
      <c r="AG166" s="133">
        <f>IF(voorblad!$F$32=NAW!B166,1,0)</f>
        <v>0</v>
      </c>
      <c r="AH166" s="841">
        <f t="shared" si="5"/>
        <v>0</v>
      </c>
    </row>
    <row r="167" spans="1:34" ht="12.75">
      <c r="A167">
        <v>8847</v>
      </c>
      <c r="B167" s="767">
        <v>5053</v>
      </c>
      <c r="C167" s="133">
        <v>120</v>
      </c>
      <c r="D167" s="133" t="s">
        <v>2066</v>
      </c>
      <c r="E167" s="133" t="s">
        <v>998</v>
      </c>
      <c r="F167" s="133" t="s">
        <v>2286</v>
      </c>
      <c r="G167" s="1064">
        <v>38353</v>
      </c>
      <c r="H167" s="133" t="s">
        <v>1761</v>
      </c>
      <c r="I167" s="133" t="s">
        <v>1761</v>
      </c>
      <c r="J167" s="133"/>
      <c r="K167" s="133" t="s">
        <v>1262</v>
      </c>
      <c r="L167" s="133"/>
      <c r="M167" s="133"/>
      <c r="N167" s="133"/>
      <c r="O167" s="133" t="s">
        <v>398</v>
      </c>
      <c r="P167" s="133"/>
      <c r="Q167" s="133" t="s">
        <v>1359</v>
      </c>
      <c r="R167" s="133"/>
      <c r="S167" s="133">
        <v>1</v>
      </c>
      <c r="T167" s="133">
        <v>3310</v>
      </c>
      <c r="U167" s="133">
        <v>0</v>
      </c>
      <c r="V167" s="133">
        <v>0</v>
      </c>
      <c r="W167" s="133">
        <v>10</v>
      </c>
      <c r="X167" s="133">
        <v>2505</v>
      </c>
      <c r="Y167" s="1065">
        <v>37257</v>
      </c>
      <c r="Z167" s="841"/>
      <c r="AF167" s="767">
        <f t="shared" si="4"/>
        <v>0</v>
      </c>
      <c r="AG167" s="133">
        <f>IF(voorblad!$F$32=NAW!B167,1,0)</f>
        <v>0</v>
      </c>
      <c r="AH167" s="841">
        <f t="shared" si="5"/>
        <v>0</v>
      </c>
    </row>
    <row r="168" spans="1:34" ht="12.75">
      <c r="A168">
        <v>8848</v>
      </c>
      <c r="B168" s="767">
        <v>5054</v>
      </c>
      <c r="C168" s="133">
        <v>120</v>
      </c>
      <c r="D168" s="133" t="s">
        <v>2066</v>
      </c>
      <c r="E168" s="133" t="s">
        <v>999</v>
      </c>
      <c r="F168" s="133" t="s">
        <v>2286</v>
      </c>
      <c r="G168" s="1064">
        <v>38353</v>
      </c>
      <c r="H168" s="133" t="s">
        <v>1761</v>
      </c>
      <c r="I168" s="133" t="s">
        <v>1761</v>
      </c>
      <c r="J168" s="133"/>
      <c r="K168" s="133" t="s">
        <v>1263</v>
      </c>
      <c r="L168" s="133"/>
      <c r="M168" s="133"/>
      <c r="N168" s="133"/>
      <c r="O168" s="133" t="s">
        <v>1364</v>
      </c>
      <c r="P168" s="133"/>
      <c r="Q168" s="133" t="s">
        <v>1359</v>
      </c>
      <c r="R168" s="133"/>
      <c r="S168" s="133">
        <v>1</v>
      </c>
      <c r="T168" s="133">
        <v>3310</v>
      </c>
      <c r="U168" s="133">
        <v>0</v>
      </c>
      <c r="V168" s="133">
        <v>0</v>
      </c>
      <c r="W168" s="133">
        <v>10</v>
      </c>
      <c r="X168" s="133">
        <v>2507</v>
      </c>
      <c r="Y168" s="1065">
        <v>37257</v>
      </c>
      <c r="Z168" s="841"/>
      <c r="AF168" s="767">
        <f t="shared" si="4"/>
        <v>0</v>
      </c>
      <c r="AG168" s="133">
        <f>IF(voorblad!$F$32=NAW!B168,1,0)</f>
        <v>0</v>
      </c>
      <c r="AH168" s="841">
        <f t="shared" si="5"/>
        <v>0</v>
      </c>
    </row>
    <row r="169" spans="1:34" ht="12.75">
      <c r="A169">
        <v>9443</v>
      </c>
      <c r="B169" s="767">
        <v>1312</v>
      </c>
      <c r="C169" s="133">
        <v>120</v>
      </c>
      <c r="D169" s="133" t="s">
        <v>839</v>
      </c>
      <c r="E169" s="133" t="s">
        <v>1264</v>
      </c>
      <c r="F169" s="133" t="s">
        <v>2286</v>
      </c>
      <c r="G169" s="1064">
        <v>38353</v>
      </c>
      <c r="H169" s="133" t="s">
        <v>1761</v>
      </c>
      <c r="I169" s="133" t="s">
        <v>1761</v>
      </c>
      <c r="J169" s="133" t="s">
        <v>1940</v>
      </c>
      <c r="K169" s="133" t="s">
        <v>1265</v>
      </c>
      <c r="L169" s="133" t="s">
        <v>1266</v>
      </c>
      <c r="M169" s="133" t="s">
        <v>1267</v>
      </c>
      <c r="N169" s="133"/>
      <c r="O169" s="133" t="s">
        <v>1178</v>
      </c>
      <c r="P169" s="133" t="s">
        <v>1268</v>
      </c>
      <c r="Q169" s="133" t="s">
        <v>1162</v>
      </c>
      <c r="R169" s="133" t="s">
        <v>1269</v>
      </c>
      <c r="S169" s="133">
        <v>1</v>
      </c>
      <c r="T169" s="133">
        <v>3150</v>
      </c>
      <c r="U169" s="133">
        <v>0</v>
      </c>
      <c r="V169" s="133">
        <v>0</v>
      </c>
      <c r="W169" s="133">
        <v>0</v>
      </c>
      <c r="X169" s="133">
        <v>0</v>
      </c>
      <c r="Y169" s="1065">
        <v>37622</v>
      </c>
      <c r="Z169" s="841"/>
      <c r="AF169" s="767">
        <f t="shared" si="4"/>
        <v>1</v>
      </c>
      <c r="AG169" s="133">
        <f>IF(voorblad!$F$32=NAW!B169,1,0)</f>
        <v>0</v>
      </c>
      <c r="AH169" s="841">
        <f t="shared" si="5"/>
        <v>0</v>
      </c>
    </row>
    <row r="170" spans="1:34" ht="12.75">
      <c r="A170">
        <v>9967</v>
      </c>
      <c r="B170" s="767">
        <v>500</v>
      </c>
      <c r="C170" s="133">
        <v>120</v>
      </c>
      <c r="D170" s="133" t="s">
        <v>1239</v>
      </c>
      <c r="E170" s="133" t="s">
        <v>1107</v>
      </c>
      <c r="F170" s="133" t="s">
        <v>2286</v>
      </c>
      <c r="G170" s="1064">
        <v>38353</v>
      </c>
      <c r="H170" s="133" t="s">
        <v>1761</v>
      </c>
      <c r="I170" s="133" t="s">
        <v>1761</v>
      </c>
      <c r="J170" s="133" t="s">
        <v>2287</v>
      </c>
      <c r="K170" s="133" t="s">
        <v>1270</v>
      </c>
      <c r="L170" s="133" t="s">
        <v>1271</v>
      </c>
      <c r="M170" s="133" t="s">
        <v>1272</v>
      </c>
      <c r="N170" s="133"/>
      <c r="O170" s="133" t="s">
        <v>1273</v>
      </c>
      <c r="P170" s="133" t="s">
        <v>1274</v>
      </c>
      <c r="Q170" s="133" t="s">
        <v>1971</v>
      </c>
      <c r="R170" s="133"/>
      <c r="S170" s="133">
        <v>1</v>
      </c>
      <c r="T170" s="133">
        <v>3060</v>
      </c>
      <c r="U170" s="133">
        <v>0</v>
      </c>
      <c r="V170" s="133">
        <v>0</v>
      </c>
      <c r="W170" s="133">
        <v>0</v>
      </c>
      <c r="X170" s="133">
        <v>9176</v>
      </c>
      <c r="Y170" s="1065">
        <v>37622</v>
      </c>
      <c r="Z170" s="841"/>
      <c r="AF170" s="767">
        <f t="shared" si="4"/>
        <v>0</v>
      </c>
      <c r="AG170" s="133">
        <f>IF(voorblad!$F$32=NAW!B170,1,0)</f>
        <v>0</v>
      </c>
      <c r="AH170" s="841">
        <f t="shared" si="5"/>
        <v>0</v>
      </c>
    </row>
    <row r="171" spans="1:34" ht="12.75">
      <c r="A171">
        <v>10147</v>
      </c>
      <c r="B171" s="767">
        <v>1326</v>
      </c>
      <c r="C171" s="133">
        <v>120</v>
      </c>
      <c r="D171" s="133" t="s">
        <v>1965</v>
      </c>
      <c r="E171" s="133" t="s">
        <v>1275</v>
      </c>
      <c r="F171" s="133" t="s">
        <v>2286</v>
      </c>
      <c r="G171" s="1064">
        <v>38353</v>
      </c>
      <c r="H171" s="133" t="s">
        <v>1761</v>
      </c>
      <c r="I171" s="133" t="s">
        <v>1761</v>
      </c>
      <c r="J171" s="133" t="s">
        <v>1940</v>
      </c>
      <c r="K171" s="133" t="s">
        <v>1276</v>
      </c>
      <c r="L171" s="133" t="s">
        <v>1277</v>
      </c>
      <c r="M171" s="133" t="s">
        <v>1278</v>
      </c>
      <c r="N171" s="133"/>
      <c r="O171" s="133" t="s">
        <v>480</v>
      </c>
      <c r="P171" s="133"/>
      <c r="Q171" s="133" t="s">
        <v>1162</v>
      </c>
      <c r="R171" s="133"/>
      <c r="S171" s="133">
        <v>1</v>
      </c>
      <c r="T171" s="133">
        <v>3130</v>
      </c>
      <c r="U171" s="133">
        <v>0</v>
      </c>
      <c r="V171" s="133">
        <v>0</v>
      </c>
      <c r="W171" s="133">
        <v>0</v>
      </c>
      <c r="X171" s="133">
        <v>0</v>
      </c>
      <c r="Y171" s="1065">
        <v>37987</v>
      </c>
      <c r="Z171" s="841"/>
      <c r="AF171" s="767">
        <f t="shared" si="4"/>
        <v>0</v>
      </c>
      <c r="AG171" s="133">
        <f>IF(voorblad!$F$32=NAW!B171,1,0)</f>
        <v>0</v>
      </c>
      <c r="AH171" s="841">
        <f t="shared" si="5"/>
        <v>0</v>
      </c>
    </row>
    <row r="172" spans="1:34" ht="12.75">
      <c r="A172">
        <v>10397</v>
      </c>
      <c r="B172" s="767">
        <v>914</v>
      </c>
      <c r="C172" s="133">
        <v>120</v>
      </c>
      <c r="D172" s="133" t="s">
        <v>1965</v>
      </c>
      <c r="E172" s="133" t="s">
        <v>1108</v>
      </c>
      <c r="F172" s="133" t="s">
        <v>2286</v>
      </c>
      <c r="G172" s="1064">
        <v>38353</v>
      </c>
      <c r="H172" s="133" t="s">
        <v>1761</v>
      </c>
      <c r="I172" s="133" t="s">
        <v>1761</v>
      </c>
      <c r="J172" s="133" t="s">
        <v>1940</v>
      </c>
      <c r="K172" s="133" t="s">
        <v>1279</v>
      </c>
      <c r="L172" s="133" t="s">
        <v>1149</v>
      </c>
      <c r="M172" s="133" t="s">
        <v>1150</v>
      </c>
      <c r="N172" s="133"/>
      <c r="O172" s="133" t="s">
        <v>1151</v>
      </c>
      <c r="P172" s="133" t="s">
        <v>1152</v>
      </c>
      <c r="Q172" s="133" t="s">
        <v>366</v>
      </c>
      <c r="R172" s="133"/>
      <c r="S172" s="133">
        <v>1</v>
      </c>
      <c r="T172" s="133">
        <v>3090</v>
      </c>
      <c r="U172" s="133">
        <v>0</v>
      </c>
      <c r="V172" s="133">
        <v>0</v>
      </c>
      <c r="W172" s="133">
        <v>0</v>
      </c>
      <c r="X172" s="133">
        <v>0</v>
      </c>
      <c r="Y172" s="1065">
        <v>37987</v>
      </c>
      <c r="Z172" s="841"/>
      <c r="AF172" s="767">
        <f t="shared" si="4"/>
        <v>1</v>
      </c>
      <c r="AG172" s="133">
        <f>IF(voorblad!$F$32=NAW!B172,1,0)</f>
        <v>0</v>
      </c>
      <c r="AH172" s="841">
        <f t="shared" si="5"/>
        <v>0</v>
      </c>
    </row>
    <row r="173" spans="1:34" ht="12.75">
      <c r="A173">
        <v>10398</v>
      </c>
      <c r="B173" s="767">
        <v>1706</v>
      </c>
      <c r="C173" s="133">
        <v>120</v>
      </c>
      <c r="D173" s="133" t="s">
        <v>1953</v>
      </c>
      <c r="E173" s="133" t="s">
        <v>1826</v>
      </c>
      <c r="F173" s="133" t="s">
        <v>2286</v>
      </c>
      <c r="G173" s="1064">
        <v>38353</v>
      </c>
      <c r="H173" s="133" t="s">
        <v>1761</v>
      </c>
      <c r="I173" s="133" t="s">
        <v>1761</v>
      </c>
      <c r="J173" s="133" t="s">
        <v>1940</v>
      </c>
      <c r="K173" s="133" t="s">
        <v>1280</v>
      </c>
      <c r="L173" s="133" t="s">
        <v>1281</v>
      </c>
      <c r="M173" s="133" t="s">
        <v>1282</v>
      </c>
      <c r="N173" s="133"/>
      <c r="O173" s="133" t="s">
        <v>772</v>
      </c>
      <c r="P173" s="133" t="s">
        <v>773</v>
      </c>
      <c r="Q173" s="133" t="s">
        <v>1549</v>
      </c>
      <c r="R173" s="133" t="s">
        <v>774</v>
      </c>
      <c r="S173" s="133">
        <v>1</v>
      </c>
      <c r="T173" s="133">
        <v>3230</v>
      </c>
      <c r="U173" s="133">
        <v>0</v>
      </c>
      <c r="V173" s="133">
        <v>0</v>
      </c>
      <c r="W173" s="133">
        <v>0</v>
      </c>
      <c r="X173" s="133">
        <v>0</v>
      </c>
      <c r="Y173" s="1065">
        <v>37987</v>
      </c>
      <c r="Z173" s="841"/>
      <c r="AF173" s="767">
        <f t="shared" si="4"/>
        <v>0</v>
      </c>
      <c r="AG173" s="133">
        <f>IF(voorblad!$F$32=NAW!B173,1,0)</f>
        <v>0</v>
      </c>
      <c r="AH173" s="841">
        <f t="shared" si="5"/>
        <v>0</v>
      </c>
    </row>
    <row r="174" spans="1:34" ht="12.75">
      <c r="A174">
        <v>10400</v>
      </c>
      <c r="B174" s="767">
        <v>111</v>
      </c>
      <c r="C174" s="133">
        <v>120</v>
      </c>
      <c r="D174" s="133" t="s">
        <v>1239</v>
      </c>
      <c r="E174" s="133" t="s">
        <v>1820</v>
      </c>
      <c r="F174" s="133" t="s">
        <v>2286</v>
      </c>
      <c r="G174" s="1064">
        <v>38353</v>
      </c>
      <c r="H174" s="133" t="s">
        <v>1761</v>
      </c>
      <c r="I174" s="133" t="s">
        <v>1761</v>
      </c>
      <c r="J174" s="133" t="s">
        <v>1940</v>
      </c>
      <c r="K174" s="133" t="s">
        <v>1820</v>
      </c>
      <c r="L174" s="133" t="s">
        <v>1283</v>
      </c>
      <c r="M174" s="133" t="s">
        <v>1284</v>
      </c>
      <c r="N174" s="133"/>
      <c r="O174" s="133" t="s">
        <v>831</v>
      </c>
      <c r="P174" s="133" t="s">
        <v>1285</v>
      </c>
      <c r="Q174" s="133" t="s">
        <v>833</v>
      </c>
      <c r="R174" s="133" t="s">
        <v>1286</v>
      </c>
      <c r="S174" s="133">
        <v>1</v>
      </c>
      <c r="T174" s="133">
        <v>3030</v>
      </c>
      <c r="U174" s="133">
        <v>0</v>
      </c>
      <c r="V174" s="133">
        <v>0</v>
      </c>
      <c r="W174" s="133">
        <v>0</v>
      </c>
      <c r="X174" s="133">
        <v>0</v>
      </c>
      <c r="Y174" s="1065">
        <v>37987</v>
      </c>
      <c r="Z174" s="841"/>
      <c r="AF174" s="767">
        <f t="shared" si="4"/>
        <v>0</v>
      </c>
      <c r="AG174" s="133">
        <f>IF(voorblad!$F$32=NAW!B174,1,0)</f>
        <v>0</v>
      </c>
      <c r="AH174" s="841">
        <f t="shared" si="5"/>
        <v>0</v>
      </c>
    </row>
    <row r="175" spans="1:34" ht="12.75">
      <c r="A175">
        <v>10401</v>
      </c>
      <c r="B175" s="767">
        <v>301</v>
      </c>
      <c r="C175" s="133">
        <v>120</v>
      </c>
      <c r="D175" s="133" t="s">
        <v>1975</v>
      </c>
      <c r="E175" s="133" t="s">
        <v>1841</v>
      </c>
      <c r="F175" s="133" t="s">
        <v>2286</v>
      </c>
      <c r="G175" s="1064">
        <v>38353</v>
      </c>
      <c r="H175" s="133" t="s">
        <v>1761</v>
      </c>
      <c r="I175" s="133" t="s">
        <v>1761</v>
      </c>
      <c r="J175" s="133" t="s">
        <v>1940</v>
      </c>
      <c r="K175" s="133" t="s">
        <v>1841</v>
      </c>
      <c r="L175" s="133" t="s">
        <v>1842</v>
      </c>
      <c r="M175" s="133" t="s">
        <v>1843</v>
      </c>
      <c r="N175" s="133"/>
      <c r="O175" s="133" t="s">
        <v>1979</v>
      </c>
      <c r="P175" s="133" t="s">
        <v>1844</v>
      </c>
      <c r="Q175" s="133" t="s">
        <v>1963</v>
      </c>
      <c r="R175" s="133"/>
      <c r="S175" s="133">
        <v>1</v>
      </c>
      <c r="T175" s="133">
        <v>3040</v>
      </c>
      <c r="U175" s="133">
        <v>0</v>
      </c>
      <c r="V175" s="133">
        <v>0</v>
      </c>
      <c r="W175" s="133">
        <v>0</v>
      </c>
      <c r="X175" s="133">
        <v>0</v>
      </c>
      <c r="Y175" s="1065">
        <v>37987</v>
      </c>
      <c r="Z175" s="841"/>
      <c r="AF175" s="767">
        <f t="shared" si="4"/>
        <v>0</v>
      </c>
      <c r="AG175" s="133">
        <f>IF(voorblad!$F$32=NAW!B175,1,0)</f>
        <v>0</v>
      </c>
      <c r="AH175" s="841">
        <f t="shared" si="5"/>
        <v>0</v>
      </c>
    </row>
    <row r="176" spans="1:34" ht="12.75">
      <c r="A176">
        <v>10402</v>
      </c>
      <c r="B176" s="767">
        <v>402</v>
      </c>
      <c r="C176" s="133">
        <v>120</v>
      </c>
      <c r="D176" s="133" t="s">
        <v>839</v>
      </c>
      <c r="E176" s="133" t="s">
        <v>953</v>
      </c>
      <c r="F176" s="133" t="s">
        <v>2286</v>
      </c>
      <c r="G176" s="1064">
        <v>38353</v>
      </c>
      <c r="H176" s="133" t="s">
        <v>1761</v>
      </c>
      <c r="I176" s="133" t="s">
        <v>1761</v>
      </c>
      <c r="J176" s="133" t="s">
        <v>1940</v>
      </c>
      <c r="K176" s="133" t="s">
        <v>953</v>
      </c>
      <c r="L176" s="133" t="s">
        <v>1845</v>
      </c>
      <c r="M176" s="133" t="s">
        <v>1846</v>
      </c>
      <c r="N176" s="133"/>
      <c r="O176" s="133" t="s">
        <v>252</v>
      </c>
      <c r="P176" s="133" t="s">
        <v>1847</v>
      </c>
      <c r="Q176" s="133" t="s">
        <v>1963</v>
      </c>
      <c r="R176" s="133"/>
      <c r="S176" s="133">
        <v>1</v>
      </c>
      <c r="T176" s="133">
        <v>3050</v>
      </c>
      <c r="U176" s="133">
        <v>0</v>
      </c>
      <c r="V176" s="133">
        <v>0</v>
      </c>
      <c r="W176" s="133">
        <v>0</v>
      </c>
      <c r="X176" s="133">
        <v>0</v>
      </c>
      <c r="Y176" s="1065">
        <v>37987</v>
      </c>
      <c r="Z176" s="841"/>
      <c r="AF176" s="767">
        <f t="shared" si="4"/>
        <v>0</v>
      </c>
      <c r="AG176" s="133">
        <f>IF(voorblad!$F$32=NAW!B176,1,0)</f>
        <v>0</v>
      </c>
      <c r="AH176" s="841">
        <f t="shared" si="5"/>
        <v>0</v>
      </c>
    </row>
    <row r="177" spans="1:34" ht="12.75">
      <c r="A177">
        <v>10403</v>
      </c>
      <c r="B177" s="767">
        <v>506</v>
      </c>
      <c r="C177" s="133">
        <v>120</v>
      </c>
      <c r="D177" s="133" t="s">
        <v>1965</v>
      </c>
      <c r="E177" s="133" t="s">
        <v>954</v>
      </c>
      <c r="F177" s="133" t="s">
        <v>2286</v>
      </c>
      <c r="G177" s="1064">
        <v>38353</v>
      </c>
      <c r="H177" s="133" t="s">
        <v>1761</v>
      </c>
      <c r="I177" s="133" t="s">
        <v>1761</v>
      </c>
      <c r="J177" s="133" t="s">
        <v>1940</v>
      </c>
      <c r="K177" s="133" t="s">
        <v>954</v>
      </c>
      <c r="L177" s="133" t="s">
        <v>1848</v>
      </c>
      <c r="M177" s="133" t="s">
        <v>1849</v>
      </c>
      <c r="N177" s="133"/>
      <c r="O177" s="133" t="s">
        <v>1969</v>
      </c>
      <c r="P177" s="133" t="s">
        <v>1850</v>
      </c>
      <c r="Q177" s="133" t="s">
        <v>1971</v>
      </c>
      <c r="R177" s="133" t="s">
        <v>1851</v>
      </c>
      <c r="S177" s="133">
        <v>1</v>
      </c>
      <c r="T177" s="133">
        <v>3060</v>
      </c>
      <c r="U177" s="133">
        <v>0</v>
      </c>
      <c r="V177" s="133">
        <v>0</v>
      </c>
      <c r="W177" s="133">
        <v>0</v>
      </c>
      <c r="X177" s="133">
        <v>0</v>
      </c>
      <c r="Y177" s="1065">
        <v>37987</v>
      </c>
      <c r="Z177" s="841"/>
      <c r="AF177" s="767">
        <f t="shared" si="4"/>
        <v>0</v>
      </c>
      <c r="AG177" s="133">
        <f>IF(voorblad!$F$32=NAW!B177,1,0)</f>
        <v>0</v>
      </c>
      <c r="AH177" s="841">
        <f t="shared" si="5"/>
        <v>0</v>
      </c>
    </row>
    <row r="178" spans="1:34" ht="12.75">
      <c r="A178">
        <v>10404</v>
      </c>
      <c r="B178" s="767">
        <v>607</v>
      </c>
      <c r="C178" s="133">
        <v>120</v>
      </c>
      <c r="D178" s="133" t="s">
        <v>1239</v>
      </c>
      <c r="E178" s="133" t="s">
        <v>1852</v>
      </c>
      <c r="F178" s="133" t="s">
        <v>2286</v>
      </c>
      <c r="G178" s="1064">
        <v>38353</v>
      </c>
      <c r="H178" s="133" t="s">
        <v>1761</v>
      </c>
      <c r="I178" s="133" t="s">
        <v>1761</v>
      </c>
      <c r="J178" s="133" t="s">
        <v>1940</v>
      </c>
      <c r="K178" s="133" t="s">
        <v>1852</v>
      </c>
      <c r="L178" s="133" t="s">
        <v>1853</v>
      </c>
      <c r="M178" s="133" t="s">
        <v>1854</v>
      </c>
      <c r="N178" s="133"/>
      <c r="O178" s="133" t="s">
        <v>165</v>
      </c>
      <c r="P178" s="133" t="s">
        <v>1855</v>
      </c>
      <c r="Q178" s="133" t="s">
        <v>1971</v>
      </c>
      <c r="R178" s="133"/>
      <c r="S178" s="133">
        <v>1</v>
      </c>
      <c r="T178" s="133">
        <v>3070</v>
      </c>
      <c r="U178" s="133">
        <v>0</v>
      </c>
      <c r="V178" s="133">
        <v>0</v>
      </c>
      <c r="W178" s="133">
        <v>0</v>
      </c>
      <c r="X178" s="133">
        <v>0</v>
      </c>
      <c r="Y178" s="1065">
        <v>37987</v>
      </c>
      <c r="Z178" s="841"/>
      <c r="AF178" s="767">
        <f t="shared" si="4"/>
        <v>0</v>
      </c>
      <c r="AG178" s="133">
        <f>IF(voorblad!$F$32=NAW!B178,1,0)</f>
        <v>0</v>
      </c>
      <c r="AH178" s="841">
        <f t="shared" si="5"/>
        <v>0</v>
      </c>
    </row>
    <row r="179" spans="1:34" ht="12.75">
      <c r="A179">
        <v>10405</v>
      </c>
      <c r="B179" s="767">
        <v>704</v>
      </c>
      <c r="C179" s="133">
        <v>120</v>
      </c>
      <c r="D179" s="133" t="s">
        <v>1965</v>
      </c>
      <c r="E179" s="133" t="s">
        <v>1856</v>
      </c>
      <c r="F179" s="133" t="s">
        <v>2286</v>
      </c>
      <c r="G179" s="1064">
        <v>38353</v>
      </c>
      <c r="H179" s="133" t="s">
        <v>1761</v>
      </c>
      <c r="I179" s="133" t="s">
        <v>1761</v>
      </c>
      <c r="J179" s="133" t="s">
        <v>1940</v>
      </c>
      <c r="K179" s="133" t="s">
        <v>1856</v>
      </c>
      <c r="L179" s="133" t="s">
        <v>1857</v>
      </c>
      <c r="M179" s="133" t="s">
        <v>1858</v>
      </c>
      <c r="N179" s="133"/>
      <c r="O179" s="133" t="s">
        <v>788</v>
      </c>
      <c r="P179" s="133" t="s">
        <v>1859</v>
      </c>
      <c r="Q179" s="133" t="s">
        <v>1971</v>
      </c>
      <c r="R179" s="133" t="s">
        <v>1860</v>
      </c>
      <c r="S179" s="133">
        <v>1</v>
      </c>
      <c r="T179" s="133">
        <v>3080</v>
      </c>
      <c r="U179" s="133">
        <v>0</v>
      </c>
      <c r="V179" s="133">
        <v>0</v>
      </c>
      <c r="W179" s="133">
        <v>0</v>
      </c>
      <c r="X179" s="133">
        <v>0</v>
      </c>
      <c r="Y179" s="1065">
        <v>37987</v>
      </c>
      <c r="Z179" s="841"/>
      <c r="AF179" s="767">
        <f t="shared" si="4"/>
        <v>0</v>
      </c>
      <c r="AG179" s="133">
        <f>IF(voorblad!$F$32=NAW!B179,1,0)</f>
        <v>0</v>
      </c>
      <c r="AH179" s="841">
        <f t="shared" si="5"/>
        <v>0</v>
      </c>
    </row>
    <row r="180" spans="1:34" ht="12.75">
      <c r="A180">
        <v>10406</v>
      </c>
      <c r="B180" s="767">
        <v>804</v>
      </c>
      <c r="C180" s="133">
        <v>120</v>
      </c>
      <c r="D180" s="133" t="s">
        <v>839</v>
      </c>
      <c r="E180" s="133" t="s">
        <v>1861</v>
      </c>
      <c r="F180" s="133" t="s">
        <v>2286</v>
      </c>
      <c r="G180" s="1064">
        <v>38353</v>
      </c>
      <c r="H180" s="133" t="s">
        <v>1761</v>
      </c>
      <c r="I180" s="133" t="s">
        <v>1761</v>
      </c>
      <c r="J180" s="133" t="s">
        <v>1940</v>
      </c>
      <c r="K180" s="133" t="s">
        <v>1862</v>
      </c>
      <c r="L180" s="133" t="s">
        <v>1863</v>
      </c>
      <c r="M180" s="133" t="s">
        <v>1864</v>
      </c>
      <c r="N180" s="133"/>
      <c r="O180" s="133" t="s">
        <v>1145</v>
      </c>
      <c r="P180" s="133" t="s">
        <v>1865</v>
      </c>
      <c r="Q180" s="133" t="s">
        <v>366</v>
      </c>
      <c r="R180" s="133" t="s">
        <v>1866</v>
      </c>
      <c r="S180" s="133">
        <v>1</v>
      </c>
      <c r="T180" s="133">
        <v>3090</v>
      </c>
      <c r="U180" s="133">
        <v>0</v>
      </c>
      <c r="V180" s="133">
        <v>0</v>
      </c>
      <c r="W180" s="133">
        <v>0</v>
      </c>
      <c r="X180" s="133">
        <v>0</v>
      </c>
      <c r="Y180" s="1065">
        <v>37987</v>
      </c>
      <c r="Z180" s="1066">
        <v>38353</v>
      </c>
      <c r="AF180" s="767">
        <f t="shared" si="4"/>
        <v>1</v>
      </c>
      <c r="AG180" s="133">
        <f>IF(voorblad!$F$32=NAW!B180,1,0)</f>
        <v>0</v>
      </c>
      <c r="AH180" s="841">
        <f t="shared" si="5"/>
        <v>0</v>
      </c>
    </row>
    <row r="181" spans="1:34" ht="12.75">
      <c r="A181">
        <v>10407</v>
      </c>
      <c r="B181" s="767">
        <v>900</v>
      </c>
      <c r="C181" s="133">
        <v>120</v>
      </c>
      <c r="D181" s="133" t="s">
        <v>1975</v>
      </c>
      <c r="E181" s="133" t="s">
        <v>1867</v>
      </c>
      <c r="F181" s="133" t="s">
        <v>2286</v>
      </c>
      <c r="G181" s="1064">
        <v>38353</v>
      </c>
      <c r="H181" s="133" t="s">
        <v>1761</v>
      </c>
      <c r="I181" s="133" t="s">
        <v>1761</v>
      </c>
      <c r="J181" s="133" t="s">
        <v>1940</v>
      </c>
      <c r="K181" s="133" t="s">
        <v>1868</v>
      </c>
      <c r="L181" s="133" t="s">
        <v>1869</v>
      </c>
      <c r="M181" s="133" t="s">
        <v>1870</v>
      </c>
      <c r="N181" s="133"/>
      <c r="O181" s="133" t="s">
        <v>382</v>
      </c>
      <c r="P181" s="133" t="s">
        <v>1871</v>
      </c>
      <c r="Q181" s="133" t="s">
        <v>366</v>
      </c>
      <c r="R181" s="133"/>
      <c r="S181" s="133">
        <v>1</v>
      </c>
      <c r="T181" s="133">
        <v>3090</v>
      </c>
      <c r="U181" s="133">
        <v>0</v>
      </c>
      <c r="V181" s="133">
        <v>0</v>
      </c>
      <c r="W181" s="133">
        <v>0</v>
      </c>
      <c r="X181" s="133">
        <v>0</v>
      </c>
      <c r="Y181" s="1065">
        <v>37987</v>
      </c>
      <c r="Z181" s="841"/>
      <c r="AF181" s="767">
        <f t="shared" si="4"/>
        <v>1</v>
      </c>
      <c r="AG181" s="133">
        <f>IF(voorblad!$F$32=NAW!B181,1,0)</f>
        <v>0</v>
      </c>
      <c r="AH181" s="841">
        <f t="shared" si="5"/>
        <v>0</v>
      </c>
    </row>
    <row r="182" spans="1:34" ht="12.75">
      <c r="A182">
        <v>10408</v>
      </c>
      <c r="B182" s="767">
        <v>908</v>
      </c>
      <c r="C182" s="133">
        <v>120</v>
      </c>
      <c r="D182" s="133" t="s">
        <v>839</v>
      </c>
      <c r="E182" s="133" t="s">
        <v>1872</v>
      </c>
      <c r="F182" s="133" t="s">
        <v>2286</v>
      </c>
      <c r="G182" s="1064">
        <v>38353</v>
      </c>
      <c r="H182" s="133" t="s">
        <v>1761</v>
      </c>
      <c r="I182" s="133" t="s">
        <v>1761</v>
      </c>
      <c r="J182" s="133" t="s">
        <v>1940</v>
      </c>
      <c r="K182" s="133" t="s">
        <v>1873</v>
      </c>
      <c r="L182" s="133" t="s">
        <v>1863</v>
      </c>
      <c r="M182" s="133" t="s">
        <v>1864</v>
      </c>
      <c r="N182" s="133"/>
      <c r="O182" s="133" t="s">
        <v>1145</v>
      </c>
      <c r="P182" s="133" t="s">
        <v>1865</v>
      </c>
      <c r="Q182" s="133" t="s">
        <v>366</v>
      </c>
      <c r="R182" s="133" t="s">
        <v>1866</v>
      </c>
      <c r="S182" s="133">
        <v>1</v>
      </c>
      <c r="T182" s="133">
        <v>3090</v>
      </c>
      <c r="U182" s="133">
        <v>0</v>
      </c>
      <c r="V182" s="133">
        <v>0</v>
      </c>
      <c r="W182" s="133">
        <v>0</v>
      </c>
      <c r="X182" s="133">
        <v>0</v>
      </c>
      <c r="Y182" s="1065">
        <v>37987</v>
      </c>
      <c r="Z182" s="1066">
        <v>38353</v>
      </c>
      <c r="AF182" s="767">
        <f t="shared" si="4"/>
        <v>1</v>
      </c>
      <c r="AG182" s="133">
        <f>IF(voorblad!$F$32=NAW!B182,1,0)</f>
        <v>0</v>
      </c>
      <c r="AH182" s="841">
        <f t="shared" si="5"/>
        <v>0</v>
      </c>
    </row>
    <row r="183" spans="1:34" ht="12.75">
      <c r="A183">
        <v>10409</v>
      </c>
      <c r="B183" s="767">
        <v>1001</v>
      </c>
      <c r="C183" s="133">
        <v>120</v>
      </c>
      <c r="D183" s="133" t="s">
        <v>1239</v>
      </c>
      <c r="E183" s="133" t="s">
        <v>1874</v>
      </c>
      <c r="F183" s="133" t="s">
        <v>2286</v>
      </c>
      <c r="G183" s="1064">
        <v>38353</v>
      </c>
      <c r="H183" s="133" t="s">
        <v>1761</v>
      </c>
      <c r="I183" s="133" t="s">
        <v>1761</v>
      </c>
      <c r="J183" s="133" t="s">
        <v>1940</v>
      </c>
      <c r="K183" s="133" t="s">
        <v>1874</v>
      </c>
      <c r="L183" s="133" t="s">
        <v>1875</v>
      </c>
      <c r="M183" s="133" t="s">
        <v>1876</v>
      </c>
      <c r="N183" s="133"/>
      <c r="O183" s="133" t="s">
        <v>1877</v>
      </c>
      <c r="P183" s="133" t="s">
        <v>1878</v>
      </c>
      <c r="Q183" s="133" t="s">
        <v>1162</v>
      </c>
      <c r="R183" s="133"/>
      <c r="S183" s="133">
        <v>1</v>
      </c>
      <c r="T183" s="133">
        <v>3110</v>
      </c>
      <c r="U183" s="133">
        <v>0</v>
      </c>
      <c r="V183" s="133">
        <v>0</v>
      </c>
      <c r="W183" s="133">
        <v>0</v>
      </c>
      <c r="X183" s="133">
        <v>0</v>
      </c>
      <c r="Y183" s="1065">
        <v>37987</v>
      </c>
      <c r="Z183" s="841"/>
      <c r="AF183" s="767">
        <f t="shared" si="4"/>
        <v>0</v>
      </c>
      <c r="AG183" s="133">
        <f>IF(voorblad!$F$32=NAW!B183,1,0)</f>
        <v>0</v>
      </c>
      <c r="AH183" s="841">
        <f t="shared" si="5"/>
        <v>0</v>
      </c>
    </row>
    <row r="184" spans="1:34" ht="12.75">
      <c r="A184">
        <v>10410</v>
      </c>
      <c r="B184" s="767">
        <v>1002</v>
      </c>
      <c r="C184" s="133">
        <v>120</v>
      </c>
      <c r="D184" s="133" t="s">
        <v>1975</v>
      </c>
      <c r="E184" s="133" t="s">
        <v>955</v>
      </c>
      <c r="F184" s="133" t="s">
        <v>2286</v>
      </c>
      <c r="G184" s="1064">
        <v>38353</v>
      </c>
      <c r="H184" s="133" t="s">
        <v>1761</v>
      </c>
      <c r="I184" s="133" t="s">
        <v>1761</v>
      </c>
      <c r="J184" s="133" t="s">
        <v>1940</v>
      </c>
      <c r="K184" s="133" t="s">
        <v>955</v>
      </c>
      <c r="L184" s="133" t="s">
        <v>1879</v>
      </c>
      <c r="M184" s="133" t="s">
        <v>1880</v>
      </c>
      <c r="N184" s="133"/>
      <c r="O184" s="133" t="s">
        <v>1881</v>
      </c>
      <c r="P184" s="133" t="s">
        <v>1882</v>
      </c>
      <c r="Q184" s="133" t="s">
        <v>249</v>
      </c>
      <c r="R184" s="133"/>
      <c r="S184" s="133">
        <v>1</v>
      </c>
      <c r="T184" s="133">
        <v>3100</v>
      </c>
      <c r="U184" s="133">
        <v>0</v>
      </c>
      <c r="V184" s="133">
        <v>0</v>
      </c>
      <c r="W184" s="133">
        <v>0</v>
      </c>
      <c r="X184" s="133">
        <v>0</v>
      </c>
      <c r="Y184" s="1065">
        <v>37987</v>
      </c>
      <c r="Z184" s="841"/>
      <c r="AF184" s="767">
        <f t="shared" si="4"/>
        <v>0</v>
      </c>
      <c r="AG184" s="133">
        <f>IF(voorblad!$F$32=NAW!B184,1,0)</f>
        <v>0</v>
      </c>
      <c r="AH184" s="841">
        <f t="shared" si="5"/>
        <v>0</v>
      </c>
    </row>
    <row r="185" spans="1:34" ht="12.75">
      <c r="A185">
        <v>10411</v>
      </c>
      <c r="B185" s="767">
        <v>1206</v>
      </c>
      <c r="C185" s="133">
        <v>120</v>
      </c>
      <c r="D185" s="133" t="s">
        <v>1965</v>
      </c>
      <c r="E185" s="133" t="s">
        <v>1883</v>
      </c>
      <c r="F185" s="133" t="s">
        <v>2286</v>
      </c>
      <c r="G185" s="1064">
        <v>38353</v>
      </c>
      <c r="H185" s="133" t="s">
        <v>1761</v>
      </c>
      <c r="I185" s="133" t="s">
        <v>1761</v>
      </c>
      <c r="J185" s="133" t="s">
        <v>1940</v>
      </c>
      <c r="K185" s="133" t="s">
        <v>1883</v>
      </c>
      <c r="L185" s="133"/>
      <c r="M185" s="133"/>
      <c r="N185" s="133"/>
      <c r="O185" s="133" t="s">
        <v>480</v>
      </c>
      <c r="P185" s="133" t="s">
        <v>1884</v>
      </c>
      <c r="Q185" s="133" t="s">
        <v>1162</v>
      </c>
      <c r="R185" s="133" t="s">
        <v>1885</v>
      </c>
      <c r="S185" s="133">
        <v>1</v>
      </c>
      <c r="T185" s="133">
        <v>3130</v>
      </c>
      <c r="U185" s="133">
        <v>0</v>
      </c>
      <c r="V185" s="133">
        <v>0</v>
      </c>
      <c r="W185" s="133">
        <v>0</v>
      </c>
      <c r="X185" s="133">
        <v>0</v>
      </c>
      <c r="Y185" s="1065">
        <v>37987</v>
      </c>
      <c r="Z185" s="841"/>
      <c r="AF185" s="767">
        <f t="shared" si="4"/>
        <v>0</v>
      </c>
      <c r="AG185" s="133">
        <f>IF(voorblad!$F$32=NAW!B185,1,0)</f>
        <v>0</v>
      </c>
      <c r="AH185" s="841">
        <f t="shared" si="5"/>
        <v>0</v>
      </c>
    </row>
    <row r="186" spans="1:34" ht="12.75">
      <c r="A186">
        <v>10412</v>
      </c>
      <c r="B186" s="767">
        <v>1300</v>
      </c>
      <c r="C186" s="133">
        <v>120</v>
      </c>
      <c r="D186" s="133" t="s">
        <v>839</v>
      </c>
      <c r="E186" s="133" t="s">
        <v>1886</v>
      </c>
      <c r="F186" s="133" t="s">
        <v>2286</v>
      </c>
      <c r="G186" s="1064">
        <v>38353</v>
      </c>
      <c r="H186" s="133" t="s">
        <v>1761</v>
      </c>
      <c r="I186" s="133" t="s">
        <v>1761</v>
      </c>
      <c r="J186" s="133" t="s">
        <v>1940</v>
      </c>
      <c r="K186" s="133" t="s">
        <v>1886</v>
      </c>
      <c r="L186" s="133" t="s">
        <v>1887</v>
      </c>
      <c r="M186" s="133" t="s">
        <v>1888</v>
      </c>
      <c r="N186" s="133"/>
      <c r="O186" s="133" t="s">
        <v>1178</v>
      </c>
      <c r="P186" s="133" t="s">
        <v>1889</v>
      </c>
      <c r="Q186" s="133" t="s">
        <v>1162</v>
      </c>
      <c r="R186" s="133"/>
      <c r="S186" s="133">
        <v>1</v>
      </c>
      <c r="T186" s="133">
        <v>3150</v>
      </c>
      <c r="U186" s="133">
        <v>0</v>
      </c>
      <c r="V186" s="133">
        <v>0</v>
      </c>
      <c r="W186" s="133">
        <v>0</v>
      </c>
      <c r="X186" s="133">
        <v>0</v>
      </c>
      <c r="Y186" s="1065">
        <v>37987</v>
      </c>
      <c r="Z186" s="841"/>
      <c r="AA186" s="491"/>
      <c r="AF186" s="767">
        <f t="shared" si="4"/>
        <v>1</v>
      </c>
      <c r="AG186" s="133">
        <f>IF(voorblad!$F$32=NAW!B186,1,0)</f>
        <v>0</v>
      </c>
      <c r="AH186" s="841">
        <f t="shared" si="5"/>
        <v>0</v>
      </c>
    </row>
    <row r="187" spans="1:34" ht="12.75">
      <c r="A187">
        <v>10413</v>
      </c>
      <c r="B187" s="767">
        <v>1313</v>
      </c>
      <c r="C187" s="133">
        <v>120</v>
      </c>
      <c r="D187" s="133" t="s">
        <v>839</v>
      </c>
      <c r="E187" s="133" t="s">
        <v>1890</v>
      </c>
      <c r="F187" s="133" t="s">
        <v>2286</v>
      </c>
      <c r="G187" s="1064">
        <v>38353</v>
      </c>
      <c r="H187" s="133" t="s">
        <v>1761</v>
      </c>
      <c r="I187" s="133" t="s">
        <v>1761</v>
      </c>
      <c r="J187" s="133" t="s">
        <v>1940</v>
      </c>
      <c r="K187" s="133" t="s">
        <v>1890</v>
      </c>
      <c r="L187" s="133" t="s">
        <v>1891</v>
      </c>
      <c r="M187" s="133" t="s">
        <v>1892</v>
      </c>
      <c r="N187" s="133"/>
      <c r="O187" s="133" t="s">
        <v>1178</v>
      </c>
      <c r="P187" s="133" t="s">
        <v>1893</v>
      </c>
      <c r="Q187" s="133" t="s">
        <v>1162</v>
      </c>
      <c r="R187" s="133"/>
      <c r="S187" s="133">
        <v>1</v>
      </c>
      <c r="T187" s="133">
        <v>3150</v>
      </c>
      <c r="U187" s="133">
        <v>0</v>
      </c>
      <c r="V187" s="133">
        <v>0</v>
      </c>
      <c r="W187" s="133">
        <v>0</v>
      </c>
      <c r="X187" s="133">
        <v>0</v>
      </c>
      <c r="Y187" s="1065">
        <v>37987</v>
      </c>
      <c r="Z187" s="841"/>
      <c r="AA187" s="491"/>
      <c r="AF187" s="767">
        <f t="shared" si="4"/>
        <v>1</v>
      </c>
      <c r="AG187" s="133">
        <f>IF(voorblad!$F$32=NAW!B187,1,0)</f>
        <v>0</v>
      </c>
      <c r="AH187" s="841">
        <f t="shared" si="5"/>
        <v>0</v>
      </c>
    </row>
    <row r="188" spans="1:34" ht="12.75">
      <c r="A188">
        <v>10414</v>
      </c>
      <c r="B188" s="767">
        <v>1314</v>
      </c>
      <c r="C188" s="133">
        <v>120</v>
      </c>
      <c r="D188" s="133" t="s">
        <v>1965</v>
      </c>
      <c r="E188" s="133" t="s">
        <v>1894</v>
      </c>
      <c r="F188" s="133" t="s">
        <v>2286</v>
      </c>
      <c r="G188" s="1064">
        <v>38353</v>
      </c>
      <c r="H188" s="133" t="s">
        <v>1761</v>
      </c>
      <c r="I188" s="133" t="s">
        <v>1761</v>
      </c>
      <c r="J188" s="133" t="s">
        <v>1940</v>
      </c>
      <c r="K188" s="133" t="s">
        <v>1124</v>
      </c>
      <c r="L188" s="133" t="s">
        <v>1125</v>
      </c>
      <c r="M188" s="133" t="s">
        <v>331</v>
      </c>
      <c r="N188" s="133"/>
      <c r="O188" s="133" t="s">
        <v>482</v>
      </c>
      <c r="P188" s="133" t="s">
        <v>332</v>
      </c>
      <c r="Q188" s="133" t="s">
        <v>1162</v>
      </c>
      <c r="R188" s="133"/>
      <c r="S188" s="133">
        <v>1</v>
      </c>
      <c r="T188" s="133">
        <v>3140</v>
      </c>
      <c r="U188" s="133">
        <v>0</v>
      </c>
      <c r="V188" s="133">
        <v>0</v>
      </c>
      <c r="W188" s="133">
        <v>0</v>
      </c>
      <c r="X188" s="133">
        <v>0</v>
      </c>
      <c r="Y188" s="1065">
        <v>37987</v>
      </c>
      <c r="Z188" s="841"/>
      <c r="AA188" s="491"/>
      <c r="AF188" s="767">
        <f t="shared" si="4"/>
        <v>0</v>
      </c>
      <c r="AG188" s="133">
        <f>IF(voorblad!$F$32=NAW!B188,1,0)</f>
        <v>0</v>
      </c>
      <c r="AH188" s="841">
        <f t="shared" si="5"/>
        <v>0</v>
      </c>
    </row>
    <row r="189" spans="1:34" ht="12.75">
      <c r="A189">
        <v>10415</v>
      </c>
      <c r="B189" s="767">
        <v>1511</v>
      </c>
      <c r="C189" s="133">
        <v>120</v>
      </c>
      <c r="D189" s="133" t="s">
        <v>1239</v>
      </c>
      <c r="E189" s="133" t="s">
        <v>333</v>
      </c>
      <c r="F189" s="133" t="s">
        <v>2286</v>
      </c>
      <c r="G189" s="1064">
        <v>38353</v>
      </c>
      <c r="H189" s="133" t="s">
        <v>1761</v>
      </c>
      <c r="I189" s="133" t="s">
        <v>1761</v>
      </c>
      <c r="J189" s="133" t="s">
        <v>1940</v>
      </c>
      <c r="K189" s="133" t="s">
        <v>333</v>
      </c>
      <c r="L189" s="133" t="s">
        <v>334</v>
      </c>
      <c r="M189" s="133" t="s">
        <v>335</v>
      </c>
      <c r="N189" s="133"/>
      <c r="O189" s="133" t="s">
        <v>754</v>
      </c>
      <c r="P189" s="133" t="s">
        <v>336</v>
      </c>
      <c r="Q189" s="133" t="s">
        <v>1549</v>
      </c>
      <c r="R189" s="133"/>
      <c r="S189" s="133">
        <v>1</v>
      </c>
      <c r="T189" s="133">
        <v>3180</v>
      </c>
      <c r="U189" s="133">
        <v>0</v>
      </c>
      <c r="V189" s="133">
        <v>0</v>
      </c>
      <c r="W189" s="133">
        <v>0</v>
      </c>
      <c r="X189" s="133">
        <v>0</v>
      </c>
      <c r="Y189" s="1065">
        <v>37987</v>
      </c>
      <c r="Z189" s="841"/>
      <c r="AA189" s="491"/>
      <c r="AF189" s="767">
        <f t="shared" si="4"/>
        <v>1</v>
      </c>
      <c r="AG189" s="133">
        <f>IF(voorblad!$F$32=NAW!B189,1,0)</f>
        <v>0</v>
      </c>
      <c r="AH189" s="841">
        <f t="shared" si="5"/>
        <v>0</v>
      </c>
    </row>
    <row r="190" spans="1:34" ht="12.75">
      <c r="A190">
        <v>10416</v>
      </c>
      <c r="B190" s="767">
        <v>1512</v>
      </c>
      <c r="C190" s="133">
        <v>120</v>
      </c>
      <c r="D190" s="133" t="s">
        <v>2066</v>
      </c>
      <c r="E190" s="133" t="s">
        <v>956</v>
      </c>
      <c r="F190" s="133" t="s">
        <v>2286</v>
      </c>
      <c r="G190" s="1064">
        <v>38353</v>
      </c>
      <c r="H190" s="133" t="s">
        <v>1761</v>
      </c>
      <c r="I190" s="133" t="s">
        <v>1761</v>
      </c>
      <c r="J190" s="133" t="s">
        <v>1940</v>
      </c>
      <c r="K190" s="133" t="s">
        <v>956</v>
      </c>
      <c r="L190" s="133" t="s">
        <v>337</v>
      </c>
      <c r="M190" s="133" t="s">
        <v>338</v>
      </c>
      <c r="N190" s="133"/>
      <c r="O190" s="133" t="s">
        <v>339</v>
      </c>
      <c r="P190" s="133" t="s">
        <v>340</v>
      </c>
      <c r="Q190" s="133" t="s">
        <v>1549</v>
      </c>
      <c r="R190" s="133"/>
      <c r="S190" s="133">
        <v>1</v>
      </c>
      <c r="T190" s="133">
        <v>3180</v>
      </c>
      <c r="U190" s="133">
        <v>0</v>
      </c>
      <c r="V190" s="133">
        <v>0</v>
      </c>
      <c r="W190" s="133">
        <v>0</v>
      </c>
      <c r="X190" s="133">
        <v>0</v>
      </c>
      <c r="Y190" s="1065">
        <v>37987</v>
      </c>
      <c r="Z190" s="841"/>
      <c r="AA190" s="491"/>
      <c r="AF190" s="767">
        <f t="shared" si="4"/>
        <v>1</v>
      </c>
      <c r="AG190" s="133">
        <f>IF(voorblad!$F$32=NAW!B190,1,0)</f>
        <v>0</v>
      </c>
      <c r="AH190" s="841">
        <f t="shared" si="5"/>
        <v>0</v>
      </c>
    </row>
    <row r="191" spans="1:34" ht="12.75">
      <c r="A191">
        <v>10417</v>
      </c>
      <c r="B191" s="767">
        <v>1513</v>
      </c>
      <c r="C191" s="133">
        <v>120</v>
      </c>
      <c r="D191" s="133" t="s">
        <v>2066</v>
      </c>
      <c r="E191" s="133" t="s">
        <v>341</v>
      </c>
      <c r="F191" s="133" t="s">
        <v>2286</v>
      </c>
      <c r="G191" s="1064">
        <v>38353</v>
      </c>
      <c r="H191" s="133" t="s">
        <v>1761</v>
      </c>
      <c r="I191" s="133" t="s">
        <v>1761</v>
      </c>
      <c r="J191" s="133" t="s">
        <v>1940</v>
      </c>
      <c r="K191" s="133" t="s">
        <v>342</v>
      </c>
      <c r="L191" s="133"/>
      <c r="M191" s="133"/>
      <c r="N191" s="133"/>
      <c r="O191" s="133" t="s">
        <v>750</v>
      </c>
      <c r="P191" s="133" t="s">
        <v>343</v>
      </c>
      <c r="Q191" s="133" t="s">
        <v>1549</v>
      </c>
      <c r="R191" s="133" t="s">
        <v>344</v>
      </c>
      <c r="S191" s="133">
        <v>1</v>
      </c>
      <c r="T191" s="133">
        <v>3190</v>
      </c>
      <c r="U191" s="133">
        <v>0</v>
      </c>
      <c r="V191" s="133">
        <v>0</v>
      </c>
      <c r="W191" s="133">
        <v>0</v>
      </c>
      <c r="X191" s="133">
        <v>0</v>
      </c>
      <c r="Y191" s="1065">
        <v>37987</v>
      </c>
      <c r="Z191" s="841"/>
      <c r="AA191" s="491"/>
      <c r="AF191" s="767">
        <f t="shared" si="4"/>
        <v>0</v>
      </c>
      <c r="AG191" s="133">
        <f>IF(voorblad!$F$32=NAW!B191,1,0)</f>
        <v>0</v>
      </c>
      <c r="AH191" s="841">
        <f t="shared" si="5"/>
        <v>0</v>
      </c>
    </row>
    <row r="192" spans="1:34" ht="12.75">
      <c r="A192">
        <v>10418</v>
      </c>
      <c r="B192" s="767">
        <v>1601</v>
      </c>
      <c r="C192" s="133">
        <v>120</v>
      </c>
      <c r="D192" s="133" t="s">
        <v>839</v>
      </c>
      <c r="E192" s="133" t="s">
        <v>345</v>
      </c>
      <c r="F192" s="133" t="s">
        <v>2286</v>
      </c>
      <c r="G192" s="1064">
        <v>38353</v>
      </c>
      <c r="H192" s="133" t="s">
        <v>1761</v>
      </c>
      <c r="I192" s="133" t="s">
        <v>1761</v>
      </c>
      <c r="J192" s="133" t="s">
        <v>1940</v>
      </c>
      <c r="K192" s="133" t="s">
        <v>346</v>
      </c>
      <c r="L192" s="133" t="s">
        <v>347</v>
      </c>
      <c r="M192" s="133" t="s">
        <v>348</v>
      </c>
      <c r="N192" s="133"/>
      <c r="O192" s="133" t="s">
        <v>1145</v>
      </c>
      <c r="P192" s="133" t="s">
        <v>1865</v>
      </c>
      <c r="Q192" s="133" t="s">
        <v>366</v>
      </c>
      <c r="R192" s="133" t="s">
        <v>1866</v>
      </c>
      <c r="S192" s="133">
        <v>1</v>
      </c>
      <c r="T192" s="133">
        <v>3090</v>
      </c>
      <c r="U192" s="133">
        <v>0</v>
      </c>
      <c r="V192" s="133">
        <v>0</v>
      </c>
      <c r="W192" s="133">
        <v>0</v>
      </c>
      <c r="X192" s="133">
        <v>0</v>
      </c>
      <c r="Y192" s="1065">
        <v>37987</v>
      </c>
      <c r="Z192" s="1066">
        <v>38353</v>
      </c>
      <c r="AA192" s="491"/>
      <c r="AF192" s="767">
        <f t="shared" si="4"/>
        <v>1</v>
      </c>
      <c r="AG192" s="133">
        <f>IF(voorblad!$F$32=NAW!B192,1,0)</f>
        <v>0</v>
      </c>
      <c r="AH192" s="841">
        <f t="shared" si="5"/>
        <v>0</v>
      </c>
    </row>
    <row r="193" spans="1:34" ht="12.75">
      <c r="A193">
        <v>10419</v>
      </c>
      <c r="B193" s="767">
        <v>1710</v>
      </c>
      <c r="C193" s="133">
        <v>120</v>
      </c>
      <c r="D193" s="133" t="s">
        <v>1953</v>
      </c>
      <c r="E193" s="133" t="s">
        <v>1821</v>
      </c>
      <c r="F193" s="133" t="s">
        <v>2286</v>
      </c>
      <c r="G193" s="1064">
        <v>38353</v>
      </c>
      <c r="H193" s="133" t="s">
        <v>1761</v>
      </c>
      <c r="I193" s="133" t="s">
        <v>1761</v>
      </c>
      <c r="J193" s="133" t="s">
        <v>1940</v>
      </c>
      <c r="K193" s="133" t="s">
        <v>1821</v>
      </c>
      <c r="L193" s="133" t="s">
        <v>349</v>
      </c>
      <c r="M193" s="133" t="s">
        <v>350</v>
      </c>
      <c r="N193" s="133"/>
      <c r="O193" s="133" t="s">
        <v>737</v>
      </c>
      <c r="P193" s="133"/>
      <c r="Q193" s="133" t="s">
        <v>1549</v>
      </c>
      <c r="R193" s="133" t="s">
        <v>351</v>
      </c>
      <c r="S193" s="133">
        <v>1</v>
      </c>
      <c r="T193" s="133">
        <v>3210</v>
      </c>
      <c r="U193" s="133">
        <v>0</v>
      </c>
      <c r="V193" s="133">
        <v>0</v>
      </c>
      <c r="W193" s="133">
        <v>0</v>
      </c>
      <c r="X193" s="133">
        <v>0</v>
      </c>
      <c r="Y193" s="1065">
        <v>37987</v>
      </c>
      <c r="Z193" s="841"/>
      <c r="AA193" s="491"/>
      <c r="AF193" s="767">
        <f t="shared" si="4"/>
        <v>1</v>
      </c>
      <c r="AG193" s="133">
        <f>IF(voorblad!$F$32=NAW!B193,1,0)</f>
        <v>0</v>
      </c>
      <c r="AH193" s="841">
        <f t="shared" si="5"/>
        <v>0</v>
      </c>
    </row>
    <row r="194" spans="1:34" ht="12.75">
      <c r="A194">
        <v>10420</v>
      </c>
      <c r="B194" s="767">
        <v>1714</v>
      </c>
      <c r="C194" s="133">
        <v>120</v>
      </c>
      <c r="D194" s="133" t="s">
        <v>1953</v>
      </c>
      <c r="E194" s="133" t="s">
        <v>352</v>
      </c>
      <c r="F194" s="133" t="s">
        <v>2286</v>
      </c>
      <c r="G194" s="1064">
        <v>38353</v>
      </c>
      <c r="H194" s="133" t="s">
        <v>1761</v>
      </c>
      <c r="I194" s="133" t="s">
        <v>1761</v>
      </c>
      <c r="J194" s="133" t="s">
        <v>1940</v>
      </c>
      <c r="K194" s="133" t="s">
        <v>352</v>
      </c>
      <c r="L194" s="133" t="s">
        <v>353</v>
      </c>
      <c r="M194" s="133" t="s">
        <v>354</v>
      </c>
      <c r="N194" s="133"/>
      <c r="O194" s="133" t="s">
        <v>737</v>
      </c>
      <c r="P194" s="133" t="s">
        <v>355</v>
      </c>
      <c r="Q194" s="133" t="s">
        <v>1549</v>
      </c>
      <c r="R194" s="133" t="s">
        <v>433</v>
      </c>
      <c r="S194" s="133">
        <v>1</v>
      </c>
      <c r="T194" s="133">
        <v>3230</v>
      </c>
      <c r="U194" s="133">
        <v>0</v>
      </c>
      <c r="V194" s="133">
        <v>0</v>
      </c>
      <c r="W194" s="133">
        <v>0</v>
      </c>
      <c r="X194" s="133">
        <v>0</v>
      </c>
      <c r="Y194" s="1065">
        <v>37987</v>
      </c>
      <c r="Z194" s="841"/>
      <c r="AA194" s="491"/>
      <c r="AF194" s="767">
        <f t="shared" si="4"/>
        <v>0</v>
      </c>
      <c r="AG194" s="133">
        <f>IF(voorblad!$F$32=NAW!B194,1,0)</f>
        <v>0</v>
      </c>
      <c r="AH194" s="841">
        <f t="shared" si="5"/>
        <v>0</v>
      </c>
    </row>
    <row r="195" spans="1:34" ht="12.75">
      <c r="A195">
        <v>10421</v>
      </c>
      <c r="B195" s="767">
        <v>2110</v>
      </c>
      <c r="C195" s="133">
        <v>120</v>
      </c>
      <c r="D195" s="133" t="s">
        <v>839</v>
      </c>
      <c r="E195" s="133" t="s">
        <v>1822</v>
      </c>
      <c r="F195" s="133" t="s">
        <v>2286</v>
      </c>
      <c r="G195" s="1064">
        <v>38353</v>
      </c>
      <c r="H195" s="133" t="s">
        <v>1761</v>
      </c>
      <c r="I195" s="133" t="s">
        <v>1761</v>
      </c>
      <c r="J195" s="133" t="s">
        <v>1940</v>
      </c>
      <c r="K195" s="133" t="s">
        <v>1822</v>
      </c>
      <c r="L195" s="133" t="s">
        <v>356</v>
      </c>
      <c r="M195" s="133" t="s">
        <v>357</v>
      </c>
      <c r="N195" s="133"/>
      <c r="O195" s="133" t="s">
        <v>358</v>
      </c>
      <c r="P195" s="133" t="s">
        <v>359</v>
      </c>
      <c r="Q195" s="133" t="s">
        <v>2286</v>
      </c>
      <c r="R195" s="133"/>
      <c r="S195" s="133">
        <v>1</v>
      </c>
      <c r="T195" s="133">
        <v>3270</v>
      </c>
      <c r="U195" s="133">
        <v>0</v>
      </c>
      <c r="V195" s="133">
        <v>0</v>
      </c>
      <c r="W195" s="133">
        <v>0</v>
      </c>
      <c r="X195" s="133">
        <v>0</v>
      </c>
      <c r="Y195" s="1065">
        <v>37987</v>
      </c>
      <c r="Z195" s="841"/>
      <c r="AA195" s="491"/>
      <c r="AB195" s="527"/>
      <c r="AC195" s="527"/>
      <c r="AD195" s="527"/>
      <c r="AF195" s="767">
        <f aca="true" t="shared" si="6" ref="AF195:AF223">IF(OR(T195=$AF$241,T195=$AF$242,T195=$AF$243,T195=$AF$244),1,0)</f>
        <v>0</v>
      </c>
      <c r="AG195" s="133">
        <f>IF(voorblad!$F$32=NAW!B195,1,0)</f>
        <v>0</v>
      </c>
      <c r="AH195" s="841">
        <f aca="true" t="shared" si="7" ref="AH195:AH223">IF(AF195+AG195=2,1,0)</f>
        <v>0</v>
      </c>
    </row>
    <row r="196" spans="1:34" ht="12.75">
      <c r="A196">
        <v>10422</v>
      </c>
      <c r="B196" s="767">
        <v>2510</v>
      </c>
      <c r="C196" s="133">
        <v>120</v>
      </c>
      <c r="D196" s="133" t="s">
        <v>2066</v>
      </c>
      <c r="E196" s="133" t="s">
        <v>1823</v>
      </c>
      <c r="F196" s="133" t="s">
        <v>2286</v>
      </c>
      <c r="G196" s="1064">
        <v>38353</v>
      </c>
      <c r="H196" s="133" t="s">
        <v>1761</v>
      </c>
      <c r="I196" s="133" t="s">
        <v>1761</v>
      </c>
      <c r="J196" s="133" t="s">
        <v>1940</v>
      </c>
      <c r="K196" s="133" t="s">
        <v>1823</v>
      </c>
      <c r="L196" s="133" t="s">
        <v>360</v>
      </c>
      <c r="M196" s="133" t="s">
        <v>1649</v>
      </c>
      <c r="N196" s="133"/>
      <c r="O196" s="133" t="s">
        <v>1369</v>
      </c>
      <c r="P196" s="133" t="s">
        <v>1650</v>
      </c>
      <c r="Q196" s="133" t="s">
        <v>1359</v>
      </c>
      <c r="R196" s="133"/>
      <c r="S196" s="133">
        <v>1</v>
      </c>
      <c r="T196" s="133">
        <v>3310</v>
      </c>
      <c r="U196" s="133">
        <v>0</v>
      </c>
      <c r="V196" s="133">
        <v>0</v>
      </c>
      <c r="W196" s="133">
        <v>0</v>
      </c>
      <c r="X196" s="133">
        <v>0</v>
      </c>
      <c r="Y196" s="1065">
        <v>37987</v>
      </c>
      <c r="Z196" s="841"/>
      <c r="AA196" s="491"/>
      <c r="AB196" s="527"/>
      <c r="AC196" s="527"/>
      <c r="AD196" s="527"/>
      <c r="AF196" s="767">
        <f t="shared" si="6"/>
        <v>0</v>
      </c>
      <c r="AG196" s="133">
        <f>IF(voorblad!$F$32=NAW!B196,1,0)</f>
        <v>0</v>
      </c>
      <c r="AH196" s="841">
        <f t="shared" si="7"/>
        <v>0</v>
      </c>
    </row>
    <row r="197" spans="1:34" ht="12.75">
      <c r="A197">
        <v>10423</v>
      </c>
      <c r="B197" s="767">
        <v>2530</v>
      </c>
      <c r="C197" s="133">
        <v>120</v>
      </c>
      <c r="D197" s="133" t="s">
        <v>1953</v>
      </c>
      <c r="E197" s="133" t="s">
        <v>1651</v>
      </c>
      <c r="F197" s="133" t="s">
        <v>2286</v>
      </c>
      <c r="G197" s="1064">
        <v>38353</v>
      </c>
      <c r="H197" s="133" t="s">
        <v>1761</v>
      </c>
      <c r="I197" s="133" t="s">
        <v>1761</v>
      </c>
      <c r="J197" s="133" t="s">
        <v>1940</v>
      </c>
      <c r="K197" s="133" t="s">
        <v>1651</v>
      </c>
      <c r="L197" s="133" t="s">
        <v>1652</v>
      </c>
      <c r="M197" s="133" t="s">
        <v>1653</v>
      </c>
      <c r="N197" s="133"/>
      <c r="O197" s="133" t="s">
        <v>1597</v>
      </c>
      <c r="P197" s="133" t="s">
        <v>1654</v>
      </c>
      <c r="Q197" s="133" t="s">
        <v>1359</v>
      </c>
      <c r="R197" s="133"/>
      <c r="S197" s="133">
        <v>1</v>
      </c>
      <c r="T197" s="133">
        <v>3300</v>
      </c>
      <c r="U197" s="133">
        <v>0</v>
      </c>
      <c r="V197" s="133">
        <v>0</v>
      </c>
      <c r="W197" s="133">
        <v>0</v>
      </c>
      <c r="X197" s="133">
        <v>9027</v>
      </c>
      <c r="Y197" s="1065">
        <v>37987</v>
      </c>
      <c r="Z197" s="841"/>
      <c r="AA197" s="491"/>
      <c r="AB197" s="527"/>
      <c r="AC197" s="527"/>
      <c r="AD197" s="527"/>
      <c r="AF197" s="767">
        <f t="shared" si="6"/>
        <v>0</v>
      </c>
      <c r="AG197" s="133">
        <f>IF(voorblad!$F$32=NAW!B197,1,0)</f>
        <v>0</v>
      </c>
      <c r="AH197" s="841">
        <f t="shared" si="7"/>
        <v>0</v>
      </c>
    </row>
    <row r="198" spans="1:34" ht="12.75">
      <c r="A198">
        <v>10442</v>
      </c>
      <c r="B198" s="767">
        <v>614</v>
      </c>
      <c r="C198" s="133">
        <v>120</v>
      </c>
      <c r="D198" s="133" t="s">
        <v>1975</v>
      </c>
      <c r="E198" s="133" t="s">
        <v>798</v>
      </c>
      <c r="F198" s="133" t="s">
        <v>2286</v>
      </c>
      <c r="G198" s="1064">
        <v>38353</v>
      </c>
      <c r="H198" s="133" t="s">
        <v>1761</v>
      </c>
      <c r="I198" s="133" t="s">
        <v>1761</v>
      </c>
      <c r="J198" s="133" t="s">
        <v>1940</v>
      </c>
      <c r="K198" s="133" t="s">
        <v>798</v>
      </c>
      <c r="L198" s="133" t="s">
        <v>1655</v>
      </c>
      <c r="M198" s="133" t="s">
        <v>1656</v>
      </c>
      <c r="N198" s="133"/>
      <c r="O198" s="133" t="s">
        <v>1351</v>
      </c>
      <c r="P198" s="133"/>
      <c r="Q198" s="133" t="s">
        <v>2286</v>
      </c>
      <c r="R198" s="133" t="s">
        <v>2140</v>
      </c>
      <c r="S198" s="133">
        <v>1</v>
      </c>
      <c r="T198" s="133">
        <v>3290</v>
      </c>
      <c r="U198" s="133">
        <v>0</v>
      </c>
      <c r="V198" s="133">
        <v>0</v>
      </c>
      <c r="W198" s="133">
        <v>0</v>
      </c>
      <c r="X198" s="133">
        <v>9176</v>
      </c>
      <c r="Y198" s="1065">
        <v>37987</v>
      </c>
      <c r="Z198" s="841"/>
      <c r="AA198" s="1086">
        <v>1</v>
      </c>
      <c r="AB198" s="1087">
        <f>IF('0000'!$A$3=B198,1,0)</f>
        <v>0</v>
      </c>
      <c r="AC198" s="1084"/>
      <c r="AD198" s="1085"/>
      <c r="AF198" s="767">
        <f t="shared" si="6"/>
        <v>0</v>
      </c>
      <c r="AG198" s="133">
        <f>IF(voorblad!$F$32=NAW!B198,1,0)</f>
        <v>0</v>
      </c>
      <c r="AH198" s="841">
        <f t="shared" si="7"/>
        <v>0</v>
      </c>
    </row>
    <row r="199" spans="1:34" ht="12.75">
      <c r="A199">
        <v>10456</v>
      </c>
      <c r="B199" s="767">
        <v>1315</v>
      </c>
      <c r="C199" s="133">
        <v>120</v>
      </c>
      <c r="D199" s="133" t="s">
        <v>1239</v>
      </c>
      <c r="E199" s="133" t="s">
        <v>1657</v>
      </c>
      <c r="F199" s="133" t="s">
        <v>2286</v>
      </c>
      <c r="G199" s="1064">
        <v>38353</v>
      </c>
      <c r="H199" s="133" t="s">
        <v>1761</v>
      </c>
      <c r="I199" s="133" t="s">
        <v>1761</v>
      </c>
      <c r="J199" s="133" t="s">
        <v>387</v>
      </c>
      <c r="K199" s="133" t="s">
        <v>1658</v>
      </c>
      <c r="L199" s="133" t="s">
        <v>1659</v>
      </c>
      <c r="M199" s="133" t="s">
        <v>1660</v>
      </c>
      <c r="N199" s="133"/>
      <c r="O199" s="133" t="s">
        <v>1583</v>
      </c>
      <c r="P199" s="133" t="s">
        <v>1661</v>
      </c>
      <c r="Q199" s="133" t="s">
        <v>1162</v>
      </c>
      <c r="R199" s="133" t="s">
        <v>1585</v>
      </c>
      <c r="S199" s="133">
        <v>1</v>
      </c>
      <c r="T199" s="133">
        <v>3150</v>
      </c>
      <c r="U199" s="133">
        <v>0</v>
      </c>
      <c r="V199" s="133">
        <v>0</v>
      </c>
      <c r="W199" s="133">
        <v>0</v>
      </c>
      <c r="X199" s="133">
        <v>0</v>
      </c>
      <c r="Y199" s="1065">
        <v>37987</v>
      </c>
      <c r="Z199" s="841"/>
      <c r="AA199" s="1088"/>
      <c r="AB199" s="1089"/>
      <c r="AC199" s="1085"/>
      <c r="AD199" s="1085"/>
      <c r="AF199" s="767">
        <f t="shared" si="6"/>
        <v>1</v>
      </c>
      <c r="AG199" s="133">
        <f>IF(voorblad!$F$32=NAW!B199,1,0)</f>
        <v>0</v>
      </c>
      <c r="AH199" s="841">
        <f t="shared" si="7"/>
        <v>0</v>
      </c>
    </row>
    <row r="200" spans="1:34" ht="12.75">
      <c r="A200">
        <v>10484</v>
      </c>
      <c r="B200" s="767">
        <v>2010</v>
      </c>
      <c r="C200" s="133">
        <v>120</v>
      </c>
      <c r="D200" s="133" t="s">
        <v>839</v>
      </c>
      <c r="E200" s="133" t="s">
        <v>1662</v>
      </c>
      <c r="F200" s="133" t="s">
        <v>2286</v>
      </c>
      <c r="G200" s="1064">
        <v>38353</v>
      </c>
      <c r="H200" s="133" t="s">
        <v>1761</v>
      </c>
      <c r="I200" s="133" t="s">
        <v>1761</v>
      </c>
      <c r="J200" s="133" t="s">
        <v>1663</v>
      </c>
      <c r="K200" s="133" t="s">
        <v>1662</v>
      </c>
      <c r="L200" s="133" t="s">
        <v>1070</v>
      </c>
      <c r="M200" s="133" t="s">
        <v>1071</v>
      </c>
      <c r="N200" s="133"/>
      <c r="O200" s="133" t="s">
        <v>1072</v>
      </c>
      <c r="P200" s="133" t="s">
        <v>1073</v>
      </c>
      <c r="Q200" s="133" t="s">
        <v>2286</v>
      </c>
      <c r="R200" s="133" t="s">
        <v>1664</v>
      </c>
      <c r="S200" s="133">
        <v>1</v>
      </c>
      <c r="T200" s="133">
        <v>3280</v>
      </c>
      <c r="U200" s="133">
        <v>0</v>
      </c>
      <c r="V200" s="133">
        <v>0</v>
      </c>
      <c r="W200" s="133">
        <v>0</v>
      </c>
      <c r="X200" s="133">
        <v>0</v>
      </c>
      <c r="Y200" s="1065">
        <v>37987</v>
      </c>
      <c r="Z200" s="841"/>
      <c r="AA200" s="1088"/>
      <c r="AB200" s="1089"/>
      <c r="AC200" s="1085"/>
      <c r="AD200" s="1085"/>
      <c r="AF200" s="767">
        <f t="shared" si="6"/>
        <v>0</v>
      </c>
      <c r="AG200" s="133">
        <f>IF(voorblad!$F$32=NAW!B200,1,0)</f>
        <v>0</v>
      </c>
      <c r="AH200" s="841">
        <f t="shared" si="7"/>
        <v>0</v>
      </c>
    </row>
    <row r="201" spans="1:34" ht="12.75">
      <c r="A201">
        <v>11844</v>
      </c>
      <c r="B201" s="767">
        <v>616</v>
      </c>
      <c r="C201" s="133">
        <v>120</v>
      </c>
      <c r="D201" s="133" t="s">
        <v>1975</v>
      </c>
      <c r="E201" s="133" t="s">
        <v>797</v>
      </c>
      <c r="F201" s="133" t="s">
        <v>2286</v>
      </c>
      <c r="G201" s="1064">
        <v>38353</v>
      </c>
      <c r="H201" s="133" t="s">
        <v>1761</v>
      </c>
      <c r="I201" s="133" t="s">
        <v>1761</v>
      </c>
      <c r="J201" s="133" t="s">
        <v>1940</v>
      </c>
      <c r="K201" s="133" t="s">
        <v>797</v>
      </c>
      <c r="L201" s="133" t="s">
        <v>1665</v>
      </c>
      <c r="M201" s="133" t="s">
        <v>1666</v>
      </c>
      <c r="N201" s="133"/>
      <c r="O201" s="133" t="s">
        <v>1364</v>
      </c>
      <c r="P201" s="133" t="s">
        <v>1667</v>
      </c>
      <c r="Q201" s="133" t="s">
        <v>1359</v>
      </c>
      <c r="R201" s="133" t="s">
        <v>2140</v>
      </c>
      <c r="S201" s="133">
        <v>1</v>
      </c>
      <c r="T201" s="133">
        <v>3310</v>
      </c>
      <c r="U201" s="133">
        <v>0</v>
      </c>
      <c r="V201" s="133">
        <v>0</v>
      </c>
      <c r="W201" s="133">
        <v>0</v>
      </c>
      <c r="X201" s="133">
        <v>9176</v>
      </c>
      <c r="Y201" s="1065">
        <v>37987</v>
      </c>
      <c r="Z201" s="841"/>
      <c r="AA201" s="1088">
        <v>1</v>
      </c>
      <c r="AB201" s="1089">
        <f>IF('0000'!$A$3=B201,1,0)</f>
        <v>0</v>
      </c>
      <c r="AC201" s="1085"/>
      <c r="AD201" s="1085"/>
      <c r="AF201" s="767">
        <f t="shared" si="6"/>
        <v>0</v>
      </c>
      <c r="AG201" s="133">
        <f>IF(voorblad!$F$32=NAW!B201,1,0)</f>
        <v>0</v>
      </c>
      <c r="AH201" s="841">
        <f t="shared" si="7"/>
        <v>0</v>
      </c>
    </row>
    <row r="202" spans="1:34" ht="12.75">
      <c r="A202">
        <v>12253</v>
      </c>
      <c r="B202" s="767">
        <v>1416</v>
      </c>
      <c r="C202" s="133">
        <v>120</v>
      </c>
      <c r="D202" s="133" t="s">
        <v>1975</v>
      </c>
      <c r="E202" s="133" t="s">
        <v>1668</v>
      </c>
      <c r="F202" s="133" t="s">
        <v>2286</v>
      </c>
      <c r="G202" s="1064">
        <v>38353</v>
      </c>
      <c r="H202" s="133" t="s">
        <v>1761</v>
      </c>
      <c r="I202" s="133" t="s">
        <v>1761</v>
      </c>
      <c r="J202" s="133" t="s">
        <v>1940</v>
      </c>
      <c r="K202" s="133" t="s">
        <v>1669</v>
      </c>
      <c r="L202" s="133" t="s">
        <v>1670</v>
      </c>
      <c r="M202" s="133" t="s">
        <v>1207</v>
      </c>
      <c r="N202" s="133"/>
      <c r="O202" s="133" t="s">
        <v>1788</v>
      </c>
      <c r="P202" s="133" t="s">
        <v>1208</v>
      </c>
      <c r="Q202" s="133" t="s">
        <v>1549</v>
      </c>
      <c r="R202" s="133" t="s">
        <v>1209</v>
      </c>
      <c r="S202" s="133">
        <v>1</v>
      </c>
      <c r="T202" s="133">
        <v>3170</v>
      </c>
      <c r="U202" s="133">
        <v>0</v>
      </c>
      <c r="V202" s="133">
        <v>0</v>
      </c>
      <c r="W202" s="133">
        <v>0</v>
      </c>
      <c r="X202" s="133">
        <v>0</v>
      </c>
      <c r="Y202" s="1065">
        <v>37987</v>
      </c>
      <c r="Z202" s="841"/>
      <c r="AA202" s="1088">
        <v>1</v>
      </c>
      <c r="AB202" s="1089">
        <f>IF('0000'!$A$3=B202,1,0)</f>
        <v>0</v>
      </c>
      <c r="AC202" s="1085"/>
      <c r="AD202" s="1085"/>
      <c r="AF202" s="767">
        <f t="shared" si="6"/>
        <v>0</v>
      </c>
      <c r="AG202" s="133">
        <f>IF(voorblad!$F$32=NAW!B202,1,0)</f>
        <v>0</v>
      </c>
      <c r="AH202" s="841">
        <f t="shared" si="7"/>
        <v>0</v>
      </c>
    </row>
    <row r="203" spans="1:34" ht="12.75">
      <c r="A203">
        <v>12435</v>
      </c>
      <c r="B203" s="767">
        <v>2403</v>
      </c>
      <c r="C203" s="133">
        <v>120</v>
      </c>
      <c r="D203" s="133" t="s">
        <v>1953</v>
      </c>
      <c r="E203" s="133" t="s">
        <v>1181</v>
      </c>
      <c r="F203" s="133" t="s">
        <v>2286</v>
      </c>
      <c r="G203" s="1065">
        <v>38353</v>
      </c>
      <c r="H203" s="133" t="s">
        <v>1761</v>
      </c>
      <c r="I203" s="133" t="s">
        <v>1761</v>
      </c>
      <c r="J203" s="133" t="s">
        <v>1940</v>
      </c>
      <c r="K203" s="133" t="s">
        <v>1354</v>
      </c>
      <c r="L203" s="133" t="s">
        <v>1355</v>
      </c>
      <c r="M203" s="133" t="s">
        <v>1356</v>
      </c>
      <c r="N203" s="133"/>
      <c r="O203" s="133" t="s">
        <v>1357</v>
      </c>
      <c r="P203" s="133" t="s">
        <v>1182</v>
      </c>
      <c r="Q203" s="133" t="s">
        <v>1359</v>
      </c>
      <c r="R203" s="133" t="s">
        <v>2140</v>
      </c>
      <c r="S203" s="133">
        <v>1</v>
      </c>
      <c r="T203" s="133">
        <v>3300</v>
      </c>
      <c r="U203" s="133">
        <v>0</v>
      </c>
      <c r="V203" s="133">
        <v>0</v>
      </c>
      <c r="W203" s="133">
        <v>0</v>
      </c>
      <c r="X203" s="133">
        <v>0</v>
      </c>
      <c r="Y203" s="1065">
        <v>38353</v>
      </c>
      <c r="Z203" s="841"/>
      <c r="AA203" s="1088"/>
      <c r="AB203" s="1089"/>
      <c r="AC203" s="1085"/>
      <c r="AD203" s="1085"/>
      <c r="AF203" s="767">
        <f t="shared" si="6"/>
        <v>0</v>
      </c>
      <c r="AG203" s="133">
        <f>IF(voorblad!$F$32=NAW!B203,1,0)</f>
        <v>0</v>
      </c>
      <c r="AH203" s="841">
        <f t="shared" si="7"/>
        <v>0</v>
      </c>
    </row>
    <row r="204" spans="1:34" ht="12.75">
      <c r="A204">
        <v>12480</v>
      </c>
      <c r="B204" s="767">
        <v>1350</v>
      </c>
      <c r="C204" s="133">
        <v>120</v>
      </c>
      <c r="D204" s="133" t="s">
        <v>1965</v>
      </c>
      <c r="E204" s="133" t="s">
        <v>1825</v>
      </c>
      <c r="F204" s="133" t="s">
        <v>2286</v>
      </c>
      <c r="G204" s="1065">
        <v>38353</v>
      </c>
      <c r="H204" s="133" t="s">
        <v>1761</v>
      </c>
      <c r="I204" s="133" t="s">
        <v>1761</v>
      </c>
      <c r="J204" s="133" t="s">
        <v>1940</v>
      </c>
      <c r="K204" s="133" t="s">
        <v>1170</v>
      </c>
      <c r="L204" s="133" t="s">
        <v>1171</v>
      </c>
      <c r="M204" s="133" t="s">
        <v>1172</v>
      </c>
      <c r="N204" s="133"/>
      <c r="O204" s="133" t="s">
        <v>1173</v>
      </c>
      <c r="P204" s="133" t="s">
        <v>1174</v>
      </c>
      <c r="Q204" s="133" t="s">
        <v>1162</v>
      </c>
      <c r="R204" s="133" t="s">
        <v>1183</v>
      </c>
      <c r="S204" s="133">
        <v>1</v>
      </c>
      <c r="T204" s="133">
        <v>3130</v>
      </c>
      <c r="U204" s="133">
        <v>0</v>
      </c>
      <c r="V204" s="133">
        <v>0</v>
      </c>
      <c r="W204" s="133">
        <v>0</v>
      </c>
      <c r="X204" s="133">
        <v>0</v>
      </c>
      <c r="Y204" s="1065">
        <v>38353</v>
      </c>
      <c r="Z204" s="841"/>
      <c r="AA204" s="1088"/>
      <c r="AB204" s="1089"/>
      <c r="AC204" s="1085"/>
      <c r="AD204" s="1085"/>
      <c r="AF204" s="767">
        <f t="shared" si="6"/>
        <v>0</v>
      </c>
      <c r="AG204" s="133">
        <f>IF(voorblad!$F$32=NAW!B204,1,0)</f>
        <v>0</v>
      </c>
      <c r="AH204" s="841">
        <f t="shared" si="7"/>
        <v>0</v>
      </c>
    </row>
    <row r="205" spans="1:34" ht="12.75">
      <c r="A205">
        <v>12481</v>
      </c>
      <c r="B205" s="767">
        <v>820</v>
      </c>
      <c r="C205" s="133">
        <v>120</v>
      </c>
      <c r="D205" s="133" t="s">
        <v>839</v>
      </c>
      <c r="E205" s="133" t="s">
        <v>1184</v>
      </c>
      <c r="F205" s="133" t="s">
        <v>2286</v>
      </c>
      <c r="G205" s="1065">
        <v>38353</v>
      </c>
      <c r="H205" s="133" t="s">
        <v>1761</v>
      </c>
      <c r="I205" s="133" t="s">
        <v>1761</v>
      </c>
      <c r="J205" s="133" t="s">
        <v>1940</v>
      </c>
      <c r="K205" s="133" t="s">
        <v>1184</v>
      </c>
      <c r="L205" s="133" t="s">
        <v>1863</v>
      </c>
      <c r="M205" s="133" t="s">
        <v>1864</v>
      </c>
      <c r="N205" s="133"/>
      <c r="O205" s="133" t="s">
        <v>1145</v>
      </c>
      <c r="P205" s="133" t="s">
        <v>1865</v>
      </c>
      <c r="Q205" s="133" t="s">
        <v>366</v>
      </c>
      <c r="R205" s="133" t="s">
        <v>1866</v>
      </c>
      <c r="S205" s="133">
        <v>1</v>
      </c>
      <c r="T205" s="133">
        <v>3090</v>
      </c>
      <c r="U205" s="133">
        <v>0</v>
      </c>
      <c r="V205" s="133">
        <v>0</v>
      </c>
      <c r="W205" s="133">
        <v>0</v>
      </c>
      <c r="X205" s="133">
        <v>0</v>
      </c>
      <c r="Y205" s="1065">
        <v>38353</v>
      </c>
      <c r="Z205" s="841"/>
      <c r="AA205" s="1088"/>
      <c r="AB205" s="1089"/>
      <c r="AC205" s="1085"/>
      <c r="AD205" s="1085"/>
      <c r="AF205" s="767">
        <f t="shared" si="6"/>
        <v>1</v>
      </c>
      <c r="AG205" s="133">
        <f>IF(voorblad!$F$32=NAW!B205,1,0)</f>
        <v>0</v>
      </c>
      <c r="AH205" s="841">
        <f t="shared" si="7"/>
        <v>0</v>
      </c>
    </row>
    <row r="206" spans="1:34" ht="12.75">
      <c r="A206">
        <v>12483</v>
      </c>
      <c r="B206" s="767">
        <v>1550</v>
      </c>
      <c r="C206" s="133">
        <v>120</v>
      </c>
      <c r="D206" s="133" t="s">
        <v>839</v>
      </c>
      <c r="E206" s="133" t="s">
        <v>1824</v>
      </c>
      <c r="F206" s="133" t="s">
        <v>2286</v>
      </c>
      <c r="G206" s="1065">
        <v>38353</v>
      </c>
      <c r="H206" s="133" t="s">
        <v>1761</v>
      </c>
      <c r="I206" s="133" t="s">
        <v>1761</v>
      </c>
      <c r="J206" s="133" t="s">
        <v>1940</v>
      </c>
      <c r="K206" s="133" t="s">
        <v>1185</v>
      </c>
      <c r="L206" s="133" t="s">
        <v>746</v>
      </c>
      <c r="M206" s="133" t="s">
        <v>747</v>
      </c>
      <c r="N206" s="133"/>
      <c r="O206" s="133" t="s">
        <v>743</v>
      </c>
      <c r="P206" s="133"/>
      <c r="Q206" s="133" t="s">
        <v>1549</v>
      </c>
      <c r="R206" s="133" t="s">
        <v>1186</v>
      </c>
      <c r="S206" s="133">
        <v>1</v>
      </c>
      <c r="T206" s="133">
        <v>3170</v>
      </c>
      <c r="U206" s="133">
        <v>0</v>
      </c>
      <c r="V206" s="133">
        <v>0</v>
      </c>
      <c r="W206" s="133">
        <v>0</v>
      </c>
      <c r="X206" s="133">
        <v>0</v>
      </c>
      <c r="Y206" s="1065">
        <v>38353</v>
      </c>
      <c r="Z206" s="841"/>
      <c r="AA206" s="1088"/>
      <c r="AB206" s="1089"/>
      <c r="AC206" s="1085"/>
      <c r="AD206" s="1085"/>
      <c r="AF206" s="767">
        <f t="shared" si="6"/>
        <v>0</v>
      </c>
      <c r="AG206" s="133">
        <f>IF(voorblad!$F$32=NAW!B206,1,0)</f>
        <v>0</v>
      </c>
      <c r="AH206" s="841">
        <f t="shared" si="7"/>
        <v>0</v>
      </c>
    </row>
    <row r="207" spans="1:34" ht="12.75">
      <c r="A207">
        <v>12515</v>
      </c>
      <c r="B207" s="767">
        <v>1708</v>
      </c>
      <c r="C207" s="133">
        <v>120</v>
      </c>
      <c r="D207" s="133" t="s">
        <v>1953</v>
      </c>
      <c r="E207" s="133" t="s">
        <v>1187</v>
      </c>
      <c r="F207" s="133" t="s">
        <v>2286</v>
      </c>
      <c r="G207" s="1065">
        <v>38353</v>
      </c>
      <c r="H207" s="133" t="s">
        <v>1761</v>
      </c>
      <c r="I207" s="133" t="s">
        <v>1761</v>
      </c>
      <c r="J207" s="133" t="s">
        <v>1940</v>
      </c>
      <c r="K207" s="133" t="s">
        <v>1188</v>
      </c>
      <c r="L207" s="133" t="s">
        <v>1189</v>
      </c>
      <c r="M207" s="133" t="s">
        <v>1190</v>
      </c>
      <c r="N207" s="133"/>
      <c r="O207" s="133" t="s">
        <v>1191</v>
      </c>
      <c r="P207" s="133" t="s">
        <v>1031</v>
      </c>
      <c r="Q207" s="133" t="s">
        <v>1549</v>
      </c>
      <c r="R207" s="133" t="s">
        <v>1032</v>
      </c>
      <c r="S207" s="133">
        <v>1</v>
      </c>
      <c r="T207" s="133">
        <v>3210</v>
      </c>
      <c r="U207" s="133">
        <v>0</v>
      </c>
      <c r="V207" s="133">
        <v>0</v>
      </c>
      <c r="W207" s="133">
        <v>0</v>
      </c>
      <c r="X207" s="133">
        <v>0</v>
      </c>
      <c r="Y207" s="1065">
        <v>38353</v>
      </c>
      <c r="Z207" s="841"/>
      <c r="AA207" s="1088"/>
      <c r="AB207" s="1089"/>
      <c r="AC207" s="1085"/>
      <c r="AD207" s="1085"/>
      <c r="AF207" s="767">
        <f t="shared" si="6"/>
        <v>1</v>
      </c>
      <c r="AG207" s="133">
        <f>IF(voorblad!$F$32=NAW!B207,1,0)</f>
        <v>0</v>
      </c>
      <c r="AH207" s="841">
        <f t="shared" si="7"/>
        <v>0</v>
      </c>
    </row>
    <row r="208" spans="1:34" ht="12.75">
      <c r="A208">
        <v>17804</v>
      </c>
      <c r="B208" s="767">
        <v>617</v>
      </c>
      <c r="C208" s="133">
        <v>120</v>
      </c>
      <c r="D208" s="133" t="s">
        <v>1975</v>
      </c>
      <c r="E208" s="133" t="s">
        <v>794</v>
      </c>
      <c r="F208" s="133" t="s">
        <v>2286</v>
      </c>
      <c r="G208" s="1064">
        <v>38353</v>
      </c>
      <c r="H208" s="133" t="s">
        <v>1761</v>
      </c>
      <c r="I208" s="133" t="s">
        <v>1761</v>
      </c>
      <c r="J208" s="133" t="s">
        <v>1940</v>
      </c>
      <c r="K208" s="133" t="s">
        <v>794</v>
      </c>
      <c r="L208" s="133" t="s">
        <v>1192</v>
      </c>
      <c r="M208" s="133" t="s">
        <v>1193</v>
      </c>
      <c r="N208" s="133"/>
      <c r="O208" s="133" t="s">
        <v>1055</v>
      </c>
      <c r="P208" s="133" t="s">
        <v>1667</v>
      </c>
      <c r="Q208" s="133" t="s">
        <v>1946</v>
      </c>
      <c r="R208" s="133"/>
      <c r="S208" s="133">
        <v>1</v>
      </c>
      <c r="T208" s="133">
        <v>3010</v>
      </c>
      <c r="U208" s="133">
        <v>0</v>
      </c>
      <c r="V208" s="133">
        <v>0</v>
      </c>
      <c r="W208" s="133">
        <v>0</v>
      </c>
      <c r="X208" s="133">
        <v>9176</v>
      </c>
      <c r="Y208" s="1065">
        <v>37987</v>
      </c>
      <c r="Z208" s="841"/>
      <c r="AA208" s="1088">
        <v>1</v>
      </c>
      <c r="AB208" s="1089">
        <f>IF('0000'!$A$3=B208,1,0)</f>
        <v>0</v>
      </c>
      <c r="AC208" s="1085"/>
      <c r="AD208" s="1085"/>
      <c r="AF208" s="767">
        <f t="shared" si="6"/>
        <v>0</v>
      </c>
      <c r="AG208" s="133">
        <f>IF(voorblad!$F$32=NAW!B208,1,0)</f>
        <v>0</v>
      </c>
      <c r="AH208" s="841">
        <f t="shared" si="7"/>
        <v>0</v>
      </c>
    </row>
    <row r="209" spans="1:34" ht="12.75">
      <c r="A209">
        <v>17805</v>
      </c>
      <c r="B209" s="767">
        <v>618</v>
      </c>
      <c r="C209" s="133">
        <v>120</v>
      </c>
      <c r="D209" s="133" t="s">
        <v>1975</v>
      </c>
      <c r="E209" s="133" t="s">
        <v>795</v>
      </c>
      <c r="F209" s="133" t="s">
        <v>2286</v>
      </c>
      <c r="G209" s="1064">
        <v>38353</v>
      </c>
      <c r="H209" s="133" t="s">
        <v>1761</v>
      </c>
      <c r="I209" s="133" t="s">
        <v>1761</v>
      </c>
      <c r="J209" s="133" t="s">
        <v>1940</v>
      </c>
      <c r="K209" s="133" t="s">
        <v>795</v>
      </c>
      <c r="L209" s="133" t="s">
        <v>1655</v>
      </c>
      <c r="M209" s="133" t="s">
        <v>1194</v>
      </c>
      <c r="N209" s="133"/>
      <c r="O209" s="133" t="s">
        <v>428</v>
      </c>
      <c r="P209" s="133" t="s">
        <v>1195</v>
      </c>
      <c r="Q209" s="133" t="s">
        <v>1549</v>
      </c>
      <c r="R209" s="133"/>
      <c r="S209" s="133">
        <v>1</v>
      </c>
      <c r="T209" s="133">
        <v>3200</v>
      </c>
      <c r="U209" s="133">
        <v>0</v>
      </c>
      <c r="V209" s="133">
        <v>0</v>
      </c>
      <c r="W209" s="133">
        <v>0</v>
      </c>
      <c r="X209" s="133">
        <v>9176</v>
      </c>
      <c r="Y209" s="1065">
        <v>38322</v>
      </c>
      <c r="Z209" s="841"/>
      <c r="AA209" s="1088">
        <v>1</v>
      </c>
      <c r="AB209" s="1089">
        <f>IF('0000'!$A$3=B209,1,0)</f>
        <v>0</v>
      </c>
      <c r="AC209" s="1085"/>
      <c r="AD209" s="1085"/>
      <c r="AF209" s="767">
        <f t="shared" si="6"/>
        <v>0</v>
      </c>
      <c r="AG209" s="133">
        <f>IF(voorblad!$F$32=NAW!B209,1,0)</f>
        <v>0</v>
      </c>
      <c r="AH209" s="841">
        <f t="shared" si="7"/>
        <v>0</v>
      </c>
    </row>
    <row r="210" spans="1:34" ht="12.75">
      <c r="A210">
        <v>17806</v>
      </c>
      <c r="B210" s="767">
        <v>619</v>
      </c>
      <c r="C210" s="133">
        <v>120</v>
      </c>
      <c r="D210" s="133" t="s">
        <v>1975</v>
      </c>
      <c r="E210" s="133" t="s">
        <v>796</v>
      </c>
      <c r="F210" s="133" t="s">
        <v>2286</v>
      </c>
      <c r="G210" s="1064">
        <v>38353</v>
      </c>
      <c r="H210" s="133" t="s">
        <v>1761</v>
      </c>
      <c r="I210" s="133" t="s">
        <v>1761</v>
      </c>
      <c r="J210" s="133" t="s">
        <v>1940</v>
      </c>
      <c r="K210" s="133" t="s">
        <v>796</v>
      </c>
      <c r="L210" s="133" t="s">
        <v>1196</v>
      </c>
      <c r="M210" s="133" t="s">
        <v>1197</v>
      </c>
      <c r="N210" s="133"/>
      <c r="O210" s="133" t="s">
        <v>165</v>
      </c>
      <c r="P210" s="133" t="s">
        <v>1667</v>
      </c>
      <c r="Q210" s="133" t="s">
        <v>1971</v>
      </c>
      <c r="R210" s="133"/>
      <c r="S210" s="133">
        <v>1</v>
      </c>
      <c r="T210" s="133">
        <v>3070</v>
      </c>
      <c r="U210" s="133">
        <v>0</v>
      </c>
      <c r="V210" s="133">
        <v>0</v>
      </c>
      <c r="W210" s="133">
        <v>0</v>
      </c>
      <c r="X210" s="133">
        <v>9176</v>
      </c>
      <c r="Y210" s="1065">
        <v>37987</v>
      </c>
      <c r="Z210" s="841"/>
      <c r="AA210" s="1088">
        <v>1</v>
      </c>
      <c r="AB210" s="1089">
        <f>IF('0000'!$A$3=B210,1,0)</f>
        <v>0</v>
      </c>
      <c r="AC210" s="1085"/>
      <c r="AD210" s="1085"/>
      <c r="AF210" s="767">
        <f t="shared" si="6"/>
        <v>0</v>
      </c>
      <c r="AG210" s="133">
        <f>IF(voorblad!$F$32=NAW!B210,1,0)</f>
        <v>0</v>
      </c>
      <c r="AH210" s="841">
        <f t="shared" si="7"/>
        <v>0</v>
      </c>
    </row>
    <row r="211" spans="1:34" ht="12.75">
      <c r="A211">
        <v>17829</v>
      </c>
      <c r="B211" s="767">
        <v>1720</v>
      </c>
      <c r="C211" s="133">
        <v>120</v>
      </c>
      <c r="D211" s="133" t="s">
        <v>1953</v>
      </c>
      <c r="E211" s="133" t="s">
        <v>1198</v>
      </c>
      <c r="F211" s="133" t="s">
        <v>2286</v>
      </c>
      <c r="G211" s="1064">
        <v>38353</v>
      </c>
      <c r="H211" s="133" t="s">
        <v>1761</v>
      </c>
      <c r="I211" s="133" t="s">
        <v>1761</v>
      </c>
      <c r="J211" s="133" t="s">
        <v>1940</v>
      </c>
      <c r="K211" s="133" t="s">
        <v>1199</v>
      </c>
      <c r="L211" s="133" t="s">
        <v>1200</v>
      </c>
      <c r="M211" s="133" t="s">
        <v>1201</v>
      </c>
      <c r="N211" s="133"/>
      <c r="O211" s="133" t="s">
        <v>737</v>
      </c>
      <c r="P211" s="133"/>
      <c r="Q211" s="133" t="s">
        <v>1549</v>
      </c>
      <c r="R211" s="133" t="s">
        <v>1202</v>
      </c>
      <c r="S211" s="133">
        <v>1</v>
      </c>
      <c r="T211" s="133">
        <v>3210</v>
      </c>
      <c r="U211" s="133">
        <v>0</v>
      </c>
      <c r="V211" s="133">
        <v>0</v>
      </c>
      <c r="W211" s="133">
        <v>0</v>
      </c>
      <c r="X211" s="133">
        <v>0</v>
      </c>
      <c r="Y211" s="1065">
        <v>38169</v>
      </c>
      <c r="Z211" s="841"/>
      <c r="AA211" s="1088">
        <v>1</v>
      </c>
      <c r="AB211" s="1089">
        <f>IF('0000'!$A$3=B211,1,0)</f>
        <v>0</v>
      </c>
      <c r="AC211" s="1085"/>
      <c r="AD211" s="1085"/>
      <c r="AF211" s="767">
        <f t="shared" si="6"/>
        <v>1</v>
      </c>
      <c r="AG211" s="133">
        <f>IF(voorblad!$F$32=NAW!B211,1,0)</f>
        <v>0</v>
      </c>
      <c r="AH211" s="841">
        <f t="shared" si="7"/>
        <v>0</v>
      </c>
    </row>
    <row r="212" spans="1:34" ht="12.75">
      <c r="A212">
        <v>17865</v>
      </c>
      <c r="B212" s="767">
        <v>1316</v>
      </c>
      <c r="C212" s="133">
        <v>120</v>
      </c>
      <c r="D212" s="133" t="s">
        <v>1239</v>
      </c>
      <c r="E212" s="133" t="s">
        <v>1203</v>
      </c>
      <c r="F212" s="133" t="s">
        <v>2286</v>
      </c>
      <c r="G212" s="1065">
        <v>38353</v>
      </c>
      <c r="H212" s="133" t="s">
        <v>1761</v>
      </c>
      <c r="I212" s="133" t="s">
        <v>1761</v>
      </c>
      <c r="J212" s="133" t="s">
        <v>1940</v>
      </c>
      <c r="K212" s="133" t="s">
        <v>1203</v>
      </c>
      <c r="L212" s="133" t="s">
        <v>1204</v>
      </c>
      <c r="M212" s="133" t="s">
        <v>1205</v>
      </c>
      <c r="N212" s="133"/>
      <c r="O212" s="133" t="s">
        <v>1178</v>
      </c>
      <c r="P212" s="133"/>
      <c r="Q212" s="133" t="s">
        <v>1162</v>
      </c>
      <c r="R212" s="133" t="s">
        <v>1206</v>
      </c>
      <c r="S212" s="133">
        <v>1</v>
      </c>
      <c r="T212" s="133">
        <v>3150</v>
      </c>
      <c r="U212" s="133">
        <v>0</v>
      </c>
      <c r="V212" s="133">
        <v>0</v>
      </c>
      <c r="W212" s="133">
        <v>0</v>
      </c>
      <c r="X212" s="133">
        <v>0</v>
      </c>
      <c r="Y212" s="1065">
        <v>38353</v>
      </c>
      <c r="Z212" s="841"/>
      <c r="AA212" s="1088">
        <v>1</v>
      </c>
      <c r="AB212" s="1089">
        <f>IF('0000'!$A$3=B212,1,0)</f>
        <v>0</v>
      </c>
      <c r="AC212" s="1085"/>
      <c r="AD212" s="1085"/>
      <c r="AF212" s="767">
        <f t="shared" si="6"/>
        <v>1</v>
      </c>
      <c r="AG212" s="133">
        <f>IF(voorblad!$F$32=NAW!B212,1,0)</f>
        <v>0</v>
      </c>
      <c r="AH212" s="841">
        <f t="shared" si="7"/>
        <v>0</v>
      </c>
    </row>
    <row r="213" spans="1:34" ht="12.75">
      <c r="A213">
        <v>17884</v>
      </c>
      <c r="B213" s="767">
        <v>621</v>
      </c>
      <c r="C213" s="133">
        <v>120</v>
      </c>
      <c r="D213" s="133" t="s">
        <v>1975</v>
      </c>
      <c r="E213" s="133" t="s">
        <v>1210</v>
      </c>
      <c r="F213" s="133" t="s">
        <v>2286</v>
      </c>
      <c r="G213" s="1065">
        <v>38384</v>
      </c>
      <c r="H213" s="133" t="s">
        <v>1761</v>
      </c>
      <c r="I213" s="133" t="s">
        <v>1761</v>
      </c>
      <c r="J213" s="133" t="s">
        <v>1940</v>
      </c>
      <c r="K213" s="133" t="s">
        <v>1210</v>
      </c>
      <c r="L213" s="133" t="s">
        <v>1914</v>
      </c>
      <c r="M213" s="133" t="s">
        <v>1915</v>
      </c>
      <c r="N213" s="133"/>
      <c r="O213" s="133" t="s">
        <v>480</v>
      </c>
      <c r="P213" s="133"/>
      <c r="Q213" s="133" t="s">
        <v>1162</v>
      </c>
      <c r="R213" s="133"/>
      <c r="S213" s="133">
        <v>1</v>
      </c>
      <c r="T213" s="133">
        <v>3130</v>
      </c>
      <c r="U213" s="133">
        <v>0</v>
      </c>
      <c r="V213" s="133">
        <v>0</v>
      </c>
      <c r="W213" s="133">
        <v>0</v>
      </c>
      <c r="X213" s="133">
        <v>9176</v>
      </c>
      <c r="Y213" s="1065">
        <v>38384</v>
      </c>
      <c r="Z213" s="841"/>
      <c r="AA213" s="1088">
        <v>1</v>
      </c>
      <c r="AB213" s="1089">
        <f>IF('0000'!$A$3=B213,1,0)</f>
        <v>0</v>
      </c>
      <c r="AC213" s="1085"/>
      <c r="AD213" s="1085"/>
      <c r="AF213" s="767">
        <f t="shared" si="6"/>
        <v>0</v>
      </c>
      <c r="AG213" s="133">
        <f>IF(voorblad!$F$32=NAW!B213,1,0)</f>
        <v>0</v>
      </c>
      <c r="AH213" s="841">
        <f t="shared" si="7"/>
        <v>0</v>
      </c>
    </row>
    <row r="214" spans="1:34" ht="12.75">
      <c r="A214">
        <v>17885</v>
      </c>
      <c r="B214" s="767">
        <v>622</v>
      </c>
      <c r="C214" s="133">
        <v>120</v>
      </c>
      <c r="D214" s="133" t="s">
        <v>1975</v>
      </c>
      <c r="E214" s="133" t="s">
        <v>1211</v>
      </c>
      <c r="F214" s="133" t="s">
        <v>2286</v>
      </c>
      <c r="G214" s="1064">
        <v>38353</v>
      </c>
      <c r="H214" s="133" t="s">
        <v>1761</v>
      </c>
      <c r="I214" s="133" t="s">
        <v>1761</v>
      </c>
      <c r="J214" s="133" t="s">
        <v>1940</v>
      </c>
      <c r="K214" s="133" t="s">
        <v>1211</v>
      </c>
      <c r="L214" s="133" t="s">
        <v>1916</v>
      </c>
      <c r="M214" s="133" t="s">
        <v>1917</v>
      </c>
      <c r="N214" s="133"/>
      <c r="O214" s="133" t="s">
        <v>382</v>
      </c>
      <c r="P214" s="133"/>
      <c r="Q214" s="133" t="s">
        <v>366</v>
      </c>
      <c r="R214" s="133"/>
      <c r="S214" s="133">
        <v>1</v>
      </c>
      <c r="T214" s="133">
        <v>3090</v>
      </c>
      <c r="U214" s="133">
        <v>0</v>
      </c>
      <c r="V214" s="133">
        <v>0</v>
      </c>
      <c r="W214" s="133">
        <v>0</v>
      </c>
      <c r="X214" s="133">
        <v>9176</v>
      </c>
      <c r="Y214" s="1065">
        <v>38292</v>
      </c>
      <c r="Z214" s="841"/>
      <c r="AA214" s="1088">
        <v>1</v>
      </c>
      <c r="AB214" s="1089">
        <f>IF('0000'!$A$3=B214,1,0)</f>
        <v>0</v>
      </c>
      <c r="AC214" s="1085"/>
      <c r="AD214" s="1085"/>
      <c r="AF214" s="767">
        <f t="shared" si="6"/>
        <v>1</v>
      </c>
      <c r="AG214" s="133">
        <f>IF(voorblad!$F$32=NAW!B214,1,0)</f>
        <v>0</v>
      </c>
      <c r="AH214" s="841">
        <f t="shared" si="7"/>
        <v>0</v>
      </c>
    </row>
    <row r="215" spans="1:34" ht="12.75">
      <c r="A215">
        <v>17996</v>
      </c>
      <c r="B215" s="767">
        <v>2404</v>
      </c>
      <c r="C215" s="133">
        <v>120</v>
      </c>
      <c r="D215" s="133" t="s">
        <v>1953</v>
      </c>
      <c r="E215" s="133" t="s">
        <v>1918</v>
      </c>
      <c r="F215" s="133" t="s">
        <v>2286</v>
      </c>
      <c r="G215" s="1064">
        <v>38353</v>
      </c>
      <c r="H215" s="133" t="s">
        <v>1761</v>
      </c>
      <c r="I215" s="133" t="s">
        <v>1761</v>
      </c>
      <c r="J215" s="133" t="s">
        <v>1940</v>
      </c>
      <c r="K215" s="133" t="s">
        <v>1919</v>
      </c>
      <c r="L215" s="133" t="s">
        <v>1920</v>
      </c>
      <c r="M215" s="133" t="s">
        <v>1921</v>
      </c>
      <c r="N215" s="133"/>
      <c r="O215" s="133" t="s">
        <v>1922</v>
      </c>
      <c r="P215" s="133" t="s">
        <v>1923</v>
      </c>
      <c r="Q215" s="133" t="s">
        <v>1359</v>
      </c>
      <c r="R215" s="133"/>
      <c r="S215" s="133">
        <v>1</v>
      </c>
      <c r="T215" s="133">
        <v>3300</v>
      </c>
      <c r="U215" s="133">
        <v>0</v>
      </c>
      <c r="V215" s="133">
        <v>0</v>
      </c>
      <c r="W215" s="133">
        <v>0</v>
      </c>
      <c r="X215" s="133">
        <v>9037</v>
      </c>
      <c r="Y215" s="1065">
        <v>37987</v>
      </c>
      <c r="Z215" s="841"/>
      <c r="AA215" s="1088">
        <v>1</v>
      </c>
      <c r="AB215" s="1089">
        <f>IF('0000'!$A$3=B215,1,0)</f>
        <v>0</v>
      </c>
      <c r="AC215" s="1085"/>
      <c r="AD215" s="1085"/>
      <c r="AF215" s="767">
        <f t="shared" si="6"/>
        <v>0</v>
      </c>
      <c r="AG215" s="133">
        <f>IF(voorblad!$F$32=NAW!B215,1,0)</f>
        <v>0</v>
      </c>
      <c r="AH215" s="841">
        <f t="shared" si="7"/>
        <v>0</v>
      </c>
    </row>
    <row r="216" spans="1:34" ht="12.75">
      <c r="A216">
        <v>18026</v>
      </c>
      <c r="B216" s="767">
        <v>1317</v>
      </c>
      <c r="C216" s="133">
        <v>120</v>
      </c>
      <c r="D216" s="133" t="s">
        <v>839</v>
      </c>
      <c r="E216" s="133" t="s">
        <v>1924</v>
      </c>
      <c r="F216" s="133" t="s">
        <v>2286</v>
      </c>
      <c r="G216" s="1065">
        <v>38353</v>
      </c>
      <c r="H216" s="133" t="s">
        <v>1761</v>
      </c>
      <c r="I216" s="133" t="s">
        <v>1761</v>
      </c>
      <c r="J216" s="133" t="s">
        <v>1940</v>
      </c>
      <c r="K216" s="133" t="s">
        <v>1925</v>
      </c>
      <c r="L216" s="133" t="s">
        <v>1926</v>
      </c>
      <c r="M216" s="133" t="s">
        <v>1927</v>
      </c>
      <c r="N216" s="133"/>
      <c r="O216" s="133" t="s">
        <v>1178</v>
      </c>
      <c r="P216" s="133"/>
      <c r="Q216" s="133" t="s">
        <v>1162</v>
      </c>
      <c r="R216" s="133"/>
      <c r="S216" s="133">
        <v>1</v>
      </c>
      <c r="T216" s="133">
        <v>3150</v>
      </c>
      <c r="U216" s="133">
        <v>0</v>
      </c>
      <c r="V216" s="133">
        <v>0</v>
      </c>
      <c r="W216" s="133">
        <v>0</v>
      </c>
      <c r="X216" s="133">
        <v>0</v>
      </c>
      <c r="Y216" s="1065">
        <v>38353</v>
      </c>
      <c r="Z216" s="841"/>
      <c r="AA216" s="1088">
        <v>1</v>
      </c>
      <c r="AB216" s="1089">
        <f>IF('0000'!$A$3=B216,1,0)</f>
        <v>0</v>
      </c>
      <c r="AC216" s="1085"/>
      <c r="AD216" s="1085"/>
      <c r="AF216" s="767">
        <f t="shared" si="6"/>
        <v>1</v>
      </c>
      <c r="AG216" s="133">
        <f>IF(voorblad!$F$32=NAW!B216,1,0)</f>
        <v>0</v>
      </c>
      <c r="AH216" s="841">
        <f t="shared" si="7"/>
        <v>0</v>
      </c>
    </row>
    <row r="217" spans="1:34" ht="12.75">
      <c r="A217">
        <v>18027</v>
      </c>
      <c r="B217" s="767">
        <v>623</v>
      </c>
      <c r="C217" s="133">
        <v>120</v>
      </c>
      <c r="D217" s="133" t="s">
        <v>1975</v>
      </c>
      <c r="E217" s="133" t="s">
        <v>1212</v>
      </c>
      <c r="F217" s="133" t="s">
        <v>1761</v>
      </c>
      <c r="G217" s="133" t="s">
        <v>1928</v>
      </c>
      <c r="H217" s="133" t="s">
        <v>1761</v>
      </c>
      <c r="I217" s="133" t="s">
        <v>1761</v>
      </c>
      <c r="J217" s="133" t="s">
        <v>1940</v>
      </c>
      <c r="K217" s="133" t="s">
        <v>1929</v>
      </c>
      <c r="L217" s="133" t="s">
        <v>1930</v>
      </c>
      <c r="M217" s="133" t="s">
        <v>1931</v>
      </c>
      <c r="N217" s="133"/>
      <c r="O217" s="133" t="s">
        <v>1881</v>
      </c>
      <c r="P217" s="133"/>
      <c r="Q217" s="133" t="s">
        <v>249</v>
      </c>
      <c r="R217" s="133"/>
      <c r="S217" s="133">
        <v>1</v>
      </c>
      <c r="T217" s="133">
        <v>3100</v>
      </c>
      <c r="U217" s="133">
        <v>0</v>
      </c>
      <c r="V217" s="133">
        <v>0</v>
      </c>
      <c r="W217" s="133">
        <v>0</v>
      </c>
      <c r="X217" s="133">
        <v>9176</v>
      </c>
      <c r="Y217" s="1065">
        <v>38261</v>
      </c>
      <c r="Z217" s="841"/>
      <c r="AA217" s="1088">
        <v>1</v>
      </c>
      <c r="AB217" s="1089">
        <f>IF('0000'!$A$3=B217,1,0)</f>
        <v>0</v>
      </c>
      <c r="AC217" s="1085"/>
      <c r="AD217" s="1085"/>
      <c r="AF217" s="767">
        <f t="shared" si="6"/>
        <v>0</v>
      </c>
      <c r="AG217" s="133">
        <f>IF(voorblad!$F$32=NAW!B217,1,0)</f>
        <v>0</v>
      </c>
      <c r="AH217" s="841">
        <f t="shared" si="7"/>
        <v>0</v>
      </c>
    </row>
    <row r="218" spans="1:34" ht="12.75">
      <c r="A218">
        <v>18028</v>
      </c>
      <c r="B218" s="767">
        <v>1750</v>
      </c>
      <c r="C218" s="133">
        <v>120</v>
      </c>
      <c r="D218" s="133" t="s">
        <v>1953</v>
      </c>
      <c r="E218" s="133" t="s">
        <v>1932</v>
      </c>
      <c r="F218" s="133" t="s">
        <v>2286</v>
      </c>
      <c r="G218" s="1065">
        <v>38353</v>
      </c>
      <c r="H218" s="133" t="s">
        <v>1761</v>
      </c>
      <c r="I218" s="133" t="s">
        <v>1761</v>
      </c>
      <c r="J218" s="133"/>
      <c r="K218" s="133" t="s">
        <v>1932</v>
      </c>
      <c r="L218" s="133" t="s">
        <v>1933</v>
      </c>
      <c r="M218" s="133" t="s">
        <v>1934</v>
      </c>
      <c r="N218" s="133"/>
      <c r="O218" s="133" t="s">
        <v>1191</v>
      </c>
      <c r="P218" s="133"/>
      <c r="Q218" s="133" t="s">
        <v>1549</v>
      </c>
      <c r="R218" s="133"/>
      <c r="S218" s="133">
        <v>1</v>
      </c>
      <c r="T218" s="133">
        <v>3210</v>
      </c>
      <c r="U218" s="133">
        <v>0</v>
      </c>
      <c r="V218" s="133">
        <v>0</v>
      </c>
      <c r="W218" s="133">
        <v>0</v>
      </c>
      <c r="X218" s="133">
        <v>7135</v>
      </c>
      <c r="Y218" s="1065">
        <v>38353</v>
      </c>
      <c r="Z218" s="841"/>
      <c r="AA218" s="1088">
        <v>1</v>
      </c>
      <c r="AB218" s="1089">
        <f>IF('0000'!$A$3=B218,1,0)</f>
        <v>0</v>
      </c>
      <c r="AC218" s="1085"/>
      <c r="AD218" s="1085"/>
      <c r="AF218" s="767">
        <f t="shared" si="6"/>
        <v>1</v>
      </c>
      <c r="AG218" s="133">
        <f>IF(voorblad!$F$32=NAW!B218,1,0)</f>
        <v>0</v>
      </c>
      <c r="AH218" s="841">
        <f t="shared" si="7"/>
        <v>0</v>
      </c>
    </row>
    <row r="219" spans="1:34" ht="12.75">
      <c r="A219">
        <v>18080</v>
      </c>
      <c r="B219" s="767">
        <v>624</v>
      </c>
      <c r="C219" s="133">
        <v>120</v>
      </c>
      <c r="D219" s="133" t="s">
        <v>1975</v>
      </c>
      <c r="E219" s="133" t="s">
        <v>1935</v>
      </c>
      <c r="F219" s="133" t="s">
        <v>2286</v>
      </c>
      <c r="G219" s="1065">
        <v>38534</v>
      </c>
      <c r="H219" s="133" t="s">
        <v>1761</v>
      </c>
      <c r="I219" s="133" t="s">
        <v>1761</v>
      </c>
      <c r="J219" s="133" t="s">
        <v>1940</v>
      </c>
      <c r="K219" s="133" t="s">
        <v>1936</v>
      </c>
      <c r="L219" s="133" t="s">
        <v>1937</v>
      </c>
      <c r="M219" s="133" t="s">
        <v>1938</v>
      </c>
      <c r="N219" s="133"/>
      <c r="O219" s="133" t="s">
        <v>1979</v>
      </c>
      <c r="P219" s="133"/>
      <c r="Q219" s="133" t="s">
        <v>1963</v>
      </c>
      <c r="R219" s="133"/>
      <c r="S219" s="133">
        <v>1</v>
      </c>
      <c r="T219" s="133">
        <v>3040</v>
      </c>
      <c r="U219" s="133">
        <v>0</v>
      </c>
      <c r="V219" s="133">
        <v>0</v>
      </c>
      <c r="W219" s="133">
        <v>0</v>
      </c>
      <c r="X219" s="133">
        <v>9176</v>
      </c>
      <c r="Y219" s="1065">
        <v>38534</v>
      </c>
      <c r="Z219" s="841"/>
      <c r="AA219" s="1088">
        <v>1</v>
      </c>
      <c r="AB219" s="1089">
        <f>IF('0000'!$A$3=B219,1,0)</f>
        <v>0</v>
      </c>
      <c r="AC219" s="1085"/>
      <c r="AD219" s="1085"/>
      <c r="AF219" s="767">
        <f t="shared" si="6"/>
        <v>0</v>
      </c>
      <c r="AG219" s="133">
        <f>IF(voorblad!$F$32=NAW!B219,1,0)</f>
        <v>0</v>
      </c>
      <c r="AH219" s="841">
        <f t="shared" si="7"/>
        <v>0</v>
      </c>
    </row>
    <row r="220" spans="1:34" ht="12.75">
      <c r="A220">
        <v>18081</v>
      </c>
      <c r="B220" s="767">
        <v>625</v>
      </c>
      <c r="C220" s="133">
        <v>120</v>
      </c>
      <c r="D220" s="133" t="s">
        <v>1975</v>
      </c>
      <c r="E220" s="133" t="s">
        <v>1939</v>
      </c>
      <c r="F220" s="133" t="s">
        <v>2286</v>
      </c>
      <c r="G220" s="1065">
        <v>38534</v>
      </c>
      <c r="H220" s="133" t="s">
        <v>1761</v>
      </c>
      <c r="I220" s="133" t="s">
        <v>1761</v>
      </c>
      <c r="J220" s="133" t="s">
        <v>1940</v>
      </c>
      <c r="K220" s="133" t="s">
        <v>1420</v>
      </c>
      <c r="L220" s="133" t="s">
        <v>1421</v>
      </c>
      <c r="M220" s="133" t="s">
        <v>1422</v>
      </c>
      <c r="N220" s="133"/>
      <c r="O220" s="133" t="s">
        <v>1423</v>
      </c>
      <c r="P220" s="133"/>
      <c r="Q220" s="133" t="s">
        <v>1162</v>
      </c>
      <c r="R220" s="133"/>
      <c r="S220" s="133">
        <v>1</v>
      </c>
      <c r="T220" s="133">
        <v>3160</v>
      </c>
      <c r="U220" s="133">
        <v>0</v>
      </c>
      <c r="V220" s="133">
        <v>0</v>
      </c>
      <c r="W220" s="133">
        <v>0</v>
      </c>
      <c r="X220" s="133">
        <v>9176</v>
      </c>
      <c r="Y220" s="1065">
        <v>38534</v>
      </c>
      <c r="Z220" s="841"/>
      <c r="AA220" s="1088">
        <v>1</v>
      </c>
      <c r="AB220" s="1089">
        <f>IF('0000'!$A$3=B220,1,0)</f>
        <v>0</v>
      </c>
      <c r="AC220" s="1085"/>
      <c r="AD220" s="1085"/>
      <c r="AF220" s="767">
        <f t="shared" si="6"/>
        <v>0</v>
      </c>
      <c r="AG220" s="133">
        <f>IF(voorblad!$F$32=NAW!B220,1,0)</f>
        <v>0</v>
      </c>
      <c r="AH220" s="841">
        <f t="shared" si="7"/>
        <v>0</v>
      </c>
    </row>
    <row r="221" spans="1:34" ht="12.75">
      <c r="A221">
        <v>18097</v>
      </c>
      <c r="B221" s="767">
        <v>626</v>
      </c>
      <c r="C221" s="133">
        <v>120</v>
      </c>
      <c r="D221" s="133" t="s">
        <v>1975</v>
      </c>
      <c r="E221" s="133" t="s">
        <v>1424</v>
      </c>
      <c r="F221" s="133" t="s">
        <v>2286</v>
      </c>
      <c r="G221" s="1065">
        <v>38626</v>
      </c>
      <c r="H221" s="133" t="s">
        <v>1761</v>
      </c>
      <c r="I221" s="133" t="s">
        <v>1761</v>
      </c>
      <c r="J221" s="133" t="s">
        <v>1940</v>
      </c>
      <c r="K221" s="133" t="s">
        <v>650</v>
      </c>
      <c r="L221" s="133" t="s">
        <v>651</v>
      </c>
      <c r="M221" s="133" t="s">
        <v>652</v>
      </c>
      <c r="N221" s="133"/>
      <c r="O221" s="133" t="s">
        <v>754</v>
      </c>
      <c r="P221" s="133"/>
      <c r="Q221" s="133" t="s">
        <v>1549</v>
      </c>
      <c r="R221" s="133"/>
      <c r="S221" s="133">
        <v>1</v>
      </c>
      <c r="T221" s="133">
        <v>3180</v>
      </c>
      <c r="U221" s="133">
        <v>0</v>
      </c>
      <c r="V221" s="133">
        <v>0</v>
      </c>
      <c r="W221" s="133">
        <v>0</v>
      </c>
      <c r="X221" s="133">
        <v>9176</v>
      </c>
      <c r="Y221" s="1065">
        <v>38626</v>
      </c>
      <c r="Z221" s="841"/>
      <c r="AA221" s="1088">
        <v>1</v>
      </c>
      <c r="AB221" s="1089">
        <f>IF('0000'!$A$3=B221,1,0)</f>
        <v>0</v>
      </c>
      <c r="AC221" s="1085"/>
      <c r="AD221" s="1085"/>
      <c r="AF221" s="767">
        <f t="shared" si="6"/>
        <v>1</v>
      </c>
      <c r="AG221" s="133">
        <f>IF(voorblad!$F$32=NAW!B221,1,0)</f>
        <v>0</v>
      </c>
      <c r="AH221" s="841">
        <f t="shared" si="7"/>
        <v>0</v>
      </c>
    </row>
    <row r="222" spans="1:34" ht="12.75">
      <c r="A222">
        <v>18104</v>
      </c>
      <c r="B222" s="767">
        <v>2500</v>
      </c>
      <c r="C222" s="133">
        <v>120</v>
      </c>
      <c r="D222" s="133" t="s">
        <v>2066</v>
      </c>
      <c r="E222" s="133" t="s">
        <v>653</v>
      </c>
      <c r="F222" s="133" t="s">
        <v>1761</v>
      </c>
      <c r="G222" s="133" t="s">
        <v>1928</v>
      </c>
      <c r="H222" s="133" t="s">
        <v>1761</v>
      </c>
      <c r="I222" s="133" t="s">
        <v>1761</v>
      </c>
      <c r="J222" s="133" t="s">
        <v>1940</v>
      </c>
      <c r="K222" s="133" t="s">
        <v>654</v>
      </c>
      <c r="L222" s="133" t="s">
        <v>655</v>
      </c>
      <c r="M222" s="133" t="s">
        <v>656</v>
      </c>
      <c r="N222" s="133"/>
      <c r="O222" s="133" t="s">
        <v>1364</v>
      </c>
      <c r="P222" s="133"/>
      <c r="Q222" s="133" t="s">
        <v>1359</v>
      </c>
      <c r="R222" s="133" t="s">
        <v>657</v>
      </c>
      <c r="S222" s="133">
        <v>1</v>
      </c>
      <c r="T222" s="133">
        <v>3310</v>
      </c>
      <c r="U222" s="133">
        <v>0</v>
      </c>
      <c r="V222" s="133">
        <v>0</v>
      </c>
      <c r="W222" s="133">
        <v>0</v>
      </c>
      <c r="X222" s="133">
        <v>0</v>
      </c>
      <c r="Y222" s="1065">
        <v>38353</v>
      </c>
      <c r="Z222" s="841"/>
      <c r="AA222" s="1088">
        <v>1</v>
      </c>
      <c r="AB222" s="1089">
        <f>IF('0000'!$A$3=B222,1,0)</f>
        <v>0</v>
      </c>
      <c r="AC222" s="1085"/>
      <c r="AD222" s="1085"/>
      <c r="AF222" s="767">
        <f t="shared" si="6"/>
        <v>0</v>
      </c>
      <c r="AG222" s="133">
        <f>IF(voorblad!$F$32=NAW!B222,1,0)</f>
        <v>0</v>
      </c>
      <c r="AH222" s="841">
        <f t="shared" si="7"/>
        <v>0</v>
      </c>
    </row>
    <row r="223" spans="1:34" ht="12.75">
      <c r="A223">
        <v>18152</v>
      </c>
      <c r="B223" s="767">
        <v>825</v>
      </c>
      <c r="C223">
        <v>120</v>
      </c>
      <c r="D223" t="s">
        <v>839</v>
      </c>
      <c r="E223" t="s">
        <v>175</v>
      </c>
      <c r="F223" t="s">
        <v>2286</v>
      </c>
      <c r="G223" s="1049">
        <v>38718</v>
      </c>
      <c r="H223" t="s">
        <v>1761</v>
      </c>
      <c r="I223" t="s">
        <v>1761</v>
      </c>
      <c r="J223" t="s">
        <v>1940</v>
      </c>
      <c r="K223" t="s">
        <v>176</v>
      </c>
      <c r="L223" t="s">
        <v>1863</v>
      </c>
      <c r="M223" t="s">
        <v>1864</v>
      </c>
      <c r="O223" t="s">
        <v>1145</v>
      </c>
      <c r="P223" t="s">
        <v>1865</v>
      </c>
      <c r="Q223" t="s">
        <v>366</v>
      </c>
      <c r="R223" t="s">
        <v>1866</v>
      </c>
      <c r="S223">
        <v>1</v>
      </c>
      <c r="T223">
        <v>3090</v>
      </c>
      <c r="U223">
        <v>0</v>
      </c>
      <c r="V223">
        <v>0</v>
      </c>
      <c r="W223">
        <v>0</v>
      </c>
      <c r="X223">
        <v>0</v>
      </c>
      <c r="Y223" s="1049">
        <v>38718</v>
      </c>
      <c r="Z223" s="841"/>
      <c r="AA223" s="1088"/>
      <c r="AB223" s="1089"/>
      <c r="AC223" s="1085"/>
      <c r="AD223" s="1085"/>
      <c r="AF223" s="767">
        <f t="shared" si="6"/>
        <v>1</v>
      </c>
      <c r="AG223" s="133">
        <f>IF(voorblad!$F$32=NAW!B223,1,0)</f>
        <v>0</v>
      </c>
      <c r="AH223" s="841">
        <f t="shared" si="7"/>
        <v>0</v>
      </c>
    </row>
    <row r="224" spans="1:34" ht="12.75">
      <c r="A224">
        <v>18201</v>
      </c>
      <c r="B224">
        <v>2102</v>
      </c>
      <c r="C224">
        <v>120</v>
      </c>
      <c r="D224" t="s">
        <v>839</v>
      </c>
      <c r="E224" t="s">
        <v>2076</v>
      </c>
      <c r="F224" t="s">
        <v>2286</v>
      </c>
      <c r="G224" s="1049">
        <v>38353</v>
      </c>
      <c r="H224" t="s">
        <v>1761</v>
      </c>
      <c r="I224" t="s">
        <v>1761</v>
      </c>
      <c r="J224" t="s">
        <v>1940</v>
      </c>
      <c r="K224" t="s">
        <v>2077</v>
      </c>
      <c r="L224" t="s">
        <v>2078</v>
      </c>
      <c r="M224" t="s">
        <v>2079</v>
      </c>
      <c r="O224" t="s">
        <v>1346</v>
      </c>
      <c r="Q224" t="s">
        <v>2286</v>
      </c>
      <c r="R224" t="s">
        <v>2080</v>
      </c>
      <c r="S224">
        <v>1</v>
      </c>
      <c r="T224">
        <v>3270</v>
      </c>
      <c r="U224">
        <v>0</v>
      </c>
      <c r="V224">
        <v>0</v>
      </c>
      <c r="W224">
        <v>0</v>
      </c>
      <c r="X224">
        <v>0</v>
      </c>
      <c r="Y224" s="1049">
        <v>38353</v>
      </c>
      <c r="AA224" s="1088">
        <v>1</v>
      </c>
      <c r="AB224" s="1089">
        <f>IF('0000'!$A$3=B224,1,0)</f>
        <v>0</v>
      </c>
      <c r="AF224" s="767">
        <f aca="true" t="shared" si="8" ref="AF224:AF234">IF(OR(T224=$AF$241,T224=$AF$242,T224=$AF$243,T224=$AF$244),1,0)</f>
        <v>0</v>
      </c>
      <c r="AG224" s="133">
        <f>IF(voorblad!$F$32=NAW!B224,1,0)</f>
        <v>0</v>
      </c>
      <c r="AH224" s="841">
        <f aca="true" t="shared" si="9" ref="AH224:AH234">IF(AF224+AG224=2,1,0)</f>
        <v>0</v>
      </c>
    </row>
    <row r="225" spans="1:34" ht="12.75">
      <c r="A225">
        <v>18308</v>
      </c>
      <c r="B225">
        <v>627</v>
      </c>
      <c r="C225">
        <v>120</v>
      </c>
      <c r="D225" t="s">
        <v>1975</v>
      </c>
      <c r="E225" t="s">
        <v>2081</v>
      </c>
      <c r="F225" t="s">
        <v>2286</v>
      </c>
      <c r="G225" s="1049">
        <v>38687</v>
      </c>
      <c r="H225" t="s">
        <v>1761</v>
      </c>
      <c r="I225" t="s">
        <v>1761</v>
      </c>
      <c r="J225" t="s">
        <v>1940</v>
      </c>
      <c r="K225" t="s">
        <v>2082</v>
      </c>
      <c r="L225" t="s">
        <v>2083</v>
      </c>
      <c r="M225" t="s">
        <v>2084</v>
      </c>
      <c r="O225" t="s">
        <v>99</v>
      </c>
      <c r="Q225" t="s">
        <v>1162</v>
      </c>
      <c r="S225">
        <v>1</v>
      </c>
      <c r="T225">
        <v>3150</v>
      </c>
      <c r="U225">
        <v>0</v>
      </c>
      <c r="V225">
        <v>0</v>
      </c>
      <c r="W225">
        <v>0</v>
      </c>
      <c r="X225">
        <v>9176</v>
      </c>
      <c r="Y225" s="1049">
        <v>38687</v>
      </c>
      <c r="AA225" s="1088">
        <v>1</v>
      </c>
      <c r="AB225" s="1089">
        <f>IF('0000'!$A$3=B225,1,0)</f>
        <v>0</v>
      </c>
      <c r="AF225" s="767">
        <f t="shared" si="8"/>
        <v>1</v>
      </c>
      <c r="AG225" s="133">
        <f>IF(voorblad!$F$32=NAW!B225,1,0)</f>
        <v>0</v>
      </c>
      <c r="AH225" s="841">
        <f t="shared" si="9"/>
        <v>0</v>
      </c>
    </row>
    <row r="226" spans="1:34" ht="12.75">
      <c r="A226">
        <v>18351</v>
      </c>
      <c r="B226">
        <v>1730</v>
      </c>
      <c r="C226">
        <v>120</v>
      </c>
      <c r="D226" t="s">
        <v>1953</v>
      </c>
      <c r="E226" t="s">
        <v>2085</v>
      </c>
      <c r="F226" t="s">
        <v>2286</v>
      </c>
      <c r="G226" s="1049">
        <v>38718</v>
      </c>
      <c r="H226" t="s">
        <v>1761</v>
      </c>
      <c r="I226" t="s">
        <v>1761</v>
      </c>
      <c r="J226" t="s">
        <v>1940</v>
      </c>
      <c r="K226" t="s">
        <v>2086</v>
      </c>
      <c r="L226" t="s">
        <v>431</v>
      </c>
      <c r="M226" t="s">
        <v>432</v>
      </c>
      <c r="O226" t="s">
        <v>1593</v>
      </c>
      <c r="P226" t="s">
        <v>2087</v>
      </c>
      <c r="Q226" t="s">
        <v>1549</v>
      </c>
      <c r="R226" t="s">
        <v>433</v>
      </c>
      <c r="S226">
        <v>1</v>
      </c>
      <c r="T226">
        <v>3230</v>
      </c>
      <c r="U226">
        <v>0</v>
      </c>
      <c r="V226">
        <v>0</v>
      </c>
      <c r="W226">
        <v>0</v>
      </c>
      <c r="X226">
        <v>0</v>
      </c>
      <c r="Y226" s="1049">
        <v>38718</v>
      </c>
      <c r="AA226" s="1088"/>
      <c r="AB226" s="1089"/>
      <c r="AF226" s="767">
        <f t="shared" si="8"/>
        <v>0</v>
      </c>
      <c r="AG226" s="133">
        <f>IF(voorblad!$F$32=NAW!B226,1,0)</f>
        <v>0</v>
      </c>
      <c r="AH226" s="841">
        <f t="shared" si="9"/>
        <v>0</v>
      </c>
    </row>
    <row r="227" spans="1:34" ht="12.75">
      <c r="A227">
        <v>18403</v>
      </c>
      <c r="B227">
        <v>205</v>
      </c>
      <c r="C227">
        <v>120</v>
      </c>
      <c r="D227" t="s">
        <v>1953</v>
      </c>
      <c r="E227" t="s">
        <v>2088</v>
      </c>
      <c r="F227" t="s">
        <v>2286</v>
      </c>
      <c r="G227" s="1049">
        <v>38687</v>
      </c>
      <c r="H227" t="s">
        <v>1761</v>
      </c>
      <c r="I227" t="s">
        <v>1761</v>
      </c>
      <c r="J227" t="s">
        <v>1940</v>
      </c>
      <c r="K227" t="s">
        <v>2089</v>
      </c>
      <c r="L227" t="s">
        <v>2090</v>
      </c>
      <c r="M227" t="s">
        <v>2091</v>
      </c>
      <c r="O227" t="s">
        <v>1385</v>
      </c>
      <c r="P227" t="s">
        <v>2092</v>
      </c>
      <c r="Q227" t="s">
        <v>1957</v>
      </c>
      <c r="R227" t="s">
        <v>2093</v>
      </c>
      <c r="S227">
        <v>1</v>
      </c>
      <c r="T227">
        <v>3020</v>
      </c>
      <c r="U227">
        <v>0</v>
      </c>
      <c r="V227">
        <v>0</v>
      </c>
      <c r="W227">
        <v>0</v>
      </c>
      <c r="X227">
        <v>0</v>
      </c>
      <c r="Y227" s="1049">
        <v>38687</v>
      </c>
      <c r="AA227" s="1088">
        <v>1</v>
      </c>
      <c r="AB227" s="1089">
        <f>IF('0000'!$A$3=B227,1,0)</f>
        <v>0</v>
      </c>
      <c r="AF227" s="767">
        <f t="shared" si="8"/>
        <v>0</v>
      </c>
      <c r="AG227" s="133">
        <f>IF(voorblad!$F$32=NAW!B227,1,0)</f>
        <v>0</v>
      </c>
      <c r="AH227" s="841">
        <f t="shared" si="9"/>
        <v>0</v>
      </c>
    </row>
    <row r="228" spans="1:34" ht="12.75">
      <c r="A228">
        <v>18404</v>
      </c>
      <c r="B228">
        <v>206</v>
      </c>
      <c r="C228">
        <v>120</v>
      </c>
      <c r="D228" t="s">
        <v>1953</v>
      </c>
      <c r="E228" t="s">
        <v>2094</v>
      </c>
      <c r="F228" t="s">
        <v>2286</v>
      </c>
      <c r="G228" s="1049">
        <v>38718</v>
      </c>
      <c r="H228" t="s">
        <v>1761</v>
      </c>
      <c r="I228" t="s">
        <v>1761</v>
      </c>
      <c r="J228" t="s">
        <v>1940</v>
      </c>
      <c r="K228" t="s">
        <v>2095</v>
      </c>
      <c r="L228" t="s">
        <v>2096</v>
      </c>
      <c r="M228" t="s">
        <v>2097</v>
      </c>
      <c r="O228" t="s">
        <v>1385</v>
      </c>
      <c r="P228" t="s">
        <v>2098</v>
      </c>
      <c r="Q228" t="s">
        <v>1957</v>
      </c>
      <c r="R228" t="s">
        <v>2099</v>
      </c>
      <c r="S228">
        <v>1</v>
      </c>
      <c r="T228">
        <v>3020</v>
      </c>
      <c r="U228">
        <v>0</v>
      </c>
      <c r="V228">
        <v>0</v>
      </c>
      <c r="W228">
        <v>0</v>
      </c>
      <c r="X228">
        <v>0</v>
      </c>
      <c r="Y228" s="1049">
        <v>38718</v>
      </c>
      <c r="AA228" s="1088">
        <v>1</v>
      </c>
      <c r="AB228" s="1089">
        <f>IF('0000'!$A$3=B228,1,0)</f>
        <v>0</v>
      </c>
      <c r="AF228" s="767">
        <f t="shared" si="8"/>
        <v>0</v>
      </c>
      <c r="AG228" s="133">
        <f>IF(voorblad!$F$32=NAW!B228,1,0)</f>
        <v>0</v>
      </c>
      <c r="AH228" s="841">
        <f t="shared" si="9"/>
        <v>0</v>
      </c>
    </row>
    <row r="229" spans="1:34" ht="12.75">
      <c r="A229">
        <v>18409</v>
      </c>
      <c r="B229">
        <v>2210</v>
      </c>
      <c r="C229">
        <v>120</v>
      </c>
      <c r="D229" t="s">
        <v>1965</v>
      </c>
      <c r="E229" t="s">
        <v>2100</v>
      </c>
      <c r="F229" t="s">
        <v>2286</v>
      </c>
      <c r="G229" s="1049">
        <v>38718</v>
      </c>
      <c r="H229" t="s">
        <v>1761</v>
      </c>
      <c r="I229" t="s">
        <v>1761</v>
      </c>
      <c r="J229" t="s">
        <v>1940</v>
      </c>
      <c r="K229" t="s">
        <v>2101</v>
      </c>
      <c r="L229" t="s">
        <v>2102</v>
      </c>
      <c r="M229" t="s">
        <v>2103</v>
      </c>
      <c r="O229" t="s">
        <v>2104</v>
      </c>
      <c r="P229" t="s">
        <v>2105</v>
      </c>
      <c r="Q229" t="s">
        <v>2286</v>
      </c>
      <c r="S229">
        <v>1</v>
      </c>
      <c r="T229">
        <v>3280</v>
      </c>
      <c r="U229">
        <v>0</v>
      </c>
      <c r="V229">
        <v>0</v>
      </c>
      <c r="W229">
        <v>0</v>
      </c>
      <c r="X229">
        <v>0</v>
      </c>
      <c r="Y229" s="1049">
        <v>38718</v>
      </c>
      <c r="AA229" s="1088">
        <v>1</v>
      </c>
      <c r="AB229" s="1089">
        <f>IF('0000'!$A$3=B229,1,0)</f>
        <v>0</v>
      </c>
      <c r="AF229" s="767">
        <f t="shared" si="8"/>
        <v>0</v>
      </c>
      <c r="AG229" s="133">
        <f>IF(voorblad!$F$32=NAW!B229,1,0)</f>
        <v>0</v>
      </c>
      <c r="AH229" s="841">
        <f t="shared" si="9"/>
        <v>0</v>
      </c>
    </row>
    <row r="230" spans="1:34" ht="12.75">
      <c r="A230">
        <v>18426</v>
      </c>
      <c r="B230">
        <v>2505</v>
      </c>
      <c r="C230">
        <v>120</v>
      </c>
      <c r="D230" t="s">
        <v>2066</v>
      </c>
      <c r="E230" t="s">
        <v>2106</v>
      </c>
      <c r="F230" t="s">
        <v>2286</v>
      </c>
      <c r="G230" s="1049">
        <v>38626</v>
      </c>
      <c r="H230" t="s">
        <v>1761</v>
      </c>
      <c r="I230" t="s">
        <v>1761</v>
      </c>
      <c r="J230" t="s">
        <v>1940</v>
      </c>
      <c r="K230" t="s">
        <v>2107</v>
      </c>
      <c r="L230" t="s">
        <v>2108</v>
      </c>
      <c r="M230" t="s">
        <v>2109</v>
      </c>
      <c r="O230" t="s">
        <v>398</v>
      </c>
      <c r="P230" t="s">
        <v>399</v>
      </c>
      <c r="Q230" t="s">
        <v>1359</v>
      </c>
      <c r="R230" t="s">
        <v>2110</v>
      </c>
      <c r="S230">
        <v>1</v>
      </c>
      <c r="T230">
        <v>3310</v>
      </c>
      <c r="U230">
        <v>0</v>
      </c>
      <c r="V230">
        <v>0</v>
      </c>
      <c r="W230">
        <v>0</v>
      </c>
      <c r="X230">
        <v>0</v>
      </c>
      <c r="Y230" s="1049">
        <v>38626</v>
      </c>
      <c r="AA230" s="1088">
        <v>1</v>
      </c>
      <c r="AB230" s="1089">
        <f>IF('0000'!$A$3=B230,1,0)</f>
        <v>0</v>
      </c>
      <c r="AF230" s="767">
        <f t="shared" si="8"/>
        <v>0</v>
      </c>
      <c r="AG230" s="133">
        <f>IF(voorblad!$F$32=NAW!B230,1,0)</f>
        <v>0</v>
      </c>
      <c r="AH230" s="841">
        <f t="shared" si="9"/>
        <v>0</v>
      </c>
    </row>
    <row r="231" spans="1:34" ht="12.75">
      <c r="A231">
        <v>18437</v>
      </c>
      <c r="B231">
        <v>613</v>
      </c>
      <c r="C231">
        <v>120</v>
      </c>
      <c r="D231" t="s">
        <v>1239</v>
      </c>
      <c r="E231" t="s">
        <v>2111</v>
      </c>
      <c r="F231" t="s">
        <v>2286</v>
      </c>
      <c r="G231" s="1049">
        <v>38718</v>
      </c>
      <c r="H231" t="s">
        <v>1761</v>
      </c>
      <c r="I231" t="s">
        <v>1761</v>
      </c>
      <c r="J231" t="s">
        <v>387</v>
      </c>
      <c r="K231" t="s">
        <v>2112</v>
      </c>
      <c r="L231" t="s">
        <v>2113</v>
      </c>
      <c r="M231" t="s">
        <v>2114</v>
      </c>
      <c r="O231" t="s">
        <v>2115</v>
      </c>
      <c r="P231" t="s">
        <v>2116</v>
      </c>
      <c r="Q231" t="s">
        <v>1971</v>
      </c>
      <c r="R231" t="s">
        <v>2117</v>
      </c>
      <c r="S231">
        <v>1</v>
      </c>
      <c r="T231">
        <v>3070</v>
      </c>
      <c r="U231">
        <v>0</v>
      </c>
      <c r="V231">
        <v>0</v>
      </c>
      <c r="W231">
        <v>0</v>
      </c>
      <c r="X231">
        <v>0</v>
      </c>
      <c r="Y231" s="1049">
        <v>38718</v>
      </c>
      <c r="AA231" s="1088">
        <v>1</v>
      </c>
      <c r="AB231" s="1089">
        <f>IF('0000'!$A$3=B231,1,0)</f>
        <v>0</v>
      </c>
      <c r="AF231" s="767">
        <f t="shared" si="8"/>
        <v>0</v>
      </c>
      <c r="AG231" s="133">
        <f>IF(voorblad!$F$32=NAW!B231,1,0)</f>
        <v>0</v>
      </c>
      <c r="AH231" s="841">
        <f t="shared" si="9"/>
        <v>0</v>
      </c>
    </row>
    <row r="232" spans="1:34" ht="12.75">
      <c r="A232">
        <v>18468</v>
      </c>
      <c r="B232">
        <v>2308</v>
      </c>
      <c r="C232">
        <v>120</v>
      </c>
      <c r="D232" t="s">
        <v>2066</v>
      </c>
      <c r="E232" t="s">
        <v>2118</v>
      </c>
      <c r="F232" t="s">
        <v>2286</v>
      </c>
      <c r="G232" s="1049">
        <v>38718</v>
      </c>
      <c r="H232" t="s">
        <v>1761</v>
      </c>
      <c r="I232" t="s">
        <v>1761</v>
      </c>
      <c r="J232" t="s">
        <v>1940</v>
      </c>
      <c r="K232" t="s">
        <v>2119</v>
      </c>
      <c r="O232" t="s">
        <v>1351</v>
      </c>
      <c r="P232" t="s">
        <v>2120</v>
      </c>
      <c r="Q232" t="s">
        <v>2286</v>
      </c>
      <c r="S232">
        <v>1</v>
      </c>
      <c r="T232">
        <v>3290</v>
      </c>
      <c r="U232">
        <v>0</v>
      </c>
      <c r="V232">
        <v>0</v>
      </c>
      <c r="W232">
        <v>0</v>
      </c>
      <c r="X232">
        <v>9039</v>
      </c>
      <c r="Y232" s="1049">
        <v>38718</v>
      </c>
      <c r="AA232" s="1088">
        <v>1</v>
      </c>
      <c r="AB232" s="1089">
        <f>IF('0000'!$A$3=B232,1,0)</f>
        <v>0</v>
      </c>
      <c r="AF232" s="767">
        <f t="shared" si="8"/>
        <v>0</v>
      </c>
      <c r="AG232" s="133">
        <f>IF(voorblad!$F$32=NAW!B232,1,0)</f>
        <v>0</v>
      </c>
      <c r="AH232" s="841">
        <f t="shared" si="9"/>
        <v>0</v>
      </c>
    </row>
    <row r="233" spans="1:34" ht="12.75">
      <c r="A233">
        <v>18545</v>
      </c>
      <c r="B233">
        <v>600</v>
      </c>
      <c r="C233">
        <v>120</v>
      </c>
      <c r="D233" t="s">
        <v>1975</v>
      </c>
      <c r="E233" t="s">
        <v>2121</v>
      </c>
      <c r="F233" t="s">
        <v>1761</v>
      </c>
      <c r="G233" t="s">
        <v>1928</v>
      </c>
      <c r="H233" t="s">
        <v>1761</v>
      </c>
      <c r="I233" t="s">
        <v>1761</v>
      </c>
      <c r="J233" t="s">
        <v>387</v>
      </c>
      <c r="K233" t="s">
        <v>2122</v>
      </c>
      <c r="L233" t="s">
        <v>2123</v>
      </c>
      <c r="M233" t="s">
        <v>2124</v>
      </c>
      <c r="O233" t="s">
        <v>165</v>
      </c>
      <c r="P233" t="s">
        <v>2125</v>
      </c>
      <c r="Q233" t="s">
        <v>1971</v>
      </c>
      <c r="R233" t="s">
        <v>2126</v>
      </c>
      <c r="S233">
        <v>1</v>
      </c>
      <c r="T233">
        <v>3070</v>
      </c>
      <c r="U233">
        <v>0</v>
      </c>
      <c r="V233">
        <v>0</v>
      </c>
      <c r="W233">
        <v>0</v>
      </c>
      <c r="X233">
        <v>0</v>
      </c>
      <c r="Y233" s="1049">
        <v>38718</v>
      </c>
      <c r="AA233" s="1088">
        <v>1</v>
      </c>
      <c r="AB233" s="1089">
        <f>IF('0000'!$A$3=B233,1,0)</f>
        <v>0</v>
      </c>
      <c r="AF233" s="767">
        <f t="shared" si="8"/>
        <v>0</v>
      </c>
      <c r="AG233" s="133">
        <f>IF(voorblad!$F$32=NAW!B233,1,0)</f>
        <v>0</v>
      </c>
      <c r="AH233" s="841">
        <f t="shared" si="9"/>
        <v>0</v>
      </c>
    </row>
    <row r="234" spans="2:34" ht="12.75">
      <c r="B234" s="767">
        <v>9999</v>
      </c>
      <c r="C234" s="133"/>
      <c r="D234" s="133"/>
      <c r="E234" s="133" t="s">
        <v>1912</v>
      </c>
      <c r="F234" s="133"/>
      <c r="G234" s="133"/>
      <c r="H234" s="133"/>
      <c r="I234" s="133"/>
      <c r="J234" s="133"/>
      <c r="K234" s="133"/>
      <c r="L234" s="133"/>
      <c r="M234" s="133"/>
      <c r="N234" s="133"/>
      <c r="O234" s="133"/>
      <c r="P234" s="133"/>
      <c r="Q234" s="133"/>
      <c r="R234" s="133"/>
      <c r="S234" s="133"/>
      <c r="T234" s="133"/>
      <c r="U234" s="133"/>
      <c r="V234" s="133"/>
      <c r="W234" s="133"/>
      <c r="X234" s="133"/>
      <c r="Y234" s="133"/>
      <c r="Z234" s="841"/>
      <c r="AA234" s="1088">
        <v>1</v>
      </c>
      <c r="AB234" s="1089">
        <f>IF('0000'!$A$3=B234,1,0)</f>
        <v>0</v>
      </c>
      <c r="AC234" s="1085"/>
      <c r="AD234" s="1085"/>
      <c r="AF234" s="767">
        <f t="shared" si="8"/>
        <v>0</v>
      </c>
      <c r="AG234" s="133">
        <f>IF(voorblad!$F$32=NAW!B234,1,0)</f>
        <v>0</v>
      </c>
      <c r="AH234" s="841">
        <f t="shared" si="9"/>
        <v>0</v>
      </c>
    </row>
    <row r="235" spans="2:34" ht="12.75">
      <c r="B235" s="767"/>
      <c r="C235" s="133"/>
      <c r="D235" s="369" t="s">
        <v>2134</v>
      </c>
      <c r="E235" s="133"/>
      <c r="F235" s="133"/>
      <c r="G235" s="133"/>
      <c r="H235" s="133"/>
      <c r="I235" s="133"/>
      <c r="J235" s="133"/>
      <c r="K235" s="133"/>
      <c r="L235" s="133"/>
      <c r="M235" s="133"/>
      <c r="N235" s="133"/>
      <c r="O235" s="133"/>
      <c r="P235" s="133"/>
      <c r="Q235" s="133"/>
      <c r="R235" s="133"/>
      <c r="S235" s="133"/>
      <c r="T235" s="133" t="s">
        <v>2135</v>
      </c>
      <c r="U235" s="133"/>
      <c r="V235" s="133"/>
      <c r="W235" s="133"/>
      <c r="X235" s="133"/>
      <c r="Y235" s="133"/>
      <c r="Z235" s="841"/>
      <c r="AA235" s="767"/>
      <c r="AB235" s="841"/>
      <c r="AF235" s="767"/>
      <c r="AG235" s="133"/>
      <c r="AH235" s="841"/>
    </row>
    <row r="236" spans="2:34" ht="12.75">
      <c r="B236" s="767"/>
      <c r="C236" s="133"/>
      <c r="D236" s="133"/>
      <c r="E236" s="133"/>
      <c r="F236" s="133"/>
      <c r="G236" s="133"/>
      <c r="H236" s="133"/>
      <c r="I236" s="133"/>
      <c r="J236" s="133"/>
      <c r="K236" s="133"/>
      <c r="L236" s="133"/>
      <c r="M236" s="133"/>
      <c r="N236" s="133"/>
      <c r="O236" s="133"/>
      <c r="P236" s="133"/>
      <c r="Q236" s="133"/>
      <c r="R236" s="133"/>
      <c r="S236" s="133"/>
      <c r="T236" s="133"/>
      <c r="U236" s="133"/>
      <c r="V236" s="133"/>
      <c r="W236" s="133"/>
      <c r="X236" s="133"/>
      <c r="Y236" s="133"/>
      <c r="Z236" s="841"/>
      <c r="AA236" s="767"/>
      <c r="AB236" s="841"/>
      <c r="AF236" s="767"/>
      <c r="AG236" s="133"/>
      <c r="AH236" s="841"/>
    </row>
    <row r="237" spans="2:34" ht="12.75">
      <c r="B237" s="767"/>
      <c r="C237" s="133"/>
      <c r="D237" s="133"/>
      <c r="E237" s="133"/>
      <c r="F237" s="133"/>
      <c r="G237" s="133"/>
      <c r="H237" s="133"/>
      <c r="I237" s="133"/>
      <c r="J237" s="133"/>
      <c r="K237" s="133"/>
      <c r="L237" s="133"/>
      <c r="M237" s="133"/>
      <c r="N237" s="133"/>
      <c r="O237" s="133"/>
      <c r="P237" s="133"/>
      <c r="Q237" s="133"/>
      <c r="R237" s="133"/>
      <c r="S237" s="133"/>
      <c r="T237" s="133"/>
      <c r="U237" s="133"/>
      <c r="V237" s="133"/>
      <c r="W237" s="133"/>
      <c r="X237" s="133"/>
      <c r="Y237" s="133"/>
      <c r="Z237" s="841"/>
      <c r="AA237" s="767"/>
      <c r="AB237" s="841"/>
      <c r="AF237" s="767"/>
      <c r="AG237" s="133"/>
      <c r="AH237" s="841"/>
    </row>
    <row r="238" spans="2:34" ht="12.75">
      <c r="B238" s="767"/>
      <c r="C238" s="133"/>
      <c r="D238" s="133"/>
      <c r="E238" s="133"/>
      <c r="F238" s="133"/>
      <c r="G238" s="133"/>
      <c r="H238" s="133"/>
      <c r="I238" s="133"/>
      <c r="J238" s="133"/>
      <c r="K238" s="133"/>
      <c r="L238" s="133"/>
      <c r="M238" s="133"/>
      <c r="N238" s="133"/>
      <c r="O238" s="133"/>
      <c r="P238" s="133"/>
      <c r="Q238" s="133"/>
      <c r="R238" s="133"/>
      <c r="S238" s="133"/>
      <c r="T238" s="133"/>
      <c r="U238" s="133"/>
      <c r="V238" s="133"/>
      <c r="W238" s="133"/>
      <c r="X238" s="133"/>
      <c r="Y238" s="133"/>
      <c r="Z238" s="841"/>
      <c r="AA238" s="767"/>
      <c r="AB238" s="841"/>
      <c r="AF238" s="767"/>
      <c r="AG238" s="133"/>
      <c r="AH238" s="841"/>
    </row>
    <row r="239" spans="2:34" ht="12.75">
      <c r="B239" s="767"/>
      <c r="C239" s="133"/>
      <c r="D239" s="133"/>
      <c r="E239" s="133"/>
      <c r="F239" s="133"/>
      <c r="G239" s="133"/>
      <c r="H239" s="133"/>
      <c r="I239" s="133"/>
      <c r="J239" s="133"/>
      <c r="K239" s="133"/>
      <c r="L239" s="133"/>
      <c r="M239" s="133"/>
      <c r="N239" s="133"/>
      <c r="O239" s="133"/>
      <c r="P239" s="133"/>
      <c r="Q239" s="133"/>
      <c r="R239" s="133"/>
      <c r="S239" s="133"/>
      <c r="T239" s="133"/>
      <c r="U239" s="133"/>
      <c r="V239" s="133"/>
      <c r="W239" s="133"/>
      <c r="X239" s="133"/>
      <c r="Y239" s="133"/>
      <c r="Z239" s="841"/>
      <c r="AA239" s="767"/>
      <c r="AB239" s="841"/>
      <c r="AF239" s="767"/>
      <c r="AG239" s="133"/>
      <c r="AH239" s="841"/>
    </row>
    <row r="240" spans="2:34" ht="12.75">
      <c r="B240" s="779"/>
      <c r="C240" s="638"/>
      <c r="D240" s="638"/>
      <c r="E240" s="638"/>
      <c r="F240" s="638"/>
      <c r="G240" s="638"/>
      <c r="H240" s="638"/>
      <c r="I240" s="638"/>
      <c r="J240" s="638"/>
      <c r="K240" s="638"/>
      <c r="L240" s="638"/>
      <c r="M240" s="638"/>
      <c r="N240" s="638"/>
      <c r="O240" s="638"/>
      <c r="P240" s="638"/>
      <c r="Q240" s="638"/>
      <c r="R240" s="638"/>
      <c r="S240" s="638"/>
      <c r="T240" s="638"/>
      <c r="U240" s="638"/>
      <c r="V240" s="638"/>
      <c r="W240" s="638"/>
      <c r="X240" s="638"/>
      <c r="Y240" s="638"/>
      <c r="Z240" s="842"/>
      <c r="AA240" s="779"/>
      <c r="AB240" s="1090">
        <f>SUM(AB198:AB239)</f>
        <v>0</v>
      </c>
      <c r="AF240" s="779"/>
      <c r="AG240" s="638"/>
      <c r="AH240" s="1090">
        <f>SUM(AH2:AH239)</f>
        <v>0</v>
      </c>
    </row>
    <row r="241" spans="28:34" ht="12.75">
      <c r="AB241" t="s">
        <v>2007</v>
      </c>
      <c r="AF241" s="1138">
        <v>3090</v>
      </c>
      <c r="AG241" s="252" t="s">
        <v>2068</v>
      </c>
      <c r="AH241" t="s">
        <v>2074</v>
      </c>
    </row>
    <row r="242" spans="28:34" ht="12.75">
      <c r="AB242" t="s">
        <v>2010</v>
      </c>
      <c r="AF242" s="1138">
        <v>3150</v>
      </c>
      <c r="AG242" s="252" t="s">
        <v>2069</v>
      </c>
      <c r="AH242" t="s">
        <v>2075</v>
      </c>
    </row>
    <row r="243" spans="28:33" ht="12.75">
      <c r="AB243" t="s">
        <v>2008</v>
      </c>
      <c r="AF243" s="1138">
        <v>3180</v>
      </c>
      <c r="AG243" s="252" t="s">
        <v>2071</v>
      </c>
    </row>
    <row r="244" spans="28:33" ht="12.75">
      <c r="AB244" t="s">
        <v>2009</v>
      </c>
      <c r="AF244" s="1138">
        <v>3210</v>
      </c>
      <c r="AG244" s="252" t="s">
        <v>2070</v>
      </c>
    </row>
  </sheetData>
  <sheetProtection password="A722" sheet="1" objects="1" scenarios="1"/>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P95"/>
  <sheetViews>
    <sheetView showGridLines="0" zoomScale="86" zoomScaleNormal="86" workbookViewId="0" topLeftCell="A1">
      <pane ySplit="6" topLeftCell="BM7" activePane="bottomLeft" state="frozen"/>
      <selection pane="topLeft" activeCell="A2" sqref="A2"/>
      <selection pane="bottomLeft" activeCell="A2" sqref="A2"/>
    </sheetView>
  </sheetViews>
  <sheetFormatPr defaultColWidth="9.140625" defaultRowHeight="12.75"/>
  <cols>
    <col min="1" max="1" width="5.7109375" style="0" customWidth="1"/>
    <col min="2" max="2" width="35.8515625" style="0" bestFit="1" customWidth="1"/>
    <col min="3" max="4" width="5.00390625" style="0" bestFit="1" customWidth="1"/>
    <col min="5" max="5" width="17.57421875" style="0" bestFit="1" customWidth="1"/>
    <col min="6" max="6" width="8.00390625" style="0" bestFit="1" customWidth="1"/>
    <col min="7" max="7" width="9.421875" style="0" bestFit="1" customWidth="1"/>
    <col min="8" max="8" width="11.421875" style="0" bestFit="1" customWidth="1"/>
    <col min="9" max="9" width="6.140625" style="0" customWidth="1"/>
    <col min="10" max="10" width="37.421875" style="0" customWidth="1"/>
    <col min="11" max="11" width="2.140625" style="0" customWidth="1"/>
    <col min="12" max="12" width="9.140625" style="690" customWidth="1"/>
    <col min="13" max="13" width="16.00390625" style="0" bestFit="1" customWidth="1"/>
    <col min="16" max="16" width="11.421875" style="0" bestFit="1" customWidth="1"/>
  </cols>
  <sheetData>
    <row r="1" spans="2:5" ht="18.75" customHeight="1">
      <c r="B1" s="709" t="s">
        <v>959</v>
      </c>
      <c r="E1" s="709" t="s">
        <v>1257</v>
      </c>
    </row>
    <row r="2" spans="2:10" ht="15.75">
      <c r="B2" s="710">
        <f>voorblad!D34</f>
        <v>0</v>
      </c>
      <c r="F2" s="711">
        <f>voorblad!E32</f>
        <v>120</v>
      </c>
      <c r="G2" s="728">
        <f>voorblad!F32</f>
        <v>0</v>
      </c>
      <c r="H2" s="730" t="b">
        <v>1</v>
      </c>
      <c r="I2" s="133"/>
      <c r="J2" s="729" t="str">
        <f>IF(H2=TRUE,"Invoervelden gearceerd","Invoervelden niet gearceerd")</f>
        <v>Invoervelden gearceerd</v>
      </c>
    </row>
    <row r="3" ht="15.75">
      <c r="C3" s="544"/>
    </row>
    <row r="4" ht="15.75">
      <c r="B4" s="544"/>
    </row>
    <row r="5" spans="1:16" ht="12.75">
      <c r="A5" s="872" t="s">
        <v>2219</v>
      </c>
      <c r="B5" s="867"/>
      <c r="C5" s="868"/>
      <c r="D5" s="864"/>
      <c r="E5" s="864" t="s">
        <v>979</v>
      </c>
      <c r="F5" s="707" t="s">
        <v>2046</v>
      </c>
      <c r="G5" s="707" t="s">
        <v>886</v>
      </c>
      <c r="H5" s="707" t="s">
        <v>799</v>
      </c>
      <c r="M5" s="545" t="s">
        <v>979</v>
      </c>
      <c r="N5" s="707" t="s">
        <v>2046</v>
      </c>
      <c r="O5" s="707" t="s">
        <v>886</v>
      </c>
      <c r="P5" s="707" t="s">
        <v>799</v>
      </c>
    </row>
    <row r="6" spans="1:16" ht="12.75">
      <c r="A6" s="1072" t="s">
        <v>2217</v>
      </c>
      <c r="B6" s="869"/>
      <c r="C6" s="870"/>
      <c r="D6" s="871"/>
      <c r="E6" s="865" t="s">
        <v>257</v>
      </c>
      <c r="F6" s="708" t="s">
        <v>800</v>
      </c>
      <c r="G6" s="708" t="s">
        <v>800</v>
      </c>
      <c r="H6" s="708" t="s">
        <v>801</v>
      </c>
      <c r="M6" s="546" t="s">
        <v>257</v>
      </c>
      <c r="N6" s="708" t="s">
        <v>800</v>
      </c>
      <c r="O6" s="708" t="s">
        <v>800</v>
      </c>
      <c r="P6" s="708" t="s">
        <v>801</v>
      </c>
    </row>
    <row r="7" spans="1:16" ht="12.75">
      <c r="A7" s="508"/>
      <c r="B7" s="866" t="s">
        <v>1510</v>
      </c>
      <c r="C7" s="604"/>
      <c r="D7" s="535"/>
      <c r="E7" s="508"/>
      <c r="F7" s="547"/>
      <c r="G7" s="547"/>
      <c r="H7" s="547"/>
      <c r="I7" s="508"/>
      <c r="J7" s="389" t="s">
        <v>2260</v>
      </c>
      <c r="K7" s="52"/>
      <c r="L7" s="691"/>
      <c r="M7" s="525"/>
      <c r="N7" s="525"/>
      <c r="O7" s="525"/>
      <c r="P7" s="525"/>
    </row>
    <row r="8" spans="1:16" ht="12.75">
      <c r="A8" s="39">
        <v>2001</v>
      </c>
      <c r="B8" s="46" t="s">
        <v>561</v>
      </c>
      <c r="C8" s="548" t="s">
        <v>802</v>
      </c>
      <c r="D8" s="549" t="s">
        <v>616</v>
      </c>
      <c r="E8" s="525">
        <v>122</v>
      </c>
      <c r="F8" s="967"/>
      <c r="G8" s="969">
        <f>IF(F8&gt;0,'0000'!F62,0)</f>
        <v>0</v>
      </c>
      <c r="H8" s="509">
        <f aca="true" t="shared" si="0" ref="H8:H21">IF(F8&lt;E8,(F8-E8)*G8,0)</f>
        <v>0</v>
      </c>
      <c r="I8" s="39">
        <f>A45+1</f>
        <v>2035</v>
      </c>
      <c r="J8" s="107" t="s">
        <v>2158</v>
      </c>
      <c r="K8" s="93"/>
      <c r="L8" s="113" t="s">
        <v>592</v>
      </c>
      <c r="M8" s="525">
        <v>22</v>
      </c>
      <c r="N8" s="967"/>
      <c r="O8" s="969">
        <f>IF(N8&gt;0,'0000'!F124,0)</f>
        <v>0</v>
      </c>
      <c r="P8" s="509">
        <f aca="true" t="shared" si="1" ref="P8:P18">IF(N8&lt;M8,(N8-M8)*O8,0)</f>
        <v>0</v>
      </c>
    </row>
    <row r="9" spans="1:16" ht="12.75">
      <c r="A9" s="36">
        <f>A8+1</f>
        <v>2002</v>
      </c>
      <c r="B9" s="46" t="s">
        <v>1287</v>
      </c>
      <c r="C9" s="548" t="s">
        <v>803</v>
      </c>
      <c r="D9" s="549" t="s">
        <v>617</v>
      </c>
      <c r="E9" s="525">
        <v>151</v>
      </c>
      <c r="F9" s="967"/>
      <c r="G9" s="969">
        <f>IF(F9&gt;0,'0000'!F63,0)</f>
        <v>0</v>
      </c>
      <c r="H9" s="509">
        <f t="shared" si="0"/>
        <v>0</v>
      </c>
      <c r="I9" s="39">
        <f aca="true" t="shared" si="2" ref="I9:I18">I8+1</f>
        <v>2036</v>
      </c>
      <c r="J9" s="107" t="s">
        <v>2159</v>
      </c>
      <c r="K9" s="93"/>
      <c r="L9" s="113" t="s">
        <v>593</v>
      </c>
      <c r="M9" s="525">
        <v>211</v>
      </c>
      <c r="N9" s="967"/>
      <c r="O9" s="969">
        <f>IF(N9&gt;0,'0000'!F125,0)</f>
        <v>0</v>
      </c>
      <c r="P9" s="509">
        <f t="shared" si="1"/>
        <v>0</v>
      </c>
    </row>
    <row r="10" spans="1:16" ht="12.75">
      <c r="A10" s="508"/>
      <c r="B10" s="389" t="s">
        <v>2255</v>
      </c>
      <c r="C10" s="52"/>
      <c r="D10" s="549"/>
      <c r="E10" s="525"/>
      <c r="F10" s="968"/>
      <c r="G10" s="969"/>
      <c r="H10" s="509"/>
      <c r="I10" s="39">
        <f t="shared" si="2"/>
        <v>2037</v>
      </c>
      <c r="J10" s="107" t="s">
        <v>2160</v>
      </c>
      <c r="K10" s="93"/>
      <c r="L10" s="113" t="s">
        <v>594</v>
      </c>
      <c r="M10" s="525">
        <v>438</v>
      </c>
      <c r="N10" s="967"/>
      <c r="O10" s="969">
        <f>IF(N10&gt;0,'0000'!F126,0)</f>
        <v>0</v>
      </c>
      <c r="P10" s="509">
        <f t="shared" si="1"/>
        <v>0</v>
      </c>
    </row>
    <row r="11" spans="1:16" ht="12.75">
      <c r="A11" s="39">
        <f>A9+1</f>
        <v>2003</v>
      </c>
      <c r="B11" s="46" t="s">
        <v>2201</v>
      </c>
      <c r="C11" s="548" t="s">
        <v>804</v>
      </c>
      <c r="D11" s="549" t="s">
        <v>618</v>
      </c>
      <c r="E11" s="525">
        <v>248</v>
      </c>
      <c r="F11" s="967"/>
      <c r="G11" s="969">
        <f>IF(F11&gt;0,'0000'!F66,0)</f>
        <v>0</v>
      </c>
      <c r="H11" s="509">
        <f t="shared" si="0"/>
        <v>0</v>
      </c>
      <c r="I11" s="39">
        <f t="shared" si="2"/>
        <v>2038</v>
      </c>
      <c r="J11" s="107" t="s">
        <v>2161</v>
      </c>
      <c r="K11" s="93"/>
      <c r="L11" s="113" t="s">
        <v>595</v>
      </c>
      <c r="M11" s="525">
        <v>107</v>
      </c>
      <c r="N11" s="967"/>
      <c r="O11" s="969">
        <f>IF(N11&gt;0,'0000'!F127,0)</f>
        <v>0</v>
      </c>
      <c r="P11" s="509">
        <f t="shared" si="1"/>
        <v>0</v>
      </c>
    </row>
    <row r="12" spans="1:16" ht="12.75">
      <c r="A12" s="39">
        <f>A11+1</f>
        <v>2004</v>
      </c>
      <c r="B12" s="46" t="s">
        <v>1676</v>
      </c>
      <c r="C12" s="548" t="s">
        <v>805</v>
      </c>
      <c r="D12" s="549" t="s">
        <v>619</v>
      </c>
      <c r="E12" s="525">
        <v>178</v>
      </c>
      <c r="F12" s="967"/>
      <c r="G12" s="969">
        <f>IF(F12&gt;0,'0000'!F67,0)</f>
        <v>0</v>
      </c>
      <c r="H12" s="509">
        <f t="shared" si="0"/>
        <v>0</v>
      </c>
      <c r="I12" s="39">
        <f t="shared" si="2"/>
        <v>2039</v>
      </c>
      <c r="J12" s="107" t="s">
        <v>2162</v>
      </c>
      <c r="K12" s="93"/>
      <c r="L12" s="113" t="s">
        <v>596</v>
      </c>
      <c r="M12" s="525">
        <v>72</v>
      </c>
      <c r="N12" s="967"/>
      <c r="O12" s="969">
        <f>IF(N12&gt;0,'0000'!F128,0)</f>
        <v>0</v>
      </c>
      <c r="P12" s="509">
        <f t="shared" si="1"/>
        <v>0</v>
      </c>
    </row>
    <row r="13" spans="1:16" ht="12.75">
      <c r="A13" s="36">
        <f>A12+1</f>
        <v>2005</v>
      </c>
      <c r="B13" s="46" t="s">
        <v>1288</v>
      </c>
      <c r="C13" s="548" t="s">
        <v>806</v>
      </c>
      <c r="D13" s="549" t="s">
        <v>620</v>
      </c>
      <c r="E13" s="525">
        <v>204</v>
      </c>
      <c r="F13" s="967"/>
      <c r="G13" s="969">
        <f>IF(F13&gt;0,'0000'!F68,0)</f>
        <v>0</v>
      </c>
      <c r="H13" s="509">
        <f t="shared" si="0"/>
        <v>0</v>
      </c>
      <c r="I13" s="39">
        <f t="shared" si="2"/>
        <v>2040</v>
      </c>
      <c r="J13" s="107" t="s">
        <v>893</v>
      </c>
      <c r="K13" s="93"/>
      <c r="L13" s="113" t="s">
        <v>597</v>
      </c>
      <c r="M13" s="525">
        <v>90</v>
      </c>
      <c r="N13" s="967"/>
      <c r="O13" s="969">
        <f>IF(N13&gt;0,'0000'!F129,0)</f>
        <v>0</v>
      </c>
      <c r="P13" s="509">
        <f t="shared" si="1"/>
        <v>0</v>
      </c>
    </row>
    <row r="14" spans="1:16" ht="12.75">
      <c r="A14" s="508"/>
      <c r="B14" s="389" t="s">
        <v>2256</v>
      </c>
      <c r="C14" s="52"/>
      <c r="D14" s="549"/>
      <c r="E14" s="525"/>
      <c r="F14" s="968"/>
      <c r="G14" s="969"/>
      <c r="H14" s="509"/>
      <c r="I14" s="39">
        <f t="shared" si="2"/>
        <v>2041</v>
      </c>
      <c r="J14" s="93" t="s">
        <v>1437</v>
      </c>
      <c r="K14" s="94"/>
      <c r="L14" s="113" t="s">
        <v>1442</v>
      </c>
      <c r="M14" s="525">
        <v>50</v>
      </c>
      <c r="N14" s="967"/>
      <c r="O14" s="969">
        <f>IF(N14&gt;0,'0000'!F130,0)</f>
        <v>0</v>
      </c>
      <c r="P14" s="509">
        <f t="shared" si="1"/>
        <v>0</v>
      </c>
    </row>
    <row r="15" spans="1:16" ht="12.75">
      <c r="A15" s="39">
        <f>A13+1</f>
        <v>2006</v>
      </c>
      <c r="B15" s="46" t="s">
        <v>1740</v>
      </c>
      <c r="C15" s="548" t="s">
        <v>807</v>
      </c>
      <c r="D15" s="549" t="s">
        <v>621</v>
      </c>
      <c r="E15" s="525">
        <v>123</v>
      </c>
      <c r="F15" s="967"/>
      <c r="G15" s="969">
        <f>IF(F15&gt;0,'0000'!F71,0)</f>
        <v>0</v>
      </c>
      <c r="H15" s="509">
        <f t="shared" si="0"/>
        <v>0</v>
      </c>
      <c r="I15" s="39">
        <f t="shared" si="2"/>
        <v>2042</v>
      </c>
      <c r="J15" s="107" t="s">
        <v>2163</v>
      </c>
      <c r="K15" s="93"/>
      <c r="L15" s="113" t="s">
        <v>598</v>
      </c>
      <c r="M15" s="525">
        <v>62</v>
      </c>
      <c r="N15" s="967"/>
      <c r="O15" s="969">
        <f>IF(N15&gt;0,'0000'!F131,0)</f>
        <v>0</v>
      </c>
      <c r="P15" s="509">
        <f t="shared" si="1"/>
        <v>0</v>
      </c>
    </row>
    <row r="16" spans="1:16" ht="12.75">
      <c r="A16" s="39">
        <f aca="true" t="shared" si="3" ref="A16:A21">A15+1</f>
        <v>2007</v>
      </c>
      <c r="B16" s="46" t="s">
        <v>1289</v>
      </c>
      <c r="C16" s="548" t="s">
        <v>808</v>
      </c>
      <c r="D16" s="549" t="s">
        <v>622</v>
      </c>
      <c r="E16" s="525">
        <v>155</v>
      </c>
      <c r="F16" s="967"/>
      <c r="G16" s="969">
        <f>IF(F16&gt;0,'0000'!F72,0)</f>
        <v>0</v>
      </c>
      <c r="H16" s="509">
        <f t="shared" si="0"/>
        <v>0</v>
      </c>
      <c r="I16" s="39">
        <f t="shared" si="2"/>
        <v>2043</v>
      </c>
      <c r="J16" s="107" t="s">
        <v>894</v>
      </c>
      <c r="K16" s="93"/>
      <c r="L16" s="113" t="s">
        <v>599</v>
      </c>
      <c r="M16" s="525">
        <v>218</v>
      </c>
      <c r="N16" s="967"/>
      <c r="O16" s="969">
        <f>IF(N16&gt;0,'0000'!F132,0)</f>
        <v>0</v>
      </c>
      <c r="P16" s="509">
        <f t="shared" si="1"/>
        <v>0</v>
      </c>
    </row>
    <row r="17" spans="1:16" ht="12.75">
      <c r="A17" s="39">
        <f t="shared" si="3"/>
        <v>2008</v>
      </c>
      <c r="B17" s="46" t="s">
        <v>1570</v>
      </c>
      <c r="C17" s="548" t="s">
        <v>809</v>
      </c>
      <c r="D17" s="549" t="s">
        <v>623</v>
      </c>
      <c r="E17" s="525">
        <v>139</v>
      </c>
      <c r="F17" s="967"/>
      <c r="G17" s="969">
        <f>IF(F17&gt;0,'0000'!F73,0)</f>
        <v>0</v>
      </c>
      <c r="H17" s="509">
        <f t="shared" si="0"/>
        <v>0</v>
      </c>
      <c r="I17" s="39">
        <f t="shared" si="2"/>
        <v>2044</v>
      </c>
      <c r="J17" s="107" t="s">
        <v>902</v>
      </c>
      <c r="K17" s="93"/>
      <c r="L17" s="113" t="s">
        <v>600</v>
      </c>
      <c r="M17" s="525">
        <v>817</v>
      </c>
      <c r="N17" s="967"/>
      <c r="O17" s="969">
        <f>IF(N17&gt;0,'0000'!F133,0)</f>
        <v>0</v>
      </c>
      <c r="P17" s="509">
        <f t="shared" si="1"/>
        <v>0</v>
      </c>
    </row>
    <row r="18" spans="1:16" ht="12.75">
      <c r="A18" s="39">
        <f t="shared" si="3"/>
        <v>2009</v>
      </c>
      <c r="B18" s="46" t="s">
        <v>1289</v>
      </c>
      <c r="C18" s="548" t="s">
        <v>810</v>
      </c>
      <c r="D18" s="549" t="s">
        <v>624</v>
      </c>
      <c r="E18" s="525">
        <v>175</v>
      </c>
      <c r="F18" s="967"/>
      <c r="G18" s="969">
        <f>IF(F18&gt;0,'0000'!F74,0)</f>
        <v>0</v>
      </c>
      <c r="H18" s="509">
        <f t="shared" si="0"/>
        <v>0</v>
      </c>
      <c r="I18" s="36">
        <f t="shared" si="2"/>
        <v>2045</v>
      </c>
      <c r="J18" s="107" t="s">
        <v>2303</v>
      </c>
      <c r="K18" s="93"/>
      <c r="L18" s="113" t="s">
        <v>601</v>
      </c>
      <c r="M18" s="525">
        <v>34</v>
      </c>
      <c r="N18" s="967"/>
      <c r="O18" s="969">
        <f>IF(N18&gt;0,'0000'!F134,0)</f>
        <v>0</v>
      </c>
      <c r="P18" s="509">
        <f t="shared" si="1"/>
        <v>0</v>
      </c>
    </row>
    <row r="19" spans="1:16" ht="12.75">
      <c r="A19" s="39">
        <f t="shared" si="3"/>
        <v>2010</v>
      </c>
      <c r="B19" s="46" t="s">
        <v>1316</v>
      </c>
      <c r="C19" s="548" t="s">
        <v>811</v>
      </c>
      <c r="D19" s="549" t="s">
        <v>625</v>
      </c>
      <c r="E19" s="525">
        <v>69</v>
      </c>
      <c r="F19" s="967"/>
      <c r="G19" s="969">
        <f>IF(F19&gt;0,'0000'!F75,0)</f>
        <v>0</v>
      </c>
      <c r="H19" s="509">
        <f t="shared" si="0"/>
        <v>0</v>
      </c>
      <c r="J19" s="389" t="s">
        <v>2261</v>
      </c>
      <c r="K19" s="52"/>
      <c r="L19" s="691"/>
      <c r="M19" s="525"/>
      <c r="N19" s="525"/>
      <c r="O19" s="969"/>
      <c r="P19" s="722"/>
    </row>
    <row r="20" spans="1:16" ht="12.75">
      <c r="A20" s="39">
        <f t="shared" si="3"/>
        <v>2011</v>
      </c>
      <c r="B20" s="46" t="s">
        <v>217</v>
      </c>
      <c r="C20" s="548" t="s">
        <v>812</v>
      </c>
      <c r="D20" s="549" t="s">
        <v>626</v>
      </c>
      <c r="E20" s="525">
        <v>97</v>
      </c>
      <c r="F20" s="967"/>
      <c r="G20" s="969">
        <f>IF(F20&gt;0,'0000'!F76,0)</f>
        <v>0</v>
      </c>
      <c r="H20" s="509">
        <f t="shared" si="0"/>
        <v>0</v>
      </c>
      <c r="I20" s="39">
        <f>I18+1</f>
        <v>2046</v>
      </c>
      <c r="J20" s="107" t="s">
        <v>2158</v>
      </c>
      <c r="K20" s="93"/>
      <c r="L20" s="113" t="s">
        <v>602</v>
      </c>
      <c r="M20" s="525">
        <v>22</v>
      </c>
      <c r="N20" s="967"/>
      <c r="O20" s="969">
        <f>IF(N20&gt;0,'0000'!F141,0)</f>
        <v>0</v>
      </c>
      <c r="P20" s="509">
        <f aca="true" t="shared" si="4" ref="P20:P30">IF(N20&lt;M20,(N20-M20)*O20,0)</f>
        <v>0</v>
      </c>
    </row>
    <row r="21" spans="1:16" ht="12.75">
      <c r="A21" s="36">
        <f t="shared" si="3"/>
        <v>2012</v>
      </c>
      <c r="B21" s="389" t="s">
        <v>2257</v>
      </c>
      <c r="C21" s="52"/>
      <c r="D21" s="47" t="s">
        <v>627</v>
      </c>
      <c r="E21" s="525">
        <v>193</v>
      </c>
      <c r="F21" s="967"/>
      <c r="G21" s="969">
        <f>IF(F21&gt;0,'0000'!F79,0)</f>
        <v>0</v>
      </c>
      <c r="H21" s="509">
        <f t="shared" si="0"/>
        <v>0</v>
      </c>
      <c r="I21" s="39">
        <f aca="true" t="shared" si="5" ref="I21:I30">I20+1</f>
        <v>2047</v>
      </c>
      <c r="J21" s="107" t="s">
        <v>2159</v>
      </c>
      <c r="K21" s="93"/>
      <c r="L21" s="113" t="s">
        <v>603</v>
      </c>
      <c r="M21" s="525">
        <v>211</v>
      </c>
      <c r="N21" s="967"/>
      <c r="O21" s="969">
        <f>IF(N21&gt;0,'0000'!F142,0)</f>
        <v>0</v>
      </c>
      <c r="P21" s="509">
        <f t="shared" si="4"/>
        <v>0</v>
      </c>
    </row>
    <row r="22" spans="1:16" ht="12.75">
      <c r="A22" s="508"/>
      <c r="B22" s="389" t="s">
        <v>2258</v>
      </c>
      <c r="C22" s="52"/>
      <c r="D22" s="540"/>
      <c r="E22" s="508"/>
      <c r="F22" s="968"/>
      <c r="G22" s="969"/>
      <c r="H22" s="387"/>
      <c r="I22" s="39">
        <f t="shared" si="5"/>
        <v>2048</v>
      </c>
      <c r="J22" s="107" t="s">
        <v>2160</v>
      </c>
      <c r="K22" s="93"/>
      <c r="L22" s="113" t="s">
        <v>604</v>
      </c>
      <c r="M22" s="525">
        <v>438</v>
      </c>
      <c r="N22" s="967"/>
      <c r="O22" s="969">
        <f>IF(N22&gt;0,'0000'!F143,0)</f>
        <v>0</v>
      </c>
      <c r="P22" s="509">
        <f t="shared" si="4"/>
        <v>0</v>
      </c>
    </row>
    <row r="23" spans="1:16" ht="12.75">
      <c r="A23" s="39">
        <f>A21+1</f>
        <v>2013</v>
      </c>
      <c r="B23" s="107" t="s">
        <v>2158</v>
      </c>
      <c r="C23" s="93"/>
      <c r="D23" s="111" t="s">
        <v>866</v>
      </c>
      <c r="E23" s="525">
        <v>22</v>
      </c>
      <c r="F23" s="967"/>
      <c r="G23" s="969">
        <f>IF(F23&gt;0,'0000'!F98,0)</f>
        <v>0</v>
      </c>
      <c r="H23" s="509">
        <f aca="true" t="shared" si="6" ref="H23:H33">IF(F23&lt;E23,(F23-E23)*G23,0)</f>
        <v>0</v>
      </c>
      <c r="I23" s="39">
        <f t="shared" si="5"/>
        <v>2049</v>
      </c>
      <c r="J23" s="107" t="s">
        <v>2161</v>
      </c>
      <c r="K23" s="93"/>
      <c r="L23" s="113" t="s">
        <v>605</v>
      </c>
      <c r="M23" s="525">
        <v>107</v>
      </c>
      <c r="N23" s="967"/>
      <c r="O23" s="969">
        <f>IF(N23&gt;0,'0000'!F144,0)</f>
        <v>0</v>
      </c>
      <c r="P23" s="509">
        <f t="shared" si="4"/>
        <v>0</v>
      </c>
    </row>
    <row r="24" spans="1:16" ht="12.75">
      <c r="A24" s="39">
        <f>A23+1</f>
        <v>2014</v>
      </c>
      <c r="B24" s="107" t="s">
        <v>2159</v>
      </c>
      <c r="C24" s="93"/>
      <c r="D24" s="111" t="s">
        <v>867</v>
      </c>
      <c r="E24" s="525">
        <v>170</v>
      </c>
      <c r="F24" s="967"/>
      <c r="G24" s="969">
        <f>IF(F24&gt;0,'0000'!F99,0)</f>
        <v>0</v>
      </c>
      <c r="H24" s="509">
        <f t="shared" si="6"/>
        <v>0</v>
      </c>
      <c r="I24" s="39">
        <f t="shared" si="5"/>
        <v>2050</v>
      </c>
      <c r="J24" s="107" t="s">
        <v>2162</v>
      </c>
      <c r="K24" s="93"/>
      <c r="L24" s="113" t="s">
        <v>606</v>
      </c>
      <c r="M24" s="525">
        <v>72</v>
      </c>
      <c r="N24" s="967"/>
      <c r="O24" s="969">
        <f>IF(N24&gt;0,'0000'!F145,0)</f>
        <v>0</v>
      </c>
      <c r="P24" s="509">
        <f t="shared" si="4"/>
        <v>0</v>
      </c>
    </row>
    <row r="25" spans="1:16" ht="12.75">
      <c r="A25" s="39">
        <f aca="true" t="shared" si="7" ref="A25:A33">A24+1</f>
        <v>2015</v>
      </c>
      <c r="B25" s="107" t="s">
        <v>2160</v>
      </c>
      <c r="C25" s="93"/>
      <c r="D25" s="111" t="s">
        <v>868</v>
      </c>
      <c r="E25" s="525">
        <v>465</v>
      </c>
      <c r="F25" s="967"/>
      <c r="G25" s="969">
        <f>IF(F25&gt;0,'0000'!F100,0)</f>
        <v>0</v>
      </c>
      <c r="H25" s="509">
        <f t="shared" si="6"/>
        <v>0</v>
      </c>
      <c r="I25" s="39">
        <f t="shared" si="5"/>
        <v>2051</v>
      </c>
      <c r="J25" s="107" t="s">
        <v>893</v>
      </c>
      <c r="K25" s="93"/>
      <c r="L25" s="113" t="s">
        <v>607</v>
      </c>
      <c r="M25" s="525">
        <v>90</v>
      </c>
      <c r="N25" s="967"/>
      <c r="O25" s="969">
        <f>IF(N25&gt;0,'0000'!F146,0)</f>
        <v>0</v>
      </c>
      <c r="P25" s="509">
        <f t="shared" si="4"/>
        <v>0</v>
      </c>
    </row>
    <row r="26" spans="1:16" ht="12.75">
      <c r="A26" s="39">
        <f t="shared" si="7"/>
        <v>2016</v>
      </c>
      <c r="B26" s="107" t="s">
        <v>2161</v>
      </c>
      <c r="C26" s="93"/>
      <c r="D26" s="111" t="s">
        <v>869</v>
      </c>
      <c r="E26" s="525">
        <v>161</v>
      </c>
      <c r="F26" s="967"/>
      <c r="G26" s="969">
        <f>IF(F26&gt;0,'0000'!F101,0)</f>
        <v>0</v>
      </c>
      <c r="H26" s="509">
        <f t="shared" si="6"/>
        <v>0</v>
      </c>
      <c r="I26" s="39">
        <f t="shared" si="5"/>
        <v>2052</v>
      </c>
      <c r="J26" s="93" t="s">
        <v>1437</v>
      </c>
      <c r="K26" s="94"/>
      <c r="L26" s="113" t="s">
        <v>1444</v>
      </c>
      <c r="M26" s="525">
        <v>50</v>
      </c>
      <c r="N26" s="967"/>
      <c r="O26" s="969">
        <f>IF(N26&gt;0,'0000'!F147,0)</f>
        <v>0</v>
      </c>
      <c r="P26" s="509">
        <f t="shared" si="4"/>
        <v>0</v>
      </c>
    </row>
    <row r="27" spans="1:16" ht="12.75">
      <c r="A27" s="39">
        <f t="shared" si="7"/>
        <v>2017</v>
      </c>
      <c r="B27" s="107" t="s">
        <v>2162</v>
      </c>
      <c r="C27" s="93"/>
      <c r="D27" s="111" t="s">
        <v>870</v>
      </c>
      <c r="E27" s="525">
        <v>103</v>
      </c>
      <c r="F27" s="967"/>
      <c r="G27" s="969">
        <f>IF(F27&gt;0,'0000'!F102,0)</f>
        <v>0</v>
      </c>
      <c r="H27" s="509">
        <f t="shared" si="6"/>
        <v>0</v>
      </c>
      <c r="I27" s="39">
        <f t="shared" si="5"/>
        <v>2053</v>
      </c>
      <c r="J27" s="107" t="s">
        <v>2163</v>
      </c>
      <c r="K27" s="93"/>
      <c r="L27" s="113" t="s">
        <v>608</v>
      </c>
      <c r="M27" s="525">
        <v>62</v>
      </c>
      <c r="N27" s="967"/>
      <c r="O27" s="969">
        <f>IF(N27&gt;0,'0000'!F148,0)</f>
        <v>0</v>
      </c>
      <c r="P27" s="509">
        <f t="shared" si="4"/>
        <v>0</v>
      </c>
    </row>
    <row r="28" spans="1:16" ht="12.75">
      <c r="A28" s="39">
        <f t="shared" si="7"/>
        <v>2018</v>
      </c>
      <c r="B28" s="107" t="s">
        <v>893</v>
      </c>
      <c r="C28" s="93"/>
      <c r="D28" s="111" t="s">
        <v>871</v>
      </c>
      <c r="E28" s="525">
        <v>97</v>
      </c>
      <c r="F28" s="967"/>
      <c r="G28" s="969">
        <f>IF(F28&gt;0,'0000'!F103,0)</f>
        <v>0</v>
      </c>
      <c r="H28" s="509">
        <f t="shared" si="6"/>
        <v>0</v>
      </c>
      <c r="I28" s="39">
        <f t="shared" si="5"/>
        <v>2054</v>
      </c>
      <c r="J28" s="107" t="s">
        <v>894</v>
      </c>
      <c r="K28" s="93"/>
      <c r="L28" s="113" t="s">
        <v>609</v>
      </c>
      <c r="M28" s="525">
        <v>218</v>
      </c>
      <c r="N28" s="967"/>
      <c r="O28" s="969">
        <f>IF(N28&gt;0,'0000'!F149,0)</f>
        <v>0</v>
      </c>
      <c r="P28" s="509">
        <f t="shared" si="4"/>
        <v>0</v>
      </c>
    </row>
    <row r="29" spans="1:16" ht="12.75">
      <c r="A29" s="39">
        <f t="shared" si="7"/>
        <v>2019</v>
      </c>
      <c r="B29" s="93" t="s">
        <v>1437</v>
      </c>
      <c r="C29" s="94"/>
      <c r="D29" s="267" t="s">
        <v>1438</v>
      </c>
      <c r="E29" s="525">
        <v>52</v>
      </c>
      <c r="F29" s="967"/>
      <c r="G29" s="969">
        <f>IF(F29&gt;0,'0000'!F104,0)</f>
        <v>0</v>
      </c>
      <c r="H29" s="509">
        <f t="shared" si="6"/>
        <v>0</v>
      </c>
      <c r="I29" s="39">
        <f t="shared" si="5"/>
        <v>2055</v>
      </c>
      <c r="J29" s="107" t="s">
        <v>902</v>
      </c>
      <c r="K29" s="93"/>
      <c r="L29" s="113" t="s">
        <v>610</v>
      </c>
      <c r="M29" s="525">
        <v>817</v>
      </c>
      <c r="N29" s="967"/>
      <c r="O29" s="969">
        <f>IF(N29&gt;0,'0000'!F150,0)</f>
        <v>0</v>
      </c>
      <c r="P29" s="509">
        <f t="shared" si="4"/>
        <v>0</v>
      </c>
    </row>
    <row r="30" spans="1:16" ht="12.75">
      <c r="A30" s="39">
        <f t="shared" si="7"/>
        <v>2020</v>
      </c>
      <c r="B30" s="107" t="s">
        <v>2163</v>
      </c>
      <c r="C30" s="93"/>
      <c r="D30" s="111" t="s">
        <v>872</v>
      </c>
      <c r="E30" s="525">
        <v>66</v>
      </c>
      <c r="F30" s="967"/>
      <c r="G30" s="969">
        <f>IF(F30&gt;0,'0000'!F105,0)</f>
        <v>0</v>
      </c>
      <c r="H30" s="509">
        <f t="shared" si="6"/>
        <v>0</v>
      </c>
      <c r="I30" s="36">
        <f t="shared" si="5"/>
        <v>2056</v>
      </c>
      <c r="J30" s="107" t="s">
        <v>2303</v>
      </c>
      <c r="K30" s="93"/>
      <c r="L30" s="113" t="s">
        <v>611</v>
      </c>
      <c r="M30" s="525">
        <v>34</v>
      </c>
      <c r="N30" s="967"/>
      <c r="O30" s="969">
        <f>IF(N30&gt;0,'0000'!F151,0)</f>
        <v>0</v>
      </c>
      <c r="P30" s="509">
        <f t="shared" si="4"/>
        <v>0</v>
      </c>
    </row>
    <row r="31" spans="1:16" ht="12.75">
      <c r="A31" s="39">
        <f t="shared" si="7"/>
        <v>2021</v>
      </c>
      <c r="B31" s="107" t="s">
        <v>894</v>
      </c>
      <c r="C31" s="93"/>
      <c r="D31" s="111" t="s">
        <v>887</v>
      </c>
      <c r="E31" s="525">
        <v>221</v>
      </c>
      <c r="F31" s="967"/>
      <c r="G31" s="969">
        <f>IF(F31&gt;0,'0000'!F106,0)</f>
        <v>0</v>
      </c>
      <c r="H31" s="509">
        <f t="shared" si="6"/>
        <v>0</v>
      </c>
      <c r="J31" s="389" t="s">
        <v>1563</v>
      </c>
      <c r="K31" s="52"/>
      <c r="L31" s="691"/>
      <c r="M31" s="525"/>
      <c r="N31" s="525"/>
      <c r="O31" s="969"/>
      <c r="P31" s="722"/>
    </row>
    <row r="32" spans="1:16" ht="12.75">
      <c r="A32" s="39">
        <f t="shared" si="7"/>
        <v>2022</v>
      </c>
      <c r="B32" s="107" t="s">
        <v>902</v>
      </c>
      <c r="C32" s="93"/>
      <c r="D32" s="111" t="s">
        <v>888</v>
      </c>
      <c r="E32" s="525">
        <v>828</v>
      </c>
      <c r="F32" s="967"/>
      <c r="G32" s="969">
        <f>IF(F32&gt;0,'0000'!F107,0)</f>
        <v>0</v>
      </c>
      <c r="H32" s="509">
        <f t="shared" si="6"/>
        <v>0</v>
      </c>
      <c r="I32" s="39">
        <f>I30+1</f>
        <v>2057</v>
      </c>
      <c r="J32" s="107" t="s">
        <v>2158</v>
      </c>
      <c r="K32" s="93"/>
      <c r="L32" s="113" t="s">
        <v>880</v>
      </c>
      <c r="M32" s="525">
        <v>22</v>
      </c>
      <c r="N32" s="967"/>
      <c r="O32" s="969">
        <f>IF(N32&gt;0,'0000'!F154,0)</f>
        <v>0</v>
      </c>
      <c r="P32" s="509">
        <f aca="true" t="shared" si="8" ref="P32:P39">IF(N32&lt;M32,(N32-M32)*O32,0)</f>
        <v>0</v>
      </c>
    </row>
    <row r="33" spans="1:16" ht="12.75">
      <c r="A33" s="36">
        <f t="shared" si="7"/>
        <v>2023</v>
      </c>
      <c r="B33" s="107" t="s">
        <v>2303</v>
      </c>
      <c r="C33" s="93"/>
      <c r="D33" s="111" t="s">
        <v>889</v>
      </c>
      <c r="E33" s="525">
        <v>33</v>
      </c>
      <c r="F33" s="967"/>
      <c r="G33" s="969">
        <f>IF(F33&gt;0,'0000'!F108,0)</f>
        <v>0</v>
      </c>
      <c r="H33" s="509">
        <f t="shared" si="6"/>
        <v>0</v>
      </c>
      <c r="I33" s="39">
        <f aca="true" t="shared" si="9" ref="I33:I39">I32+1</f>
        <v>2058</v>
      </c>
      <c r="J33" s="107" t="s">
        <v>2159</v>
      </c>
      <c r="K33" s="93"/>
      <c r="L33" s="113" t="s">
        <v>881</v>
      </c>
      <c r="M33" s="525">
        <v>404</v>
      </c>
      <c r="N33" s="967"/>
      <c r="O33" s="969">
        <f>IF(N33&gt;0,'0000'!F155,0)</f>
        <v>0</v>
      </c>
      <c r="P33" s="509">
        <f t="shared" si="8"/>
        <v>0</v>
      </c>
    </row>
    <row r="34" spans="1:16" ht="12.75">
      <c r="A34" s="508"/>
      <c r="B34" s="389" t="s">
        <v>2259</v>
      </c>
      <c r="C34" s="52"/>
      <c r="D34" s="540"/>
      <c r="E34" s="525"/>
      <c r="F34" s="968"/>
      <c r="G34" s="969"/>
      <c r="H34" s="509"/>
      <c r="I34" s="39">
        <f t="shared" si="9"/>
        <v>2059</v>
      </c>
      <c r="J34" s="107" t="s">
        <v>2161</v>
      </c>
      <c r="K34" s="93"/>
      <c r="L34" s="113" t="s">
        <v>882</v>
      </c>
      <c r="M34" s="525">
        <v>212</v>
      </c>
      <c r="N34" s="967"/>
      <c r="O34" s="969">
        <f>IF(N34&gt;0,'0000'!F156,0)</f>
        <v>0</v>
      </c>
      <c r="P34" s="509">
        <f t="shared" si="8"/>
        <v>0</v>
      </c>
    </row>
    <row r="35" spans="1:16" ht="12.75">
      <c r="A35" s="39">
        <f>A33+1</f>
        <v>2024</v>
      </c>
      <c r="B35" s="107" t="s">
        <v>2158</v>
      </c>
      <c r="C35" s="93"/>
      <c r="D35" s="111" t="s">
        <v>873</v>
      </c>
      <c r="E35" s="525">
        <v>22</v>
      </c>
      <c r="F35" s="967"/>
      <c r="G35" s="969">
        <f>IF(F35&gt;0,'0000'!F111,0)</f>
        <v>0</v>
      </c>
      <c r="H35" s="509">
        <f aca="true" t="shared" si="10" ref="H35:H45">IF(F35&lt;E35,(F35-E35)*G35,0)</f>
        <v>0</v>
      </c>
      <c r="I35" s="39">
        <f t="shared" si="9"/>
        <v>2060</v>
      </c>
      <c r="J35" s="107" t="s">
        <v>2162</v>
      </c>
      <c r="K35" s="93"/>
      <c r="L35" s="113" t="s">
        <v>883</v>
      </c>
      <c r="M35" s="525">
        <v>125</v>
      </c>
      <c r="N35" s="967"/>
      <c r="O35" s="969">
        <f>IF(N35&gt;0,'0000'!F157,0)</f>
        <v>0</v>
      </c>
      <c r="P35" s="509">
        <f t="shared" si="8"/>
        <v>0</v>
      </c>
    </row>
    <row r="36" spans="1:16" ht="12.75">
      <c r="A36" s="39">
        <f aca="true" t="shared" si="11" ref="A36:A45">A35+1</f>
        <v>2025</v>
      </c>
      <c r="B36" s="107" t="s">
        <v>2159</v>
      </c>
      <c r="C36" s="93"/>
      <c r="D36" s="111" t="s">
        <v>874</v>
      </c>
      <c r="E36" s="525">
        <v>211</v>
      </c>
      <c r="F36" s="967"/>
      <c r="G36" s="969">
        <f>IF(F36&gt;0,'0000'!F112,0)</f>
        <v>0</v>
      </c>
      <c r="H36" s="509">
        <f t="shared" si="10"/>
        <v>0</v>
      </c>
      <c r="I36" s="39">
        <f t="shared" si="9"/>
        <v>2061</v>
      </c>
      <c r="J36" s="107" t="s">
        <v>893</v>
      </c>
      <c r="K36" s="93"/>
      <c r="L36" s="113" t="s">
        <v>884</v>
      </c>
      <c r="M36" s="525">
        <v>115</v>
      </c>
      <c r="N36" s="967"/>
      <c r="O36" s="969">
        <f>IF(N36&gt;0,'0000'!F158,0)</f>
        <v>0</v>
      </c>
      <c r="P36" s="509">
        <f t="shared" si="8"/>
        <v>0</v>
      </c>
    </row>
    <row r="37" spans="1:16" ht="12.75">
      <c r="A37" s="39">
        <f t="shared" si="11"/>
        <v>2026</v>
      </c>
      <c r="B37" s="107" t="s">
        <v>2160</v>
      </c>
      <c r="C37" s="93"/>
      <c r="D37" s="111" t="s">
        <v>875</v>
      </c>
      <c r="E37" s="525">
        <v>438</v>
      </c>
      <c r="F37" s="967"/>
      <c r="G37" s="969">
        <f>IF(F37&gt;0,'0000'!F113,0)</f>
        <v>0</v>
      </c>
      <c r="H37" s="509">
        <f t="shared" si="10"/>
        <v>0</v>
      </c>
      <c r="I37" s="39">
        <f t="shared" si="9"/>
        <v>2062</v>
      </c>
      <c r="J37" s="93" t="s">
        <v>1437</v>
      </c>
      <c r="K37" s="94"/>
      <c r="L37" s="113" t="s">
        <v>1445</v>
      </c>
      <c r="M37" s="525">
        <v>62</v>
      </c>
      <c r="N37" s="967"/>
      <c r="O37" s="969">
        <f>IF(N37&gt;0,'0000'!F159,0)</f>
        <v>0</v>
      </c>
      <c r="P37" s="509">
        <f t="shared" si="8"/>
        <v>0</v>
      </c>
    </row>
    <row r="38" spans="1:16" ht="12.75">
      <c r="A38" s="39">
        <f t="shared" si="11"/>
        <v>2027</v>
      </c>
      <c r="B38" s="107" t="s">
        <v>2161</v>
      </c>
      <c r="C38" s="93"/>
      <c r="D38" s="111" t="s">
        <v>876</v>
      </c>
      <c r="E38" s="525">
        <v>107</v>
      </c>
      <c r="F38" s="967"/>
      <c r="G38" s="969">
        <f>IF(F38&gt;0,'0000'!F114,0)</f>
        <v>0</v>
      </c>
      <c r="H38" s="509">
        <f t="shared" si="10"/>
        <v>0</v>
      </c>
      <c r="I38" s="39">
        <f t="shared" si="9"/>
        <v>2063</v>
      </c>
      <c r="J38" s="107" t="s">
        <v>2163</v>
      </c>
      <c r="K38" s="93"/>
      <c r="L38" s="113" t="s">
        <v>2246</v>
      </c>
      <c r="M38" s="525">
        <v>81</v>
      </c>
      <c r="N38" s="967"/>
      <c r="O38" s="969">
        <f>IF(N38&gt;0,'0000'!F160,0)</f>
        <v>0</v>
      </c>
      <c r="P38" s="509">
        <f t="shared" si="8"/>
        <v>0</v>
      </c>
    </row>
    <row r="39" spans="1:16" ht="12.75">
      <c r="A39" s="39">
        <f t="shared" si="11"/>
        <v>2028</v>
      </c>
      <c r="B39" s="107" t="s">
        <v>2162</v>
      </c>
      <c r="C39" s="93"/>
      <c r="D39" s="111" t="s">
        <v>877</v>
      </c>
      <c r="E39" s="525">
        <v>72</v>
      </c>
      <c r="F39" s="967"/>
      <c r="G39" s="969">
        <f>IF(F39&gt;0,'0000'!F115,0)</f>
        <v>0</v>
      </c>
      <c r="H39" s="509">
        <f t="shared" si="10"/>
        <v>0</v>
      </c>
      <c r="I39" s="36">
        <f t="shared" si="9"/>
        <v>2064</v>
      </c>
      <c r="J39" s="703" t="s">
        <v>2303</v>
      </c>
      <c r="K39" s="551"/>
      <c r="L39" s="692" t="s">
        <v>2279</v>
      </c>
      <c r="M39" s="525">
        <v>94</v>
      </c>
      <c r="N39" s="967"/>
      <c r="O39" s="969">
        <f>IF(N39&gt;0,'0000'!F161,0)</f>
        <v>0</v>
      </c>
      <c r="P39" s="509">
        <f t="shared" si="8"/>
        <v>0</v>
      </c>
    </row>
    <row r="40" spans="1:16" ht="12.75">
      <c r="A40" s="39">
        <f t="shared" si="11"/>
        <v>2029</v>
      </c>
      <c r="B40" s="107" t="s">
        <v>893</v>
      </c>
      <c r="C40" s="93"/>
      <c r="D40" s="111" t="s">
        <v>878</v>
      </c>
      <c r="E40" s="525">
        <v>90</v>
      </c>
      <c r="F40" s="967"/>
      <c r="G40" s="969">
        <f>IF(F40&gt;0,'0000'!F116,0)</f>
        <v>0</v>
      </c>
      <c r="H40" s="509">
        <f t="shared" si="10"/>
        <v>0</v>
      </c>
      <c r="J40" s="389" t="s">
        <v>258</v>
      </c>
      <c r="K40" s="37"/>
      <c r="L40" s="113"/>
      <c r="M40" s="525"/>
      <c r="N40" s="525"/>
      <c r="O40" s="969"/>
      <c r="P40" s="722"/>
    </row>
    <row r="41" spans="1:16" ht="12.75">
      <c r="A41" s="39">
        <f t="shared" si="11"/>
        <v>2030</v>
      </c>
      <c r="B41" s="93" t="s">
        <v>1437</v>
      </c>
      <c r="C41" s="94"/>
      <c r="D41" s="267" t="s">
        <v>1440</v>
      </c>
      <c r="E41" s="525">
        <v>50</v>
      </c>
      <c r="F41" s="967"/>
      <c r="G41" s="969">
        <f>IF(F41&gt;0,'0000'!F117,0)</f>
        <v>0</v>
      </c>
      <c r="H41" s="509">
        <f t="shared" si="10"/>
        <v>0</v>
      </c>
      <c r="I41" s="39">
        <f>I39+1</f>
        <v>2065</v>
      </c>
      <c r="J41" s="46" t="s">
        <v>695</v>
      </c>
      <c r="K41" s="37"/>
      <c r="L41" s="113" t="s">
        <v>814</v>
      </c>
      <c r="M41" s="525">
        <v>132.7</v>
      </c>
      <c r="N41" s="967"/>
      <c r="O41" s="969">
        <f>IF(N41&gt;0,'0000'!F169,0)</f>
        <v>0</v>
      </c>
      <c r="P41" s="509">
        <f>IF(N41&lt;M41,(N41-M41)*O41,0)</f>
        <v>0</v>
      </c>
    </row>
    <row r="42" spans="1:16" ht="12.75">
      <c r="A42" s="39">
        <f t="shared" si="11"/>
        <v>2031</v>
      </c>
      <c r="B42" s="107" t="s">
        <v>2163</v>
      </c>
      <c r="C42" s="93"/>
      <c r="D42" s="111" t="s">
        <v>879</v>
      </c>
      <c r="E42" s="525">
        <v>62</v>
      </c>
      <c r="F42" s="967"/>
      <c r="G42" s="969">
        <f>IF(F42&gt;0,'0000'!F118,0)</f>
        <v>0</v>
      </c>
      <c r="H42" s="509">
        <f t="shared" si="10"/>
        <v>0</v>
      </c>
      <c r="I42" s="39">
        <f aca="true" t="shared" si="12" ref="I42:I49">I41+1</f>
        <v>2066</v>
      </c>
      <c r="J42" s="46" t="s">
        <v>679</v>
      </c>
      <c r="K42" s="37"/>
      <c r="L42" s="113" t="s">
        <v>814</v>
      </c>
      <c r="M42" s="525">
        <v>132.7</v>
      </c>
      <c r="N42" s="967"/>
      <c r="O42" s="969">
        <f>IF(N42&gt;0,'0000'!F170,0)</f>
        <v>0</v>
      </c>
      <c r="P42" s="509">
        <f>IF(N42&lt;M42,(N42-M42)*O42,0)</f>
        <v>0</v>
      </c>
    </row>
    <row r="43" spans="1:16" ht="12.75">
      <c r="A43" s="39">
        <f t="shared" si="11"/>
        <v>2032</v>
      </c>
      <c r="B43" s="107" t="s">
        <v>894</v>
      </c>
      <c r="C43" s="93"/>
      <c r="D43" s="111" t="s">
        <v>890</v>
      </c>
      <c r="E43" s="525">
        <v>218</v>
      </c>
      <c r="F43" s="967"/>
      <c r="G43" s="969">
        <f>IF(F43&gt;0,'0000'!F119,0)</f>
        <v>0</v>
      </c>
      <c r="H43" s="509">
        <f t="shared" si="10"/>
        <v>0</v>
      </c>
      <c r="I43" s="39">
        <f t="shared" si="12"/>
        <v>2067</v>
      </c>
      <c r="J43" s="46" t="s">
        <v>2251</v>
      </c>
      <c r="K43" s="37"/>
      <c r="L43" s="113" t="s">
        <v>815</v>
      </c>
      <c r="M43" s="525">
        <v>152.1</v>
      </c>
      <c r="N43" s="967"/>
      <c r="O43" s="969">
        <f>IF(N43&gt;0,'0000'!F171,0)</f>
        <v>0</v>
      </c>
      <c r="P43" s="509">
        <f>IF(N43&lt;M43,(N43-M43)*O43,0)</f>
        <v>0</v>
      </c>
    </row>
    <row r="44" spans="1:16" ht="12.75" customHeight="1">
      <c r="A44" s="39">
        <f t="shared" si="11"/>
        <v>2033</v>
      </c>
      <c r="B44" s="107" t="s">
        <v>902</v>
      </c>
      <c r="C44" s="93"/>
      <c r="D44" s="111" t="s">
        <v>891</v>
      </c>
      <c r="E44" s="525">
        <v>817</v>
      </c>
      <c r="F44" s="967"/>
      <c r="G44" s="969">
        <f>IF(F44&gt;0,'0000'!F120,0)</f>
        <v>0</v>
      </c>
      <c r="H44" s="509">
        <f t="shared" si="10"/>
        <v>0</v>
      </c>
      <c r="I44" s="39">
        <f t="shared" si="12"/>
        <v>2068</v>
      </c>
      <c r="J44" s="694" t="s">
        <v>816</v>
      </c>
      <c r="K44" s="37"/>
      <c r="L44" s="113" t="s">
        <v>817</v>
      </c>
      <c r="M44" s="525">
        <v>80</v>
      </c>
      <c r="N44" s="967"/>
      <c r="O44" s="969">
        <f>IF(N44&gt;0,'0000'!F173,0)</f>
        <v>0</v>
      </c>
      <c r="P44" s="509">
        <f>IF(N44&lt;M44,(N44-M44)*O44,0)</f>
        <v>0</v>
      </c>
    </row>
    <row r="45" spans="1:16" ht="12.75">
      <c r="A45" s="36">
        <f t="shared" si="11"/>
        <v>2034</v>
      </c>
      <c r="B45" s="107" t="s">
        <v>2303</v>
      </c>
      <c r="C45" s="93"/>
      <c r="D45" s="111" t="s">
        <v>892</v>
      </c>
      <c r="E45" s="525">
        <v>34</v>
      </c>
      <c r="F45" s="967"/>
      <c r="G45" s="969">
        <f>IF(F45&gt;0,'0000'!F121,0)</f>
        <v>0</v>
      </c>
      <c r="H45" s="509">
        <f t="shared" si="10"/>
        <v>0</v>
      </c>
      <c r="I45" s="39">
        <f t="shared" si="12"/>
        <v>2069</v>
      </c>
      <c r="J45" s="46" t="s">
        <v>698</v>
      </c>
      <c r="K45" s="37"/>
      <c r="L45" s="113" t="s">
        <v>818</v>
      </c>
      <c r="M45" s="525">
        <v>8.2</v>
      </c>
      <c r="N45" s="967"/>
      <c r="O45" s="969">
        <f>IF(N45&gt;0,'0000'!F175,0)</f>
        <v>0</v>
      </c>
      <c r="P45" s="509">
        <f>IF(N45&lt;M45,(N45-M45)*O45,0)</f>
        <v>0</v>
      </c>
    </row>
    <row r="46" spans="1:16" ht="12.75">
      <c r="A46" s="1073"/>
      <c r="B46" s="532"/>
      <c r="C46" s="532"/>
      <c r="D46" s="532"/>
      <c r="E46" s="532"/>
      <c r="F46" s="532"/>
      <c r="G46" s="532"/>
      <c r="H46" s="1074"/>
      <c r="I46" s="39">
        <f t="shared" si="12"/>
        <v>2070</v>
      </c>
      <c r="J46" s="46"/>
      <c r="K46" s="37"/>
      <c r="L46" s="113"/>
      <c r="M46" s="525"/>
      <c r="N46" s="525"/>
      <c r="O46" s="509"/>
      <c r="P46" s="722"/>
    </row>
    <row r="47" spans="1:16" ht="12.75">
      <c r="A47" s="630"/>
      <c r="B47" s="133"/>
      <c r="C47" s="133"/>
      <c r="D47" s="133"/>
      <c r="E47" s="133"/>
      <c r="F47" s="133"/>
      <c r="G47" s="133"/>
      <c r="H47" s="1075"/>
      <c r="I47" s="39">
        <f t="shared" si="12"/>
        <v>2071</v>
      </c>
      <c r="J47" s="46" t="s">
        <v>849</v>
      </c>
      <c r="K47" s="37"/>
      <c r="L47" s="113"/>
      <c r="M47" s="525"/>
      <c r="N47" s="525"/>
      <c r="O47" s="509"/>
      <c r="P47" s="609"/>
    </row>
    <row r="48" spans="1:16" ht="12.75">
      <c r="A48" s="630"/>
      <c r="B48" s="133"/>
      <c r="C48" s="133"/>
      <c r="D48" s="133"/>
      <c r="E48" s="133"/>
      <c r="F48" s="133"/>
      <c r="G48" s="133"/>
      <c r="H48" s="1075"/>
      <c r="I48" s="39">
        <f t="shared" si="12"/>
        <v>2072</v>
      </c>
      <c r="J48" s="1527" t="s">
        <v>1819</v>
      </c>
      <c r="K48" s="1528"/>
      <c r="L48" s="1529"/>
      <c r="M48" s="525"/>
      <c r="N48" s="525"/>
      <c r="O48" s="509"/>
      <c r="P48" s="722"/>
    </row>
    <row r="49" spans="1:16" ht="13.5" thickBot="1">
      <c r="A49" s="986"/>
      <c r="B49" s="534"/>
      <c r="C49" s="534"/>
      <c r="D49" s="534"/>
      <c r="E49" s="534"/>
      <c r="F49" s="534"/>
      <c r="G49" s="534"/>
      <c r="H49" s="535"/>
      <c r="I49" s="36">
        <f t="shared" si="12"/>
        <v>2073</v>
      </c>
      <c r="J49" s="550" t="s">
        <v>223</v>
      </c>
      <c r="K49" s="551"/>
      <c r="L49" s="693"/>
      <c r="M49" s="525"/>
      <c r="N49" s="525"/>
      <c r="O49" s="509"/>
      <c r="P49" s="723">
        <f>ROUND(SUM(H8:H45)+SUM(P7:P48),0)</f>
        <v>0</v>
      </c>
    </row>
    <row r="50" ht="13.5" thickTop="1"/>
    <row r="87" spans="2:8" ht="12.75">
      <c r="B87" s="133"/>
      <c r="C87" s="133"/>
      <c r="D87" s="133"/>
      <c r="E87" s="133"/>
      <c r="F87" s="133"/>
      <c r="G87" s="133"/>
      <c r="H87" s="133"/>
    </row>
    <row r="88" spans="2:8" ht="12.75">
      <c r="B88" s="133"/>
      <c r="C88" s="133"/>
      <c r="D88" s="133"/>
      <c r="E88" s="133"/>
      <c r="F88" s="133"/>
      <c r="G88" s="133"/>
      <c r="H88" s="133"/>
    </row>
    <row r="89" spans="2:8" ht="12.75">
      <c r="B89" s="133"/>
      <c r="C89" s="133"/>
      <c r="D89" s="133"/>
      <c r="E89" s="133"/>
      <c r="F89" s="133"/>
      <c r="G89" s="133"/>
      <c r="H89" s="133"/>
    </row>
    <row r="90" spans="2:8" ht="12.75">
      <c r="B90" s="133"/>
      <c r="C90" s="133"/>
      <c r="D90" s="133"/>
      <c r="E90" s="133"/>
      <c r="F90" s="133"/>
      <c r="G90" s="133"/>
      <c r="H90" s="133"/>
    </row>
    <row r="91" spans="2:8" ht="12.75">
      <c r="B91" s="133"/>
      <c r="C91" s="133"/>
      <c r="D91" s="133"/>
      <c r="E91" s="133"/>
      <c r="F91" s="133"/>
      <c r="G91" s="133"/>
      <c r="H91" s="133"/>
    </row>
    <row r="92" spans="2:8" ht="12.75">
      <c r="B92" s="133"/>
      <c r="C92" s="133"/>
      <c r="D92" s="133"/>
      <c r="E92" s="133"/>
      <c r="F92" s="133"/>
      <c r="G92" s="133"/>
      <c r="H92" s="133"/>
    </row>
    <row r="93" spans="2:8" ht="12.75">
      <c r="B93" s="133"/>
      <c r="C93" s="133"/>
      <c r="D93" s="133"/>
      <c r="E93" s="133"/>
      <c r="F93" s="133"/>
      <c r="G93" s="133"/>
      <c r="H93" s="133"/>
    </row>
    <row r="94" spans="2:8" ht="12.75">
      <c r="B94" s="133"/>
      <c r="C94" s="133"/>
      <c r="D94" s="133"/>
      <c r="E94" s="133"/>
      <c r="F94" s="133"/>
      <c r="G94" s="133"/>
      <c r="H94" s="133"/>
    </row>
    <row r="95" spans="2:8" ht="12.75">
      <c r="B95" s="133"/>
      <c r="C95" s="133"/>
      <c r="D95" s="133"/>
      <c r="E95" s="133"/>
      <c r="F95" s="133"/>
      <c r="G95" s="133"/>
      <c r="H95" s="133"/>
    </row>
  </sheetData>
  <sheetProtection password="A722" sheet="1" objects="1" scenarios="1"/>
  <mergeCells count="1">
    <mergeCell ref="J48:L48"/>
  </mergeCells>
  <conditionalFormatting sqref="F35:F45 F23:F33 F11:F13 P47 N41:N45 N8:N18 N32:N39 N20:N30 F8:F9 J2 F15:F21">
    <cfRule type="expression" priority="1" dxfId="13" stopIfTrue="1">
      <formula>$H$2=TRUE</formula>
    </cfRule>
  </conditionalFormatting>
  <dataValidations count="1">
    <dataValidation type="whole" operator="lessThan" allowBlank="1" showInputMessage="1" showErrorMessage="1" errorTitle="Allen negatieve waarde" error="U kunt hier alleen negatieve gehele waarde invoeren!&#10;" sqref="P47">
      <formula1>1</formula1>
    </dataValidation>
  </dataValidations>
  <printOptions/>
  <pageMargins left="0.3937007874015748" right="0.1968503937007874" top="0.5905511811023623" bottom="0.5905511811023623" header="0.5118110236220472" footer="0.5118110236220472"/>
  <pageSetup firstPageNumber="24" useFirstPageNumber="1" fitToHeight="1" fitToWidth="1" horizontalDpi="600" verticalDpi="600" orientation="landscape" paperSize="9" scale="72" r:id="rId3"/>
  <headerFooter alignWithMargins="0">
    <oddFooter>&amp;RPagina &amp;P</oddFooter>
  </headerFooter>
  <drawing r:id="rId2"/>
  <legacyDrawing r:id="rId1"/>
</worksheet>
</file>

<file path=xl/worksheets/sheet8.xml><?xml version="1.0" encoding="utf-8"?>
<worksheet xmlns="http://schemas.openxmlformats.org/spreadsheetml/2006/main" xmlns:r="http://schemas.openxmlformats.org/officeDocument/2006/relationships">
  <dimension ref="B1:B9"/>
  <sheetViews>
    <sheetView workbookViewId="0" topLeftCell="A1">
      <selection activeCell="A2" sqref="A2"/>
    </sheetView>
  </sheetViews>
  <sheetFormatPr defaultColWidth="9.140625" defaultRowHeight="12.75"/>
  <cols>
    <col min="1" max="1" width="3.140625" style="0" customWidth="1"/>
    <col min="2" max="2" width="15.28125" style="0" customWidth="1"/>
    <col min="3" max="3" width="2.28125" style="0" customWidth="1"/>
    <col min="4" max="4" width="16.140625" style="0" customWidth="1"/>
    <col min="5" max="5" width="2.7109375" style="0" customWidth="1"/>
    <col min="6" max="6" width="15.7109375" style="0" customWidth="1"/>
    <col min="7" max="7" width="2.00390625" style="0" customWidth="1"/>
  </cols>
  <sheetData>
    <row r="1" ht="15.75">
      <c r="B1" s="544" t="s">
        <v>680</v>
      </c>
    </row>
    <row r="3" ht="12.75">
      <c r="B3" t="s">
        <v>1258</v>
      </c>
    </row>
    <row r="5" ht="12.75">
      <c r="B5" t="s">
        <v>1487</v>
      </c>
    </row>
    <row r="6" ht="12.75">
      <c r="B6" t="s">
        <v>1488</v>
      </c>
    </row>
    <row r="7" ht="12.75">
      <c r="B7" t="s">
        <v>1489</v>
      </c>
    </row>
    <row r="8" ht="12.75">
      <c r="B8" t="s">
        <v>1490</v>
      </c>
    </row>
    <row r="9" ht="12.75">
      <c r="B9" t="s">
        <v>1491</v>
      </c>
    </row>
  </sheetData>
  <sheetProtection/>
  <printOptions/>
  <pageMargins left="0.75" right="0.75" top="1" bottom="1" header="0.5" footer="0.5"/>
  <pageSetup horizontalDpi="600" verticalDpi="600" orientation="portrait" paperSize="9" r:id="rId3"/>
  <legacyDrawing r:id="rId2"/>
  <oleObjects>
    <oleObject progId="Word.Document.8" dvAspect="DVASPECT_ICON" shapeId="1830065" r:id="rId1"/>
  </oleObjects>
</worksheet>
</file>

<file path=xl/worksheets/sheet9.xml><?xml version="1.0" encoding="utf-8"?>
<worksheet xmlns="http://schemas.openxmlformats.org/spreadsheetml/2006/main" xmlns:r="http://schemas.openxmlformats.org/officeDocument/2006/relationships">
  <dimension ref="A1:AG144"/>
  <sheetViews>
    <sheetView showGridLines="0" zoomScale="86" zoomScaleNormal="86" workbookViewId="0" topLeftCell="A1">
      <selection activeCell="A1" sqref="A1"/>
    </sheetView>
  </sheetViews>
  <sheetFormatPr defaultColWidth="9.140625" defaultRowHeight="12.75"/>
  <cols>
    <col min="1" max="1" width="5.421875" style="86" customWidth="1"/>
    <col min="2" max="2" width="19.7109375" style="86" customWidth="1"/>
    <col min="3" max="3" width="49.421875" style="86" customWidth="1"/>
    <col min="4" max="4" width="6.421875" style="86" customWidth="1"/>
    <col min="5" max="5" width="16.140625" style="86" customWidth="1"/>
    <col min="6" max="6" width="8.421875" style="86" customWidth="1"/>
    <col min="7" max="9" width="10.7109375" style="86" customWidth="1"/>
    <col min="10" max="10" width="12.7109375" style="86" bestFit="1" customWidth="1"/>
    <col min="11" max="11" width="10.7109375" style="86" customWidth="1"/>
    <col min="12" max="12" width="4.140625" style="681" customWidth="1"/>
    <col min="13" max="13" width="11.28125" style="682" customWidth="1"/>
    <col min="14" max="14" width="5.421875" style="86" customWidth="1"/>
    <col min="15" max="16" width="9.140625" style="554" hidden="1" customWidth="1"/>
    <col min="17" max="17" width="15.7109375" style="86" hidden="1" customWidth="1"/>
    <col min="18" max="16384" width="9.140625" style="86" customWidth="1"/>
  </cols>
  <sheetData>
    <row r="1" spans="2:15" ht="42.75" customHeight="1">
      <c r="B1" s="1535" t="s">
        <v>1991</v>
      </c>
      <c r="C1" s="1536"/>
      <c r="D1" s="1536"/>
      <c r="E1" s="1536"/>
      <c r="F1" s="1536"/>
      <c r="G1" s="1536"/>
      <c r="H1" s="1536"/>
      <c r="I1" s="1536"/>
      <c r="J1" s="70"/>
      <c r="K1" s="70"/>
      <c r="L1" s="553"/>
      <c r="M1" s="553"/>
      <c r="N1" s="553"/>
      <c r="O1" s="553"/>
    </row>
    <row r="2" spans="2:15" ht="16.5" customHeight="1">
      <c r="B2" s="732">
        <f>voorblad!D34</f>
        <v>0</v>
      </c>
      <c r="C2" s="733"/>
      <c r="D2" s="733"/>
      <c r="E2" s="733"/>
      <c r="F2" s="734" t="s">
        <v>259</v>
      </c>
      <c r="G2" s="735">
        <f>voorblad!F32</f>
        <v>0</v>
      </c>
      <c r="H2" s="733"/>
      <c r="I2" s="733"/>
      <c r="J2" s="70"/>
      <c r="K2" s="70"/>
      <c r="L2" s="553"/>
      <c r="M2" s="553"/>
      <c r="N2" s="553"/>
      <c r="O2" s="553"/>
    </row>
    <row r="3" spans="2:15" ht="18" customHeight="1">
      <c r="B3" s="732"/>
      <c r="C3" s="733"/>
      <c r="D3" s="733"/>
      <c r="E3" s="733"/>
      <c r="F3" s="733"/>
      <c r="G3" s="733"/>
      <c r="H3" s="733"/>
      <c r="I3" s="733"/>
      <c r="J3" s="70"/>
      <c r="K3" s="70"/>
      <c r="L3" s="553"/>
      <c r="M3" s="553"/>
      <c r="N3" s="553"/>
      <c r="O3" s="553"/>
    </row>
    <row r="4" spans="2:15" ht="15.75">
      <c r="B4" s="736" t="s">
        <v>1401</v>
      </c>
      <c r="C4" s="70"/>
      <c r="D4" s="737"/>
      <c r="E4" s="70"/>
      <c r="F4" s="70"/>
      <c r="G4" s="70"/>
      <c r="H4" s="70"/>
      <c r="I4" s="70"/>
      <c r="J4" s="70"/>
      <c r="K4" s="70"/>
      <c r="L4" s="553"/>
      <c r="M4" s="553"/>
      <c r="N4" s="553"/>
      <c r="O4" s="553"/>
    </row>
    <row r="5" spans="2:15" ht="12.75">
      <c r="B5" s="88" t="s">
        <v>1402</v>
      </c>
      <c r="C5" s="88"/>
      <c r="D5" s="738"/>
      <c r="E5" s="88"/>
      <c r="F5" s="88"/>
      <c r="G5" s="88"/>
      <c r="H5" s="88"/>
      <c r="I5" s="70"/>
      <c r="J5" s="70"/>
      <c r="K5" s="70"/>
      <c r="L5" s="553"/>
      <c r="M5" s="553"/>
      <c r="N5" s="553"/>
      <c r="O5" s="553"/>
    </row>
    <row r="6" spans="2:15" ht="12.75">
      <c r="B6" s="88" t="s">
        <v>1403</v>
      </c>
      <c r="C6" s="88"/>
      <c r="D6" s="738"/>
      <c r="E6" s="88"/>
      <c r="F6" s="88"/>
      <c r="G6" s="88"/>
      <c r="H6" s="88"/>
      <c r="I6" s="70"/>
      <c r="J6" s="70"/>
      <c r="K6" s="70"/>
      <c r="L6" s="553"/>
      <c r="M6" s="553"/>
      <c r="N6" s="553"/>
      <c r="O6" s="553"/>
    </row>
    <row r="7" spans="2:15" ht="12.75">
      <c r="B7" s="88" t="s">
        <v>1404</v>
      </c>
      <c r="C7" s="88"/>
      <c r="D7" s="738"/>
      <c r="E7" s="88"/>
      <c r="F7" s="88"/>
      <c r="G7" s="88"/>
      <c r="H7" s="88"/>
      <c r="I7" s="70"/>
      <c r="J7" s="70"/>
      <c r="K7" s="70"/>
      <c r="L7" s="553"/>
      <c r="M7" s="553"/>
      <c r="N7" s="553"/>
      <c r="O7" s="553"/>
    </row>
    <row r="8" spans="2:15" ht="12.75">
      <c r="B8" s="88"/>
      <c r="C8" s="88"/>
      <c r="D8" s="738"/>
      <c r="E8" s="88"/>
      <c r="F8" s="88"/>
      <c r="G8" s="88"/>
      <c r="H8" s="88"/>
      <c r="I8" s="70"/>
      <c r="J8" s="70"/>
      <c r="K8" s="70"/>
      <c r="L8" s="553"/>
      <c r="M8" s="553"/>
      <c r="N8" s="553"/>
      <c r="O8" s="553"/>
    </row>
    <row r="9" spans="2:15" ht="12.75">
      <c r="B9" s="739" t="s">
        <v>1405</v>
      </c>
      <c r="C9" s="739" t="s">
        <v>1406</v>
      </c>
      <c r="D9" s="70"/>
      <c r="E9" s="88"/>
      <c r="F9" s="740" t="s">
        <v>1407</v>
      </c>
      <c r="G9" s="88"/>
      <c r="H9" s="88"/>
      <c r="I9" s="70"/>
      <c r="J9" s="70"/>
      <c r="K9" s="70"/>
      <c r="L9" s="553"/>
      <c r="M9" s="553"/>
      <c r="N9" s="553"/>
      <c r="O9" s="553"/>
    </row>
    <row r="10" spans="1:15" ht="12.75">
      <c r="A10" s="39">
        <v>2301</v>
      </c>
      <c r="B10" s="741">
        <v>3</v>
      </c>
      <c r="C10" s="742" t="s">
        <v>1409</v>
      </c>
      <c r="D10" s="743"/>
      <c r="E10" s="744"/>
      <c r="F10" s="555" t="s">
        <v>1408</v>
      </c>
      <c r="G10" s="88"/>
      <c r="H10" s="88"/>
      <c r="I10" s="70"/>
      <c r="J10" s="70"/>
      <c r="K10" s="70"/>
      <c r="L10" s="553"/>
      <c r="M10" s="553"/>
      <c r="N10" s="553"/>
      <c r="O10" s="553"/>
    </row>
    <row r="11" spans="1:15" ht="12.75">
      <c r="A11" s="39">
        <f aca="true" t="shared" si="0" ref="A11:A17">A10+1</f>
        <v>2302</v>
      </c>
      <c r="B11" s="741">
        <v>4</v>
      </c>
      <c r="C11" s="742" t="s">
        <v>1411</v>
      </c>
      <c r="D11" s="743"/>
      <c r="E11" s="744"/>
      <c r="F11" s="555" t="s">
        <v>1408</v>
      </c>
      <c r="G11" s="88"/>
      <c r="H11" s="88"/>
      <c r="I11" s="70"/>
      <c r="J11" s="70"/>
      <c r="K11" s="70"/>
      <c r="L11" s="553"/>
      <c r="M11" s="553"/>
      <c r="N11" s="553"/>
      <c r="O11" s="553"/>
    </row>
    <row r="12" spans="1:15" ht="12.75">
      <c r="A12" s="39">
        <f t="shared" si="0"/>
        <v>2303</v>
      </c>
      <c r="B12" s="741">
        <v>5</v>
      </c>
      <c r="C12" s="742" t="s">
        <v>1412</v>
      </c>
      <c r="D12" s="743"/>
      <c r="E12" s="744"/>
      <c r="F12" s="555" t="s">
        <v>1408</v>
      </c>
      <c r="G12" s="88"/>
      <c r="H12" s="88"/>
      <c r="I12" s="70"/>
      <c r="J12" s="70"/>
      <c r="K12" s="70"/>
      <c r="L12" s="553"/>
      <c r="M12" s="553"/>
      <c r="N12" s="553"/>
      <c r="O12" s="553"/>
    </row>
    <row r="13" spans="1:15" ht="12.75">
      <c r="A13" s="39">
        <f t="shared" si="0"/>
        <v>2304</v>
      </c>
      <c r="B13" s="741">
        <v>6</v>
      </c>
      <c r="C13" s="742" t="s">
        <v>1413</v>
      </c>
      <c r="D13" s="743"/>
      <c r="E13" s="744"/>
      <c r="F13" s="555" t="s">
        <v>1408</v>
      </c>
      <c r="G13" s="88"/>
      <c r="H13" s="88"/>
      <c r="I13" s="70"/>
      <c r="J13" s="70"/>
      <c r="K13" s="70"/>
      <c r="L13" s="553"/>
      <c r="M13" s="553"/>
      <c r="N13" s="553"/>
      <c r="O13" s="553"/>
    </row>
    <row r="14" spans="1:15" ht="12.75">
      <c r="A14" s="39">
        <f t="shared" si="0"/>
        <v>2305</v>
      </c>
      <c r="B14" s="741">
        <v>7</v>
      </c>
      <c r="C14" s="742" t="s">
        <v>1416</v>
      </c>
      <c r="D14" s="743"/>
      <c r="E14" s="744"/>
      <c r="F14" s="555" t="s">
        <v>1408</v>
      </c>
      <c r="G14" s="88"/>
      <c r="H14" s="88"/>
      <c r="I14" s="70"/>
      <c r="J14" s="70"/>
      <c r="K14" s="70"/>
      <c r="L14" s="553"/>
      <c r="M14" s="553"/>
      <c r="N14" s="553"/>
      <c r="O14" s="553"/>
    </row>
    <row r="15" spans="1:15" ht="12.75">
      <c r="A15" s="39">
        <f t="shared" si="0"/>
        <v>2306</v>
      </c>
      <c r="B15" s="741">
        <v>8</v>
      </c>
      <c r="C15" s="742" t="s">
        <v>1417</v>
      </c>
      <c r="D15" s="743"/>
      <c r="E15" s="744"/>
      <c r="F15" s="555" t="s">
        <v>1408</v>
      </c>
      <c r="G15" s="88"/>
      <c r="H15" s="88"/>
      <c r="I15" s="70"/>
      <c r="J15" s="70"/>
      <c r="K15" s="70"/>
      <c r="L15" s="553"/>
      <c r="M15" s="553"/>
      <c r="N15" s="553"/>
      <c r="O15" s="553"/>
    </row>
    <row r="16" spans="1:15" ht="12.75">
      <c r="A16" s="39">
        <f t="shared" si="0"/>
        <v>2307</v>
      </c>
      <c r="B16" s="741">
        <v>11</v>
      </c>
      <c r="C16" s="742" t="s">
        <v>1418</v>
      </c>
      <c r="D16" s="743"/>
      <c r="E16" s="744"/>
      <c r="F16" s="555" t="s">
        <v>1408</v>
      </c>
      <c r="G16" s="88"/>
      <c r="H16" s="88"/>
      <c r="I16" s="70"/>
      <c r="J16" s="70"/>
      <c r="K16" s="70"/>
      <c r="L16" s="553"/>
      <c r="M16" s="553"/>
      <c r="N16" s="553"/>
      <c r="O16" s="553"/>
    </row>
    <row r="17" spans="1:15" ht="12.75">
      <c r="A17" s="36">
        <f t="shared" si="0"/>
        <v>2308</v>
      </c>
      <c r="B17" s="741">
        <v>16</v>
      </c>
      <c r="C17" s="742" t="s">
        <v>1492</v>
      </c>
      <c r="D17" s="743"/>
      <c r="E17" s="744"/>
      <c r="F17" s="555" t="s">
        <v>1408</v>
      </c>
      <c r="G17" s="88"/>
      <c r="H17" s="88"/>
      <c r="I17" s="70"/>
      <c r="J17" s="70"/>
      <c r="K17" s="70"/>
      <c r="L17" s="553"/>
      <c r="M17" s="553"/>
      <c r="N17" s="553"/>
      <c r="O17" s="553"/>
    </row>
    <row r="18" spans="2:11" ht="12.75">
      <c r="B18" s="384"/>
      <c r="C18" s="384"/>
      <c r="D18" s="384"/>
      <c r="E18" s="384"/>
      <c r="F18" s="384"/>
      <c r="G18" s="384"/>
      <c r="H18" s="384"/>
      <c r="I18" s="384"/>
      <c r="J18" s="384"/>
      <c r="K18" s="384"/>
    </row>
    <row r="19" spans="2:11" ht="12.75">
      <c r="B19" s="384"/>
      <c r="C19" s="384"/>
      <c r="D19" s="384"/>
      <c r="E19" s="384"/>
      <c r="F19" s="384"/>
      <c r="G19" s="384"/>
      <c r="H19" s="384"/>
      <c r="I19" s="384"/>
      <c r="J19" s="384"/>
      <c r="K19" s="384"/>
    </row>
    <row r="20" spans="2:11" ht="12.75">
      <c r="B20" s="384"/>
      <c r="C20" s="384"/>
      <c r="D20" s="384"/>
      <c r="E20" s="384"/>
      <c r="F20" s="384"/>
      <c r="G20" s="384"/>
      <c r="H20" s="384"/>
      <c r="I20" s="384"/>
      <c r="J20" s="384"/>
      <c r="K20" s="384"/>
    </row>
    <row r="21" spans="2:11" ht="12.75">
      <c r="B21" s="384"/>
      <c r="C21" s="384"/>
      <c r="D21" s="384"/>
      <c r="E21" s="384"/>
      <c r="F21" s="384"/>
      <c r="G21" s="384"/>
      <c r="H21" s="384"/>
      <c r="I21" s="384"/>
      <c r="J21" s="384"/>
      <c r="K21" s="384"/>
    </row>
    <row r="22" spans="1:18" s="561" customFormat="1" ht="15" customHeight="1">
      <c r="A22" s="803"/>
      <c r="B22" s="556" t="s">
        <v>1636</v>
      </c>
      <c r="C22" s="557"/>
      <c r="D22" s="556" t="s">
        <v>1493</v>
      </c>
      <c r="E22" s="556" t="s">
        <v>1493</v>
      </c>
      <c r="F22" s="556"/>
      <c r="G22" s="558"/>
      <c r="H22" s="558"/>
      <c r="I22" s="204"/>
      <c r="J22" s="558"/>
      <c r="K22" s="559"/>
      <c r="L22" s="208"/>
      <c r="M22" s="208"/>
      <c r="N22" s="208"/>
      <c r="O22" s="560"/>
      <c r="P22" s="560"/>
      <c r="Q22" s="208"/>
      <c r="R22" s="208"/>
    </row>
    <row r="23" spans="2:18" ht="6" customHeight="1">
      <c r="B23" s="564"/>
      <c r="D23" s="565"/>
      <c r="G23" s="566"/>
      <c r="H23" s="564"/>
      <c r="I23" s="8"/>
      <c r="J23" s="8"/>
      <c r="K23" s="8"/>
      <c r="L23" s="8"/>
      <c r="M23" s="567"/>
      <c r="N23" s="568"/>
      <c r="O23" s="569"/>
      <c r="P23" s="563"/>
      <c r="Q23" s="133"/>
      <c r="R23" s="133"/>
    </row>
    <row r="24" spans="2:18" ht="15" customHeight="1">
      <c r="B24" s="564"/>
      <c r="C24" s="552" t="s">
        <v>1494</v>
      </c>
      <c r="D24" s="565"/>
      <c r="E24" s="571" t="b">
        <v>1</v>
      </c>
      <c r="F24" s="572"/>
      <c r="G24" s="573" t="str">
        <f>IF(E24=TRUE,"Invoervelden gearceerd","Invoervelden niet gearceerd")</f>
        <v>Invoervelden gearceerd</v>
      </c>
      <c r="H24" s="574"/>
      <c r="I24" s="575"/>
      <c r="J24" s="863">
        <f>IF(OR(voorblad!A3=3,voorblad!A3=4),2,1)</f>
        <v>1</v>
      </c>
      <c r="K24" s="75"/>
      <c r="L24" s="5"/>
      <c r="N24" s="133"/>
      <c r="O24" s="576" t="s">
        <v>1495</v>
      </c>
      <c r="P24" s="724"/>
      <c r="Q24" s="252"/>
      <c r="R24" s="133"/>
    </row>
    <row r="25" spans="2:18" ht="6" customHeight="1">
      <c r="B25" s="577"/>
      <c r="D25" s="562"/>
      <c r="E25" s="562"/>
      <c r="F25" s="562"/>
      <c r="G25" s="17"/>
      <c r="H25" s="17"/>
      <c r="I25" s="133"/>
      <c r="J25" s="133"/>
      <c r="K25" s="133"/>
      <c r="L25" s="133"/>
      <c r="M25" s="133"/>
      <c r="N25" s="133"/>
      <c r="O25" s="563"/>
      <c r="P25" s="563"/>
      <c r="Q25" s="133"/>
      <c r="R25" s="133"/>
    </row>
    <row r="26" spans="2:18" ht="12.75" customHeight="1">
      <c r="B26" s="579"/>
      <c r="D26" s="580"/>
      <c r="E26" s="580"/>
      <c r="F26" s="580"/>
      <c r="G26" s="581">
        <v>1</v>
      </c>
      <c r="H26" s="581">
        <v>2</v>
      </c>
      <c r="I26" s="582">
        <v>3</v>
      </c>
      <c r="J26" s="581">
        <v>4</v>
      </c>
      <c r="K26" s="582">
        <v>5</v>
      </c>
      <c r="L26" s="133"/>
      <c r="M26" s="133"/>
      <c r="N26" s="133"/>
      <c r="O26" s="563"/>
      <c r="P26" s="563"/>
      <c r="Q26" s="133"/>
      <c r="R26" s="133"/>
    </row>
    <row r="27" spans="2:18" ht="12.75" customHeight="1">
      <c r="B27" s="400"/>
      <c r="C27" s="578" t="s">
        <v>721</v>
      </c>
      <c r="D27" s="584" t="s">
        <v>1469</v>
      </c>
      <c r="E27" s="39" t="s">
        <v>1479</v>
      </c>
      <c r="F27" s="585" t="s">
        <v>226</v>
      </c>
      <c r="G27" s="26" t="s">
        <v>886</v>
      </c>
      <c r="H27" s="26" t="str">
        <f>IF($J$24=1,"Totaal","Mutatie")</f>
        <v>Totaal</v>
      </c>
      <c r="I27" s="586" t="s">
        <v>221</v>
      </c>
      <c r="J27" s="26" t="s">
        <v>1496</v>
      </c>
      <c r="K27" s="26" t="s">
        <v>1497</v>
      </c>
      <c r="L27" s="495"/>
      <c r="M27" s="26" t="s">
        <v>1498</v>
      </c>
      <c r="N27" s="133"/>
      <c r="O27" s="563"/>
      <c r="P27" s="563"/>
      <c r="Q27" s="133"/>
      <c r="R27" s="133"/>
    </row>
    <row r="28" spans="2:18" ht="12.75" customHeight="1">
      <c r="B28" s="565"/>
      <c r="C28" s="578" t="s">
        <v>722</v>
      </c>
      <c r="D28" s="587" t="s">
        <v>1470</v>
      </c>
      <c r="E28" s="588"/>
      <c r="F28" s="589" t="s">
        <v>1499</v>
      </c>
      <c r="G28" s="590" t="s">
        <v>1500</v>
      </c>
      <c r="H28" s="590" t="s">
        <v>1501</v>
      </c>
      <c r="I28" s="591"/>
      <c r="J28" s="590" t="s">
        <v>1502</v>
      </c>
      <c r="K28" s="592"/>
      <c r="L28" s="495"/>
      <c r="M28" s="590" t="s">
        <v>1502</v>
      </c>
      <c r="N28" s="133"/>
      <c r="O28" s="563"/>
      <c r="P28" s="563"/>
      <c r="Q28" s="133"/>
      <c r="R28" s="133"/>
    </row>
    <row r="29" spans="2:18" ht="12.75" customHeight="1">
      <c r="B29" s="400"/>
      <c r="C29" s="583"/>
      <c r="D29" s="587"/>
      <c r="E29" s="588"/>
      <c r="F29" s="593"/>
      <c r="G29" s="591"/>
      <c r="H29" s="591"/>
      <c r="I29" s="591"/>
      <c r="J29" s="725" t="s">
        <v>1480</v>
      </c>
      <c r="K29" s="592"/>
      <c r="L29" s="495"/>
      <c r="M29" s="590"/>
      <c r="N29" s="133"/>
      <c r="O29" s="563"/>
      <c r="P29" s="563"/>
      <c r="Q29" s="133"/>
      <c r="R29" s="133"/>
    </row>
    <row r="30" spans="2:18" ht="12.75">
      <c r="B30" s="565"/>
      <c r="C30" s="583"/>
      <c r="D30" s="587"/>
      <c r="E30" s="588"/>
      <c r="F30" s="593"/>
      <c r="G30" s="591"/>
      <c r="H30" s="591"/>
      <c r="I30" s="591"/>
      <c r="J30" s="592" t="s">
        <v>1481</v>
      </c>
      <c r="K30" s="592"/>
      <c r="L30" s="495"/>
      <c r="M30" s="590"/>
      <c r="N30" s="133"/>
      <c r="O30" s="563"/>
      <c r="P30" s="563"/>
      <c r="Q30" s="133"/>
      <c r="R30" s="133"/>
    </row>
    <row r="31" spans="2:33" ht="12.75">
      <c r="B31" s="565"/>
      <c r="C31" s="565"/>
      <c r="D31" s="594"/>
      <c r="E31" s="595"/>
      <c r="F31" s="596"/>
      <c r="G31" s="597">
        <f>voorblad!E4</f>
        <v>2006</v>
      </c>
      <c r="H31" s="597">
        <f>G31</f>
        <v>2006</v>
      </c>
      <c r="I31" s="597">
        <f>G31</f>
        <v>2006</v>
      </c>
      <c r="J31" s="597">
        <f>G31</f>
        <v>2006</v>
      </c>
      <c r="K31" s="32"/>
      <c r="L31" s="495"/>
      <c r="M31" s="597">
        <f>G31</f>
        <v>2006</v>
      </c>
      <c r="N31" s="133"/>
      <c r="O31" s="563"/>
      <c r="P31" s="563"/>
      <c r="Q31" s="133"/>
      <c r="R31" s="133"/>
      <c r="AE31" s="598"/>
      <c r="AF31" s="598"/>
      <c r="AG31" s="598"/>
    </row>
    <row r="32" spans="2:33" ht="15" customHeight="1">
      <c r="B32" s="1533" t="s">
        <v>1637</v>
      </c>
      <c r="C32" s="1414"/>
      <c r="D32" s="580"/>
      <c r="E32" s="599"/>
      <c r="F32" s="599"/>
      <c r="H32" s="534"/>
      <c r="I32" s="601" t="s">
        <v>1503</v>
      </c>
      <c r="J32" s="602" t="s">
        <v>1761</v>
      </c>
      <c r="K32" s="603" t="s">
        <v>1504</v>
      </c>
      <c r="L32" s="133"/>
      <c r="M32" s="604"/>
      <c r="N32" s="133"/>
      <c r="O32" s="563"/>
      <c r="P32" s="563"/>
      <c r="Q32" s="133"/>
      <c r="R32" s="133"/>
      <c r="AE32" s="598"/>
      <c r="AF32" s="598"/>
      <c r="AG32" s="598"/>
    </row>
    <row r="33" spans="1:33" ht="15" customHeight="1">
      <c r="A33" s="39">
        <v>2401</v>
      </c>
      <c r="B33" s="605" t="s">
        <v>723</v>
      </c>
      <c r="C33" s="606" t="s">
        <v>705</v>
      </c>
      <c r="D33" s="607" t="s">
        <v>706</v>
      </c>
      <c r="E33" s="607" t="s">
        <v>288</v>
      </c>
      <c r="F33" s="608" t="str">
        <f>IF($F$10="ja","ja","nee")</f>
        <v>nee</v>
      </c>
      <c r="G33" s="609"/>
      <c r="H33" s="609"/>
      <c r="I33" s="610">
        <f>H33-G33</f>
        <v>0</v>
      </c>
      <c r="J33" s="611"/>
      <c r="K33" s="610">
        <f>ROUND((J33),1)*H33</f>
        <v>0</v>
      </c>
      <c r="L33" s="612"/>
      <c r="M33" s="613">
        <v>15.2</v>
      </c>
      <c r="N33" s="133"/>
      <c r="O33" s="614">
        <f>IF(J33&gt;M33,1,0)</f>
        <v>0</v>
      </c>
      <c r="P33" s="563"/>
      <c r="Q33" s="133">
        <f>K33*A33</f>
        <v>0</v>
      </c>
      <c r="R33" s="133"/>
      <c r="AE33" s="598"/>
      <c r="AF33" s="598"/>
      <c r="AG33" s="598"/>
    </row>
    <row r="34" spans="1:33" ht="15" customHeight="1">
      <c r="A34" s="36">
        <f>A33+1</f>
        <v>2402</v>
      </c>
      <c r="B34" s="605" t="s">
        <v>289</v>
      </c>
      <c r="C34" s="606" t="s">
        <v>1409</v>
      </c>
      <c r="D34" s="607" t="s">
        <v>290</v>
      </c>
      <c r="E34" s="607" t="s">
        <v>288</v>
      </c>
      <c r="F34" s="608" t="str">
        <f>IF($F$10="ja","ja","nee")</f>
        <v>nee</v>
      </c>
      <c r="G34" s="609"/>
      <c r="H34" s="609"/>
      <c r="I34" s="610">
        <f>H34-G34</f>
        <v>0</v>
      </c>
      <c r="J34" s="611"/>
      <c r="K34" s="610">
        <f>ROUND((J34),1)*H34</f>
        <v>0</v>
      </c>
      <c r="L34" s="612"/>
      <c r="M34" s="613">
        <v>24.3</v>
      </c>
      <c r="N34" s="133"/>
      <c r="O34" s="615">
        <f>IF(J34&gt;M34,1,0)</f>
        <v>0</v>
      </c>
      <c r="P34" s="563"/>
      <c r="Q34" s="133">
        <f>K34*A34</f>
        <v>0</v>
      </c>
      <c r="R34" s="133"/>
      <c r="AE34" s="598"/>
      <c r="AF34" s="598"/>
      <c r="AG34" s="598"/>
    </row>
    <row r="35" spans="2:33" ht="5.25" customHeight="1">
      <c r="B35" s="616"/>
      <c r="C35" s="617"/>
      <c r="D35" s="618"/>
      <c r="E35" s="618"/>
      <c r="F35" s="618"/>
      <c r="G35" s="532"/>
      <c r="H35" s="532"/>
      <c r="I35" s="619"/>
      <c r="J35" s="532"/>
      <c r="K35" s="619"/>
      <c r="L35" s="133"/>
      <c r="M35" s="620"/>
      <c r="N35" s="133"/>
      <c r="O35" s="615"/>
      <c r="P35" s="563"/>
      <c r="Q35" s="133"/>
      <c r="R35" s="133"/>
      <c r="AE35" s="598"/>
      <c r="AF35" s="598"/>
      <c r="AG35" s="598"/>
    </row>
    <row r="36" spans="2:33" ht="13.5" customHeight="1">
      <c r="B36" s="1533" t="s">
        <v>1638</v>
      </c>
      <c r="C36" s="1414"/>
      <c r="D36" s="621"/>
      <c r="E36" s="621"/>
      <c r="F36" s="621"/>
      <c r="G36" s="534"/>
      <c r="H36" s="534"/>
      <c r="I36" s="622"/>
      <c r="J36" s="534"/>
      <c r="K36" s="622"/>
      <c r="L36" s="133"/>
      <c r="M36" s="623"/>
      <c r="N36" s="133"/>
      <c r="O36" s="615"/>
      <c r="P36" s="563"/>
      <c r="Q36" s="133"/>
      <c r="R36" s="133"/>
      <c r="AE36" s="598"/>
      <c r="AF36" s="598"/>
      <c r="AG36" s="598"/>
    </row>
    <row r="37" spans="1:33" ht="15" customHeight="1">
      <c r="A37" s="39">
        <f>A34+1</f>
        <v>2403</v>
      </c>
      <c r="B37" s="605" t="s">
        <v>1452</v>
      </c>
      <c r="C37" s="606" t="s">
        <v>1411</v>
      </c>
      <c r="D37" s="607" t="s">
        <v>960</v>
      </c>
      <c r="E37" s="624" t="s">
        <v>288</v>
      </c>
      <c r="F37" s="608" t="str">
        <f>IF($F$11="ja","ja","nee")</f>
        <v>nee</v>
      </c>
      <c r="G37" s="609"/>
      <c r="H37" s="609"/>
      <c r="I37" s="610">
        <f>H37-G37</f>
        <v>0</v>
      </c>
      <c r="J37" s="611"/>
      <c r="K37" s="610">
        <f>ROUND((J37),1)*H37</f>
        <v>0</v>
      </c>
      <c r="L37" s="612"/>
      <c r="M37" s="613">
        <v>41.6</v>
      </c>
      <c r="N37" s="133"/>
      <c r="O37" s="615">
        <f>IF(J37&gt;M37,1,0)</f>
        <v>0</v>
      </c>
      <c r="P37" s="563"/>
      <c r="Q37" s="133">
        <f>K37*A37</f>
        <v>0</v>
      </c>
      <c r="R37" s="133"/>
      <c r="AE37" s="598"/>
      <c r="AF37" s="598"/>
      <c r="AG37" s="598"/>
    </row>
    <row r="38" spans="1:33" ht="15" customHeight="1">
      <c r="A38" s="36">
        <f>A37+1</f>
        <v>2404</v>
      </c>
      <c r="B38" s="605" t="s">
        <v>1452</v>
      </c>
      <c r="C38" s="606" t="s">
        <v>961</v>
      </c>
      <c r="D38" s="607" t="s">
        <v>962</v>
      </c>
      <c r="E38" s="624" t="s">
        <v>288</v>
      </c>
      <c r="F38" s="608" t="str">
        <f>IF($F$11="ja","ja","nee")</f>
        <v>nee</v>
      </c>
      <c r="G38" s="609"/>
      <c r="H38" s="609"/>
      <c r="I38" s="610">
        <f>H38-G38</f>
        <v>0</v>
      </c>
      <c r="J38" s="611"/>
      <c r="K38" s="610">
        <f>ROUND((J38),1)*H38</f>
        <v>0</v>
      </c>
      <c r="L38" s="612"/>
      <c r="M38" s="613">
        <v>44.5</v>
      </c>
      <c r="N38" s="133"/>
      <c r="O38" s="615">
        <f>IF(J38&gt;M38,1,0)</f>
        <v>0</v>
      </c>
      <c r="P38" s="563"/>
      <c r="Q38" s="133">
        <f>K38*A38</f>
        <v>0</v>
      </c>
      <c r="R38" s="133"/>
      <c r="AE38" s="598"/>
      <c r="AF38" s="598"/>
      <c r="AG38" s="598"/>
    </row>
    <row r="39" spans="1:33" ht="15" customHeight="1">
      <c r="A39" s="36">
        <f>A38+1</f>
        <v>2405</v>
      </c>
      <c r="B39" s="605" t="s">
        <v>1452</v>
      </c>
      <c r="C39" s="606" t="s">
        <v>299</v>
      </c>
      <c r="D39" s="607" t="s">
        <v>298</v>
      </c>
      <c r="E39" s="624" t="s">
        <v>288</v>
      </c>
      <c r="F39" s="608" t="str">
        <f>IF($F$11="ja","ja","nee")</f>
        <v>nee</v>
      </c>
      <c r="G39" s="609"/>
      <c r="H39" s="609"/>
      <c r="I39" s="610">
        <f>H39-G39</f>
        <v>0</v>
      </c>
      <c r="J39" s="611"/>
      <c r="K39" s="610">
        <f>ROUND((J39),1)*H39</f>
        <v>0</v>
      </c>
      <c r="L39" s="612"/>
      <c r="M39" s="613">
        <v>62.1</v>
      </c>
      <c r="N39" s="133"/>
      <c r="O39" s="615">
        <f>IF(J39&gt;M39,1,0)</f>
        <v>0</v>
      </c>
      <c r="P39" s="563"/>
      <c r="Q39" s="133">
        <f>K39*A39</f>
        <v>0</v>
      </c>
      <c r="R39" s="133"/>
      <c r="AE39" s="598"/>
      <c r="AF39" s="598"/>
      <c r="AG39" s="598"/>
    </row>
    <row r="40" spans="2:33" ht="6" customHeight="1">
      <c r="B40" s="565"/>
      <c r="C40" s="631"/>
      <c r="D40" s="800"/>
      <c r="E40" s="1052"/>
      <c r="F40" s="1052"/>
      <c r="G40" s="133"/>
      <c r="H40" s="133"/>
      <c r="I40" s="650"/>
      <c r="J40" s="133"/>
      <c r="K40" s="650"/>
      <c r="L40" s="133"/>
      <c r="M40" s="634"/>
      <c r="N40" s="133"/>
      <c r="O40" s="615"/>
      <c r="P40" s="563"/>
      <c r="Q40" s="133"/>
      <c r="R40" s="133"/>
      <c r="AE40" s="598"/>
      <c r="AF40" s="598"/>
      <c r="AG40" s="598"/>
    </row>
    <row r="41" spans="2:33" ht="15" customHeight="1">
      <c r="B41" s="1530" t="s">
        <v>1639</v>
      </c>
      <c r="C41" s="1532"/>
      <c r="D41" s="621"/>
      <c r="E41" s="626"/>
      <c r="F41" s="626"/>
      <c r="G41" s="534"/>
      <c r="H41" s="534"/>
      <c r="I41" s="622"/>
      <c r="J41" s="534"/>
      <c r="K41" s="622"/>
      <c r="L41" s="133"/>
      <c r="M41" s="623"/>
      <c r="N41" s="133"/>
      <c r="O41" s="615"/>
      <c r="P41" s="563"/>
      <c r="Q41" s="133"/>
      <c r="R41" s="133"/>
      <c r="AE41" s="598"/>
      <c r="AF41" s="598"/>
      <c r="AG41" s="598"/>
    </row>
    <row r="42" spans="1:33" ht="15" customHeight="1">
      <c r="A42" s="39">
        <f>A38+1</f>
        <v>2405</v>
      </c>
      <c r="B42" s="605" t="s">
        <v>1453</v>
      </c>
      <c r="C42" s="606" t="s">
        <v>1412</v>
      </c>
      <c r="D42" s="607" t="s">
        <v>291</v>
      </c>
      <c r="E42" s="627" t="s">
        <v>288</v>
      </c>
      <c r="F42" s="608" t="str">
        <f>IF($F$12="ja","ja","nee")</f>
        <v>nee</v>
      </c>
      <c r="G42" s="609"/>
      <c r="H42" s="609"/>
      <c r="I42" s="610">
        <f>H42-G42</f>
        <v>0</v>
      </c>
      <c r="J42" s="611"/>
      <c r="K42" s="610">
        <f>ROUND((J42),1)*H42</f>
        <v>0</v>
      </c>
      <c r="L42" s="612"/>
      <c r="M42" s="613">
        <v>62.1</v>
      </c>
      <c r="N42" s="133"/>
      <c r="O42" s="615">
        <f>IF(J42&gt;M42,1,0)</f>
        <v>0</v>
      </c>
      <c r="P42" s="563"/>
      <c r="Q42" s="133">
        <f>K42*A42</f>
        <v>0</v>
      </c>
      <c r="R42" s="133"/>
      <c r="AE42" s="598"/>
      <c r="AF42" s="598"/>
      <c r="AG42" s="598"/>
    </row>
    <row r="43" spans="1:33" ht="15" customHeight="1">
      <c r="A43" s="39">
        <f>A42+1</f>
        <v>2406</v>
      </c>
      <c r="B43" s="605" t="s">
        <v>1453</v>
      </c>
      <c r="C43" s="606" t="s">
        <v>963</v>
      </c>
      <c r="D43" s="607" t="s">
        <v>1624</v>
      </c>
      <c r="E43" s="624" t="s">
        <v>288</v>
      </c>
      <c r="F43" s="608" t="str">
        <f>IF($F$12="ja","ja","nee")</f>
        <v>nee</v>
      </c>
      <c r="G43" s="609"/>
      <c r="H43" s="609"/>
      <c r="I43" s="610">
        <f>H43-G43</f>
        <v>0</v>
      </c>
      <c r="J43" s="611"/>
      <c r="K43" s="610">
        <f>ROUND((J43),1)*H43</f>
        <v>0</v>
      </c>
      <c r="L43" s="612"/>
      <c r="M43" s="613">
        <v>66.5</v>
      </c>
      <c r="N43" s="133"/>
      <c r="O43" s="615">
        <f>IF(J43&gt;M43,1,0)</f>
        <v>0</v>
      </c>
      <c r="P43" s="563"/>
      <c r="Q43" s="133">
        <f>K43*A43</f>
        <v>0</v>
      </c>
      <c r="R43" s="133"/>
      <c r="AE43" s="598"/>
      <c r="AF43" s="598"/>
      <c r="AG43" s="598"/>
    </row>
    <row r="44" spans="1:33" ht="14.25">
      <c r="A44" s="36">
        <f>A43+1</f>
        <v>2407</v>
      </c>
      <c r="B44" s="605" t="s">
        <v>1453</v>
      </c>
      <c r="C44" s="605" t="s">
        <v>964</v>
      </c>
      <c r="D44" s="607" t="s">
        <v>1625</v>
      </c>
      <c r="E44" s="624" t="s">
        <v>288</v>
      </c>
      <c r="F44" s="608" t="str">
        <f>IF($F$12="ja","ja","nee")</f>
        <v>nee</v>
      </c>
      <c r="G44" s="609"/>
      <c r="H44" s="609"/>
      <c r="I44" s="610">
        <f>H44-G44</f>
        <v>0</v>
      </c>
      <c r="J44" s="611"/>
      <c r="K44" s="610">
        <f>ROUND((J44),1)*H44</f>
        <v>0</v>
      </c>
      <c r="L44" s="612"/>
      <c r="M44" s="613">
        <v>67.2</v>
      </c>
      <c r="N44" s="133"/>
      <c r="O44" s="615">
        <f>IF(J44&gt;M44,1,0)</f>
        <v>0</v>
      </c>
      <c r="P44" s="563"/>
      <c r="Q44" s="133">
        <f>K44*A44</f>
        <v>0</v>
      </c>
      <c r="R44" s="133"/>
      <c r="AE44" s="598"/>
      <c r="AF44" s="598"/>
      <c r="AG44" s="598"/>
    </row>
    <row r="45" spans="1:33" ht="14.25">
      <c r="A45" s="36">
        <f>A44+1</f>
        <v>2408</v>
      </c>
      <c r="B45" s="605" t="s">
        <v>1453</v>
      </c>
      <c r="C45" s="605" t="s">
        <v>1454</v>
      </c>
      <c r="D45" s="607" t="s">
        <v>1626</v>
      </c>
      <c r="E45" s="624" t="s">
        <v>288</v>
      </c>
      <c r="F45" s="608" t="str">
        <f>IF($F$12="ja","ja","nee")</f>
        <v>nee</v>
      </c>
      <c r="G45" s="609"/>
      <c r="H45" s="609"/>
      <c r="I45" s="610">
        <f>H45-G45</f>
        <v>0</v>
      </c>
      <c r="J45" s="611"/>
      <c r="K45" s="610">
        <f>ROUND((J45),1)*H45</f>
        <v>0</v>
      </c>
      <c r="L45" s="133"/>
      <c r="M45" s="613">
        <v>62.1</v>
      </c>
      <c r="N45" s="133"/>
      <c r="O45" s="615">
        <f>IF(J45&gt;M45,1,0)</f>
        <v>0</v>
      </c>
      <c r="P45" s="563"/>
      <c r="Q45" s="133">
        <f>K45*A45</f>
        <v>0</v>
      </c>
      <c r="R45" s="133"/>
      <c r="AE45" s="598"/>
      <c r="AF45" s="598"/>
      <c r="AG45" s="598"/>
    </row>
    <row r="46" spans="2:33" ht="5.25" customHeight="1">
      <c r="B46" s="565"/>
      <c r="C46" s="565"/>
      <c r="D46" s="800"/>
      <c r="E46" s="801"/>
      <c r="F46" s="628"/>
      <c r="G46" s="532"/>
      <c r="H46" s="532"/>
      <c r="I46" s="619"/>
      <c r="J46" s="532"/>
      <c r="K46" s="619"/>
      <c r="L46" s="133"/>
      <c r="M46" s="620"/>
      <c r="N46" s="133"/>
      <c r="O46" s="615"/>
      <c r="P46" s="563"/>
      <c r="Q46" s="133"/>
      <c r="R46" s="133"/>
      <c r="AE46" s="598"/>
      <c r="AF46" s="598"/>
      <c r="AG46" s="598"/>
    </row>
    <row r="47" spans="2:33" ht="15" customHeight="1">
      <c r="B47" s="1530" t="s">
        <v>1640</v>
      </c>
      <c r="C47" s="1532"/>
      <c r="D47" s="621"/>
      <c r="E47" s="629"/>
      <c r="F47" s="629"/>
      <c r="G47" s="534"/>
      <c r="H47" s="534"/>
      <c r="I47" s="622"/>
      <c r="J47" s="534"/>
      <c r="K47" s="622"/>
      <c r="L47" s="133"/>
      <c r="M47" s="623"/>
      <c r="N47" s="133"/>
      <c r="O47" s="615"/>
      <c r="P47" s="563"/>
      <c r="Q47" s="133"/>
      <c r="R47" s="133"/>
      <c r="AE47" s="598"/>
      <c r="AF47" s="598"/>
      <c r="AG47" s="598"/>
    </row>
    <row r="48" spans="1:33" ht="15" customHeight="1">
      <c r="A48" s="39">
        <f>A45+1</f>
        <v>2409</v>
      </c>
      <c r="B48" s="605" t="s">
        <v>1455</v>
      </c>
      <c r="C48" s="606" t="s">
        <v>965</v>
      </c>
      <c r="D48" s="607" t="s">
        <v>292</v>
      </c>
      <c r="E48" s="624" t="s">
        <v>288</v>
      </c>
      <c r="F48" s="608" t="str">
        <f>IF($F$13="ja","ja","nee")</f>
        <v>nee</v>
      </c>
      <c r="G48" s="609"/>
      <c r="H48" s="609"/>
      <c r="I48" s="610">
        <f>H48-G48</f>
        <v>0</v>
      </c>
      <c r="J48" s="611"/>
      <c r="K48" s="610">
        <f>ROUND((J48),1)*H48</f>
        <v>0</v>
      </c>
      <c r="L48" s="612"/>
      <c r="M48" s="613">
        <v>44.6</v>
      </c>
      <c r="N48" s="133"/>
      <c r="O48" s="615">
        <f>IF(J48&gt;M48,1,0)</f>
        <v>0</v>
      </c>
      <c r="P48" s="563"/>
      <c r="Q48" s="133">
        <f>K48*A48</f>
        <v>0</v>
      </c>
      <c r="R48" s="133"/>
      <c r="AE48" s="598"/>
      <c r="AF48" s="598"/>
      <c r="AG48" s="598"/>
    </row>
    <row r="49" spans="1:33" ht="15" customHeight="1">
      <c r="A49" s="36">
        <f>A48+1</f>
        <v>2410</v>
      </c>
      <c r="B49" s="605" t="s">
        <v>1455</v>
      </c>
      <c r="C49" s="606" t="s">
        <v>973</v>
      </c>
      <c r="D49" s="607" t="s">
        <v>974</v>
      </c>
      <c r="E49" s="624" t="s">
        <v>288</v>
      </c>
      <c r="F49" s="608" t="str">
        <f>IF($F$13="ja","ja","nee")</f>
        <v>nee</v>
      </c>
      <c r="G49" s="609"/>
      <c r="H49" s="609"/>
      <c r="I49" s="610">
        <f>H49-G49</f>
        <v>0</v>
      </c>
      <c r="J49" s="611"/>
      <c r="K49" s="610">
        <f>ROUND((J49),1)*H49</f>
        <v>0</v>
      </c>
      <c r="L49" s="612"/>
      <c r="M49" s="613">
        <v>47.8</v>
      </c>
      <c r="N49" s="133"/>
      <c r="O49" s="615">
        <f>IF(J49&gt;M49,1,0)</f>
        <v>0</v>
      </c>
      <c r="P49" s="563"/>
      <c r="Q49" s="133">
        <f>K49*A49</f>
        <v>0</v>
      </c>
      <c r="R49" s="133"/>
      <c r="AE49" s="598"/>
      <c r="AF49" s="598"/>
      <c r="AG49" s="598"/>
    </row>
    <row r="50" spans="1:33" ht="15" customHeight="1">
      <c r="A50" s="36">
        <f>A49+1</f>
        <v>2411</v>
      </c>
      <c r="B50" s="605" t="s">
        <v>1455</v>
      </c>
      <c r="C50" s="606" t="s">
        <v>300</v>
      </c>
      <c r="D50" s="607" t="s">
        <v>1457</v>
      </c>
      <c r="E50" s="624" t="s">
        <v>288</v>
      </c>
      <c r="F50" s="608" t="str">
        <f>IF($F$13="ja","ja","nee")</f>
        <v>nee</v>
      </c>
      <c r="G50" s="609"/>
      <c r="H50" s="609"/>
      <c r="I50" s="610">
        <f>H50-G50</f>
        <v>0</v>
      </c>
      <c r="J50" s="611"/>
      <c r="K50" s="610">
        <f>ROUND((J50),1)*H50</f>
        <v>0</v>
      </c>
      <c r="L50" s="612"/>
      <c r="M50" s="613">
        <v>73.8</v>
      </c>
      <c r="N50" s="133"/>
      <c r="O50" s="615">
        <f>IF(J50&gt;M50,1,0)</f>
        <v>0</v>
      </c>
      <c r="P50" s="563"/>
      <c r="Q50" s="133">
        <f>K50*A50</f>
        <v>0</v>
      </c>
      <c r="R50" s="133"/>
      <c r="AE50" s="598"/>
      <c r="AF50" s="598"/>
      <c r="AG50" s="598"/>
    </row>
    <row r="51" spans="1:33" ht="15" customHeight="1">
      <c r="A51" s="36">
        <f>A50+1</f>
        <v>2412</v>
      </c>
      <c r="B51" s="605" t="s">
        <v>1455</v>
      </c>
      <c r="C51" s="606" t="s">
        <v>301</v>
      </c>
      <c r="D51" s="607" t="s">
        <v>707</v>
      </c>
      <c r="E51" s="624" t="s">
        <v>288</v>
      </c>
      <c r="F51" s="608" t="str">
        <f>IF($F$13="ja","ja","nee")</f>
        <v>nee</v>
      </c>
      <c r="G51" s="609"/>
      <c r="H51" s="609"/>
      <c r="I51" s="610">
        <f>H51-G51</f>
        <v>0</v>
      </c>
      <c r="J51" s="611"/>
      <c r="K51" s="610">
        <f>ROUND((J51),1)*H51</f>
        <v>0</v>
      </c>
      <c r="L51" s="612"/>
      <c r="M51" s="613">
        <v>73.8</v>
      </c>
      <c r="N51" s="133"/>
      <c r="O51" s="615">
        <f>IF(J51&gt;M51,1,0)</f>
        <v>0</v>
      </c>
      <c r="P51" s="563"/>
      <c r="Q51" s="133">
        <f>K51*A51</f>
        <v>0</v>
      </c>
      <c r="R51" s="133"/>
      <c r="AE51" s="598"/>
      <c r="AF51" s="598"/>
      <c r="AG51" s="598"/>
    </row>
    <row r="52" spans="2:33" ht="6" customHeight="1">
      <c r="B52" s="565"/>
      <c r="C52" s="631"/>
      <c r="D52" s="800"/>
      <c r="E52" s="1052"/>
      <c r="F52" s="1052"/>
      <c r="G52" s="133"/>
      <c r="H52" s="133"/>
      <c r="I52" s="650"/>
      <c r="J52" s="133"/>
      <c r="K52" s="650"/>
      <c r="L52" s="133"/>
      <c r="M52" s="634"/>
      <c r="N52" s="133"/>
      <c r="O52" s="615"/>
      <c r="P52" s="563"/>
      <c r="Q52" s="133"/>
      <c r="R52" s="133"/>
      <c r="AE52" s="598"/>
      <c r="AF52" s="598"/>
      <c r="AG52" s="598"/>
    </row>
    <row r="53" spans="2:33" ht="15" customHeight="1">
      <c r="B53" s="1530" t="s">
        <v>1641</v>
      </c>
      <c r="C53" s="1531"/>
      <c r="D53" s="621"/>
      <c r="E53" s="626"/>
      <c r="F53" s="626"/>
      <c r="G53" s="534"/>
      <c r="H53" s="534"/>
      <c r="I53" s="622"/>
      <c r="J53" s="534"/>
      <c r="K53" s="622"/>
      <c r="L53" s="133"/>
      <c r="M53" s="623"/>
      <c r="N53" s="133"/>
      <c r="O53" s="615"/>
      <c r="P53" s="563"/>
      <c r="Q53" s="133"/>
      <c r="R53" s="133"/>
      <c r="AE53" s="598"/>
      <c r="AF53" s="598"/>
      <c r="AG53" s="598"/>
    </row>
    <row r="54" spans="1:33" ht="15" customHeight="1">
      <c r="A54" s="36">
        <f>A50+1</f>
        <v>2412</v>
      </c>
      <c r="B54" s="605" t="s">
        <v>1458</v>
      </c>
      <c r="C54" s="606" t="s">
        <v>975</v>
      </c>
      <c r="D54" s="607" t="s">
        <v>293</v>
      </c>
      <c r="E54" s="624" t="s">
        <v>288</v>
      </c>
      <c r="F54" s="608" t="str">
        <f>IF($F$14="ja","ja","nee")</f>
        <v>nee</v>
      </c>
      <c r="G54" s="609"/>
      <c r="H54" s="609"/>
      <c r="I54" s="610">
        <f>H54-G54</f>
        <v>0</v>
      </c>
      <c r="J54" s="611"/>
      <c r="K54" s="610">
        <f>ROUND((J54),1)*H54</f>
        <v>0</v>
      </c>
      <c r="L54" s="612"/>
      <c r="M54" s="613">
        <v>47.5</v>
      </c>
      <c r="N54" s="133"/>
      <c r="O54" s="615">
        <f>IF(J54&gt;M54,1,0)</f>
        <v>0</v>
      </c>
      <c r="P54" s="563"/>
      <c r="Q54" s="133">
        <f>K54*A54</f>
        <v>0</v>
      </c>
      <c r="R54" s="133"/>
      <c r="AE54" s="598"/>
      <c r="AF54" s="598"/>
      <c r="AG54" s="598"/>
    </row>
    <row r="55" spans="1:33" ht="15" customHeight="1">
      <c r="A55" s="36">
        <f>A54+1</f>
        <v>2413</v>
      </c>
      <c r="B55" s="605" t="s">
        <v>1458</v>
      </c>
      <c r="C55" s="606" t="s">
        <v>304</v>
      </c>
      <c r="D55" s="607" t="s">
        <v>294</v>
      </c>
      <c r="E55" s="624" t="s">
        <v>288</v>
      </c>
      <c r="F55" s="608" t="str">
        <f>IF($F$14="ja","ja","nee")</f>
        <v>nee</v>
      </c>
      <c r="G55" s="609"/>
      <c r="H55" s="609"/>
      <c r="I55" s="610">
        <f>H55-G55</f>
        <v>0</v>
      </c>
      <c r="J55" s="611"/>
      <c r="K55" s="610">
        <f>ROUND((J55),1)*H55</f>
        <v>0</v>
      </c>
      <c r="L55" s="612"/>
      <c r="M55" s="613">
        <v>86.6</v>
      </c>
      <c r="N55" s="133"/>
      <c r="O55" s="615">
        <f>IF(J55&gt;M55,1,0)</f>
        <v>0</v>
      </c>
      <c r="P55" s="563"/>
      <c r="Q55" s="133">
        <f>K55*A55</f>
        <v>0</v>
      </c>
      <c r="R55" s="133"/>
      <c r="AE55" s="598"/>
      <c r="AF55" s="598"/>
      <c r="AG55" s="598"/>
    </row>
    <row r="56" spans="1:33" ht="15" customHeight="1">
      <c r="A56" s="36">
        <f>A55+1</f>
        <v>2414</v>
      </c>
      <c r="B56" s="605" t="s">
        <v>1458</v>
      </c>
      <c r="C56" s="606" t="s">
        <v>303</v>
      </c>
      <c r="D56" s="607" t="s">
        <v>1627</v>
      </c>
      <c r="E56" s="624" t="s">
        <v>288</v>
      </c>
      <c r="F56" s="608" t="str">
        <f>IF($F$14="ja","ja","nee")</f>
        <v>nee</v>
      </c>
      <c r="G56" s="609"/>
      <c r="H56" s="609"/>
      <c r="I56" s="610">
        <f>H56-G56</f>
        <v>0</v>
      </c>
      <c r="J56" s="611"/>
      <c r="K56" s="610">
        <f>ROUND((J56),1)*H56</f>
        <v>0</v>
      </c>
      <c r="L56" s="612"/>
      <c r="M56" s="613">
        <v>99.6</v>
      </c>
      <c r="N56" s="133"/>
      <c r="O56" s="615">
        <f>IF(J56&gt;M56,1,0)</f>
        <v>0</v>
      </c>
      <c r="P56" s="563"/>
      <c r="Q56" s="133">
        <f>K56*A56</f>
        <v>0</v>
      </c>
      <c r="R56" s="133"/>
      <c r="AE56" s="598"/>
      <c r="AF56" s="598"/>
      <c r="AG56" s="598"/>
    </row>
    <row r="57" spans="1:33" ht="15" customHeight="1">
      <c r="A57" s="36">
        <f>A56+1</f>
        <v>2415</v>
      </c>
      <c r="B57" s="605" t="s">
        <v>1458</v>
      </c>
      <c r="C57" s="606" t="s">
        <v>302</v>
      </c>
      <c r="D57" s="607" t="s">
        <v>1628</v>
      </c>
      <c r="E57" s="624" t="s">
        <v>288</v>
      </c>
      <c r="F57" s="608" t="str">
        <f>IF($F$14="ja","ja","nee")</f>
        <v>nee</v>
      </c>
      <c r="G57" s="609"/>
      <c r="H57" s="609"/>
      <c r="I57" s="610">
        <f>H57-G57</f>
        <v>0</v>
      </c>
      <c r="J57" s="611"/>
      <c r="K57" s="610">
        <f>ROUND((J57),1)*H57</f>
        <v>0</v>
      </c>
      <c r="L57" s="612"/>
      <c r="M57" s="613">
        <v>101.8</v>
      </c>
      <c r="N57" s="133"/>
      <c r="O57" s="615">
        <f>IF(J57&gt;M57,1,0)</f>
        <v>0</v>
      </c>
      <c r="P57" s="563"/>
      <c r="Q57" s="133">
        <f>K57*A57</f>
        <v>0</v>
      </c>
      <c r="R57" s="133"/>
      <c r="AE57" s="598"/>
      <c r="AF57" s="598"/>
      <c r="AG57" s="598"/>
    </row>
    <row r="58" spans="2:33" ht="5.25" customHeight="1">
      <c r="B58" s="565"/>
      <c r="C58" s="631"/>
      <c r="D58" s="632"/>
      <c r="E58" s="633"/>
      <c r="F58" s="633"/>
      <c r="G58" s="633"/>
      <c r="H58" s="633"/>
      <c r="I58" s="633"/>
      <c r="J58" s="633"/>
      <c r="K58" s="633"/>
      <c r="L58" s="133"/>
      <c r="M58" s="634"/>
      <c r="N58" s="133"/>
      <c r="O58" s="615"/>
      <c r="P58" s="563"/>
      <c r="Q58" s="133"/>
      <c r="R58" s="133"/>
      <c r="AE58" s="598"/>
      <c r="AF58" s="598"/>
      <c r="AG58" s="598"/>
    </row>
    <row r="59" spans="2:33" ht="15" customHeight="1">
      <c r="B59" s="1533" t="s">
        <v>1642</v>
      </c>
      <c r="C59" s="1534"/>
      <c r="D59" s="635"/>
      <c r="E59" s="625"/>
      <c r="F59" s="625"/>
      <c r="G59" s="534"/>
      <c r="H59" s="534"/>
      <c r="I59" s="622"/>
      <c r="J59" s="534"/>
      <c r="K59" s="622"/>
      <c r="L59" s="133"/>
      <c r="M59" s="623"/>
      <c r="N59" s="133"/>
      <c r="O59" s="615"/>
      <c r="P59" s="563"/>
      <c r="Q59" s="133"/>
      <c r="R59" s="133"/>
      <c r="AE59" s="598"/>
      <c r="AF59" s="598"/>
      <c r="AG59" s="598"/>
    </row>
    <row r="60" spans="1:33" ht="15" customHeight="1">
      <c r="A60" s="39">
        <f>A55+1</f>
        <v>2414</v>
      </c>
      <c r="B60" s="605" t="s">
        <v>1524</v>
      </c>
      <c r="C60" s="606" t="s">
        <v>312</v>
      </c>
      <c r="D60" s="607" t="s">
        <v>305</v>
      </c>
      <c r="E60" s="624" t="s">
        <v>288</v>
      </c>
      <c r="F60" s="608" t="str">
        <f aca="true" t="shared" si="1" ref="F60:F66">IF($F$15="ja","ja","nee")</f>
        <v>nee</v>
      </c>
      <c r="G60" s="609"/>
      <c r="H60" s="609"/>
      <c r="I60" s="610">
        <f aca="true" t="shared" si="2" ref="I60:I66">H60-G60</f>
        <v>0</v>
      </c>
      <c r="J60" s="611"/>
      <c r="K60" s="610">
        <f aca="true" t="shared" si="3" ref="K60:K66">ROUND((J60),1)*H60</f>
        <v>0</v>
      </c>
      <c r="L60" s="612"/>
      <c r="M60" s="636">
        <v>89</v>
      </c>
      <c r="N60" s="133"/>
      <c r="O60" s="615">
        <f aca="true" t="shared" si="4" ref="O60:O66">IF(J60&gt;M60,1,0)</f>
        <v>0</v>
      </c>
      <c r="P60" s="563"/>
      <c r="Q60" s="133">
        <f aca="true" t="shared" si="5" ref="Q60:Q66">K60*A60</f>
        <v>0</v>
      </c>
      <c r="R60" s="133"/>
      <c r="AE60" s="598"/>
      <c r="AF60" s="598"/>
      <c r="AG60" s="598"/>
    </row>
    <row r="61" spans="1:33" ht="15" customHeight="1">
      <c r="A61" s="39">
        <f>A60+1</f>
        <v>2415</v>
      </c>
      <c r="B61" s="605" t="s">
        <v>1524</v>
      </c>
      <c r="C61" s="606" t="s">
        <v>313</v>
      </c>
      <c r="D61" s="607" t="s">
        <v>306</v>
      </c>
      <c r="E61" s="624" t="s">
        <v>288</v>
      </c>
      <c r="F61" s="608" t="str">
        <f t="shared" si="1"/>
        <v>nee</v>
      </c>
      <c r="G61" s="609"/>
      <c r="H61" s="609"/>
      <c r="I61" s="610">
        <f t="shared" si="2"/>
        <v>0</v>
      </c>
      <c r="J61" s="611"/>
      <c r="K61" s="610">
        <f t="shared" si="3"/>
        <v>0</v>
      </c>
      <c r="L61" s="612"/>
      <c r="M61" s="636">
        <v>89</v>
      </c>
      <c r="N61" s="133"/>
      <c r="O61" s="615">
        <f t="shared" si="4"/>
        <v>0</v>
      </c>
      <c r="P61" s="563"/>
      <c r="Q61" s="133">
        <f t="shared" si="5"/>
        <v>0</v>
      </c>
      <c r="R61" s="133"/>
      <c r="AE61" s="598"/>
      <c r="AF61" s="598"/>
      <c r="AG61" s="598"/>
    </row>
    <row r="62" spans="1:33" ht="15" customHeight="1">
      <c r="A62" s="39">
        <f>A61+1</f>
        <v>2416</v>
      </c>
      <c r="B62" s="605" t="s">
        <v>1524</v>
      </c>
      <c r="C62" s="606" t="s">
        <v>314</v>
      </c>
      <c r="D62" s="637" t="s">
        <v>310</v>
      </c>
      <c r="E62" s="624" t="s">
        <v>288</v>
      </c>
      <c r="F62" s="608" t="str">
        <f t="shared" si="1"/>
        <v>nee</v>
      </c>
      <c r="G62" s="609"/>
      <c r="H62" s="609"/>
      <c r="I62" s="610">
        <f t="shared" si="2"/>
        <v>0</v>
      </c>
      <c r="J62" s="611"/>
      <c r="K62" s="610">
        <f t="shared" si="3"/>
        <v>0</v>
      </c>
      <c r="L62" s="630"/>
      <c r="M62" s="636">
        <v>47.5</v>
      </c>
      <c r="N62" s="133"/>
      <c r="O62" s="615">
        <f t="shared" si="4"/>
        <v>0</v>
      </c>
      <c r="P62" s="563"/>
      <c r="Q62" s="133">
        <f t="shared" si="5"/>
        <v>0</v>
      </c>
      <c r="R62" s="133"/>
      <c r="AE62" s="598"/>
      <c r="AF62" s="598"/>
      <c r="AG62" s="598"/>
    </row>
    <row r="63" spans="1:33" ht="15" customHeight="1">
      <c r="A63" s="39">
        <f>A62+1</f>
        <v>2417</v>
      </c>
      <c r="B63" s="605" t="s">
        <v>1524</v>
      </c>
      <c r="C63" s="606" t="s">
        <v>1459</v>
      </c>
      <c r="D63" s="637" t="s">
        <v>1462</v>
      </c>
      <c r="E63" s="624" t="s">
        <v>288</v>
      </c>
      <c r="F63" s="608" t="str">
        <f t="shared" si="1"/>
        <v>nee</v>
      </c>
      <c r="G63" s="609"/>
      <c r="H63" s="609"/>
      <c r="I63" s="610">
        <f t="shared" si="2"/>
        <v>0</v>
      </c>
      <c r="J63" s="611"/>
      <c r="K63" s="610">
        <f t="shared" si="3"/>
        <v>0</v>
      </c>
      <c r="L63" s="630"/>
      <c r="M63" s="636">
        <v>89</v>
      </c>
      <c r="N63" s="133"/>
      <c r="O63" s="615">
        <f t="shared" si="4"/>
        <v>0</v>
      </c>
      <c r="P63" s="563"/>
      <c r="Q63" s="133">
        <f t="shared" si="5"/>
        <v>0</v>
      </c>
      <c r="R63" s="133"/>
      <c r="AE63" s="598"/>
      <c r="AF63" s="598"/>
      <c r="AG63" s="598"/>
    </row>
    <row r="64" spans="1:33" ht="15" customHeight="1">
      <c r="A64" s="39">
        <f>A63+1</f>
        <v>2418</v>
      </c>
      <c r="B64" s="605" t="s">
        <v>1524</v>
      </c>
      <c r="C64" s="606" t="s">
        <v>1460</v>
      </c>
      <c r="D64" s="637" t="s">
        <v>1463</v>
      </c>
      <c r="E64" s="624" t="s">
        <v>288</v>
      </c>
      <c r="F64" s="608" t="str">
        <f t="shared" si="1"/>
        <v>nee</v>
      </c>
      <c r="G64" s="609"/>
      <c r="H64" s="609"/>
      <c r="I64" s="610">
        <f t="shared" si="2"/>
        <v>0</v>
      </c>
      <c r="J64" s="611"/>
      <c r="K64" s="610">
        <f t="shared" si="3"/>
        <v>0</v>
      </c>
      <c r="L64" s="630"/>
      <c r="M64" s="636">
        <v>89</v>
      </c>
      <c r="N64" s="133"/>
      <c r="O64" s="615">
        <f t="shared" si="4"/>
        <v>0</v>
      </c>
      <c r="P64" s="563"/>
      <c r="Q64" s="133">
        <f t="shared" si="5"/>
        <v>0</v>
      </c>
      <c r="R64" s="133"/>
      <c r="AE64" s="598"/>
      <c r="AF64" s="598"/>
      <c r="AG64" s="598"/>
    </row>
    <row r="65" spans="1:33" ht="15" customHeight="1">
      <c r="A65" s="39">
        <f>A64+1</f>
        <v>2419</v>
      </c>
      <c r="B65" s="605" t="s">
        <v>1524</v>
      </c>
      <c r="C65" s="606" t="s">
        <v>1461</v>
      </c>
      <c r="D65" s="637" t="s">
        <v>311</v>
      </c>
      <c r="E65" s="624" t="s">
        <v>288</v>
      </c>
      <c r="F65" s="608" t="str">
        <f t="shared" si="1"/>
        <v>nee</v>
      </c>
      <c r="G65" s="609"/>
      <c r="H65" s="609"/>
      <c r="I65" s="610">
        <f>H65-G65</f>
        <v>0</v>
      </c>
      <c r="J65" s="611"/>
      <c r="K65" s="610">
        <f>ROUND((J65),1)*H65</f>
        <v>0</v>
      </c>
      <c r="L65" s="630"/>
      <c r="M65" s="636">
        <v>89</v>
      </c>
      <c r="N65" s="133"/>
      <c r="O65" s="615">
        <f>IF(J65&gt;M65,1,0)</f>
        <v>0</v>
      </c>
      <c r="P65" s="563"/>
      <c r="Q65" s="133">
        <f>K65*A65</f>
        <v>0</v>
      </c>
      <c r="R65" s="133"/>
      <c r="AE65" s="598"/>
      <c r="AF65" s="598"/>
      <c r="AG65" s="598"/>
    </row>
    <row r="66" spans="1:33" ht="15" customHeight="1">
      <c r="A66" s="39">
        <f>A64+1</f>
        <v>2419</v>
      </c>
      <c r="B66" s="1109" t="s">
        <v>1524</v>
      </c>
      <c r="C66" s="1110" t="s">
        <v>315</v>
      </c>
      <c r="D66" s="1111" t="s">
        <v>1464</v>
      </c>
      <c r="E66" s="1112" t="s">
        <v>288</v>
      </c>
      <c r="F66" s="1113" t="str">
        <f t="shared" si="1"/>
        <v>nee</v>
      </c>
      <c r="G66" s="1114"/>
      <c r="H66" s="1114"/>
      <c r="I66" s="1115">
        <f t="shared" si="2"/>
        <v>0</v>
      </c>
      <c r="J66" s="1116"/>
      <c r="K66" s="1115">
        <f t="shared" si="3"/>
        <v>0</v>
      </c>
      <c r="L66" s="630"/>
      <c r="M66" s="636">
        <v>89</v>
      </c>
      <c r="N66" s="133"/>
      <c r="O66" s="615">
        <f t="shared" si="4"/>
        <v>0</v>
      </c>
      <c r="P66" s="563"/>
      <c r="Q66" s="133">
        <f t="shared" si="5"/>
        <v>0</v>
      </c>
      <c r="R66" s="133"/>
      <c r="AE66" s="598"/>
      <c r="AF66" s="598"/>
      <c r="AG66" s="598"/>
    </row>
    <row r="67" spans="1:33" ht="14.25" customHeight="1">
      <c r="A67" s="116"/>
      <c r="B67" s="616"/>
      <c r="C67" s="617"/>
      <c r="D67" s="641"/>
      <c r="E67" s="642"/>
      <c r="F67" s="642"/>
      <c r="G67" s="532"/>
      <c r="H67" s="532"/>
      <c r="I67" s="619"/>
      <c r="J67" s="532"/>
      <c r="K67" s="619"/>
      <c r="L67" s="133"/>
      <c r="M67" s="634"/>
      <c r="N67" s="133"/>
      <c r="O67" s="615"/>
      <c r="P67" s="563"/>
      <c r="Q67" s="133"/>
      <c r="R67" s="133"/>
      <c r="AE67" s="598"/>
      <c r="AF67" s="598"/>
      <c r="AG67" s="598"/>
    </row>
    <row r="68" spans="1:33" ht="15" customHeight="1">
      <c r="A68" s="804"/>
      <c r="B68" s="556" t="str">
        <f>B22</f>
        <v>Formulier extramurale productie 2006</v>
      </c>
      <c r="C68" s="557"/>
      <c r="D68" s="556" t="s">
        <v>1493</v>
      </c>
      <c r="E68" s="556" t="s">
        <v>1493</v>
      </c>
      <c r="F68" s="556"/>
      <c r="G68" s="558"/>
      <c r="H68" s="558"/>
      <c r="I68" s="204"/>
      <c r="J68" s="558"/>
      <c r="K68" s="559"/>
      <c r="L68" s="133"/>
      <c r="M68" s="634"/>
      <c r="N68" s="133"/>
      <c r="O68" s="615"/>
      <c r="P68" s="563"/>
      <c r="Q68" s="133"/>
      <c r="R68" s="133"/>
      <c r="AE68" s="598"/>
      <c r="AF68" s="598"/>
      <c r="AG68" s="598"/>
    </row>
    <row r="69" spans="2:33" ht="15" customHeight="1">
      <c r="B69" s="639"/>
      <c r="C69" s="640"/>
      <c r="D69" s="580"/>
      <c r="E69" s="580"/>
      <c r="F69" s="580"/>
      <c r="G69" s="581"/>
      <c r="H69" s="581"/>
      <c r="I69" s="582"/>
      <c r="J69" s="581"/>
      <c r="K69" s="582"/>
      <c r="L69" s="133"/>
      <c r="M69" s="634"/>
      <c r="N69" s="133"/>
      <c r="O69" s="615"/>
      <c r="P69" s="563"/>
      <c r="Q69" s="133"/>
      <c r="R69" s="133"/>
      <c r="AE69" s="598"/>
      <c r="AF69" s="598"/>
      <c r="AG69" s="598"/>
    </row>
    <row r="70" spans="2:33" ht="15" customHeight="1">
      <c r="B70" s="639"/>
      <c r="C70" s="640"/>
      <c r="D70" s="584" t="s">
        <v>1469</v>
      </c>
      <c r="E70" s="39" t="s">
        <v>1479</v>
      </c>
      <c r="F70" s="585" t="s">
        <v>226</v>
      </c>
      <c r="G70" s="26" t="s">
        <v>886</v>
      </c>
      <c r="H70" s="26" t="str">
        <f>IF($J$24=1,"Totaal","Mutatie")</f>
        <v>Totaal</v>
      </c>
      <c r="I70" s="586" t="s">
        <v>221</v>
      </c>
      <c r="J70" s="26" t="s">
        <v>1496</v>
      </c>
      <c r="K70" s="26" t="s">
        <v>1497</v>
      </c>
      <c r="L70" s="133"/>
      <c r="M70" s="634"/>
      <c r="N70" s="133"/>
      <c r="O70" s="615"/>
      <c r="P70" s="563"/>
      <c r="Q70" s="133"/>
      <c r="R70" s="133"/>
      <c r="AE70" s="598"/>
      <c r="AF70" s="598"/>
      <c r="AG70" s="598"/>
    </row>
    <row r="71" spans="2:33" ht="15" customHeight="1">
      <c r="B71" s="639"/>
      <c r="C71" s="640"/>
      <c r="D71" s="587" t="s">
        <v>1470</v>
      </c>
      <c r="E71" s="588"/>
      <c r="F71" s="589" t="s">
        <v>1499</v>
      </c>
      <c r="G71" s="590" t="s">
        <v>1500</v>
      </c>
      <c r="H71" s="590" t="s">
        <v>1501</v>
      </c>
      <c r="I71" s="591"/>
      <c r="J71" s="590" t="s">
        <v>1502</v>
      </c>
      <c r="K71" s="592"/>
      <c r="L71" s="133"/>
      <c r="M71" s="634"/>
      <c r="N71" s="133"/>
      <c r="O71" s="615"/>
      <c r="P71" s="563"/>
      <c r="Q71" s="133"/>
      <c r="R71" s="133"/>
      <c r="AE71" s="598"/>
      <c r="AF71" s="598"/>
      <c r="AG71" s="598"/>
    </row>
    <row r="72" spans="2:33" ht="15" customHeight="1">
      <c r="B72" s="639"/>
      <c r="C72" s="640"/>
      <c r="D72" s="587"/>
      <c r="E72" s="588"/>
      <c r="F72" s="593"/>
      <c r="G72" s="591"/>
      <c r="H72" s="591"/>
      <c r="I72" s="591"/>
      <c r="J72" s="725" t="s">
        <v>1480</v>
      </c>
      <c r="K72" s="592"/>
      <c r="L72" s="133"/>
      <c r="M72" s="634"/>
      <c r="N72" s="133"/>
      <c r="O72" s="615"/>
      <c r="P72" s="563"/>
      <c r="Q72" s="133"/>
      <c r="R72" s="133"/>
      <c r="AE72" s="598"/>
      <c r="AF72" s="598"/>
      <c r="AG72" s="598"/>
    </row>
    <row r="73" spans="2:33" ht="15" customHeight="1">
      <c r="B73" s="639"/>
      <c r="C73" s="640"/>
      <c r="D73" s="587"/>
      <c r="E73" s="588"/>
      <c r="F73" s="593"/>
      <c r="G73" s="591"/>
      <c r="H73" s="591"/>
      <c r="I73" s="591"/>
      <c r="J73" s="592" t="s">
        <v>1481</v>
      </c>
      <c r="K73" s="592"/>
      <c r="L73" s="133"/>
      <c r="M73" s="634"/>
      <c r="N73" s="133"/>
      <c r="O73" s="615"/>
      <c r="P73" s="563"/>
      <c r="Q73" s="133"/>
      <c r="R73" s="133"/>
      <c r="AE73" s="598"/>
      <c r="AF73" s="598"/>
      <c r="AG73" s="598"/>
    </row>
    <row r="74" spans="2:33" ht="15" customHeight="1">
      <c r="B74" s="639"/>
      <c r="C74" s="640"/>
      <c r="D74" s="594"/>
      <c r="E74" s="595"/>
      <c r="F74" s="596"/>
      <c r="G74" s="597">
        <f>G31</f>
        <v>2006</v>
      </c>
      <c r="H74" s="597">
        <f>G31</f>
        <v>2006</v>
      </c>
      <c r="I74" s="597">
        <f>G31</f>
        <v>2006</v>
      </c>
      <c r="J74" s="597">
        <f>G31</f>
        <v>2006</v>
      </c>
      <c r="K74" s="32"/>
      <c r="L74" s="133"/>
      <c r="M74" s="634"/>
      <c r="N74" s="133"/>
      <c r="O74" s="615"/>
      <c r="P74" s="563"/>
      <c r="Q74" s="133"/>
      <c r="R74" s="133"/>
      <c r="AE74" s="598"/>
      <c r="AF74" s="598"/>
      <c r="AG74" s="598"/>
    </row>
    <row r="75" spans="2:33" ht="12.75" customHeight="1">
      <c r="B75" s="565"/>
      <c r="C75" s="565"/>
      <c r="D75" s="641"/>
      <c r="E75" s="642"/>
      <c r="F75" s="642"/>
      <c r="G75" s="532"/>
      <c r="H75" s="532"/>
      <c r="I75" s="619"/>
      <c r="J75" s="532"/>
      <c r="K75" s="619"/>
      <c r="L75" s="133"/>
      <c r="M75" s="634"/>
      <c r="N75" s="133"/>
      <c r="O75" s="615"/>
      <c r="P75" s="563"/>
      <c r="Q75" s="133"/>
      <c r="R75" s="133"/>
      <c r="AE75" s="643"/>
      <c r="AF75" s="643"/>
      <c r="AG75" s="643"/>
    </row>
    <row r="76" spans="2:33" ht="12.75" customHeight="1">
      <c r="B76" s="1053" t="s">
        <v>1643</v>
      </c>
      <c r="C76" s="644"/>
      <c r="D76" s="645"/>
      <c r="E76" s="645"/>
      <c r="F76" s="645"/>
      <c r="G76" s="534"/>
      <c r="H76" s="534"/>
      <c r="I76" s="622"/>
      <c r="J76" s="534"/>
      <c r="K76" s="622"/>
      <c r="L76" s="133"/>
      <c r="M76" s="623"/>
      <c r="N76" s="133"/>
      <c r="O76" s="615"/>
      <c r="P76" s="563"/>
      <c r="Q76" s="133"/>
      <c r="R76" s="133"/>
      <c r="AE76" s="643"/>
      <c r="AF76" s="643"/>
      <c r="AG76" s="643"/>
    </row>
    <row r="77" spans="1:33" ht="12.75" customHeight="1">
      <c r="A77" s="39">
        <v>2501</v>
      </c>
      <c r="B77" s="605" t="s">
        <v>316</v>
      </c>
      <c r="C77" s="605" t="s">
        <v>976</v>
      </c>
      <c r="D77" s="646" t="s">
        <v>317</v>
      </c>
      <c r="E77" s="624" t="s">
        <v>977</v>
      </c>
      <c r="F77" s="726" t="str">
        <f>IF(OR($F$13="ja",$F$14="ja"),"ja","nee")</f>
        <v>nee</v>
      </c>
      <c r="G77" s="609"/>
      <c r="H77" s="609"/>
      <c r="I77" s="610">
        <f aca="true" t="shared" si="6" ref="I77:I85">H77-G77</f>
        <v>0</v>
      </c>
      <c r="J77" s="611"/>
      <c r="K77" s="610">
        <f aca="true" t="shared" si="7" ref="K77:K85">ROUND((J77),1)*H77</f>
        <v>0</v>
      </c>
      <c r="L77" s="612"/>
      <c r="M77" s="613">
        <v>25.3</v>
      </c>
      <c r="N77" s="133"/>
      <c r="O77" s="615">
        <f aca="true" t="shared" si="8" ref="O77:O87">IF(J77&gt;M77,1,0)</f>
        <v>0</v>
      </c>
      <c r="P77" s="563"/>
      <c r="Q77" s="133">
        <f aca="true" t="shared" si="9" ref="Q77:Q87">K77*A77</f>
        <v>0</v>
      </c>
      <c r="R77" s="133"/>
      <c r="AE77" s="643"/>
      <c r="AF77" s="643"/>
      <c r="AG77" s="643"/>
    </row>
    <row r="78" spans="1:33" ht="12.75" customHeight="1">
      <c r="A78" s="39">
        <f aca="true" t="shared" si="10" ref="A78:A87">A77+1</f>
        <v>2502</v>
      </c>
      <c r="B78" s="605" t="s">
        <v>316</v>
      </c>
      <c r="C78" s="605" t="s">
        <v>327</v>
      </c>
      <c r="D78" s="646" t="s">
        <v>318</v>
      </c>
      <c r="E78" s="624" t="s">
        <v>977</v>
      </c>
      <c r="F78" s="726" t="str">
        <f>IF(AND($F$13="ja",$F$14="ja",$F$15="ja"),"ja","nee")</f>
        <v>nee</v>
      </c>
      <c r="G78" s="609"/>
      <c r="H78" s="609"/>
      <c r="I78" s="610">
        <f t="shared" si="6"/>
        <v>0</v>
      </c>
      <c r="J78" s="611"/>
      <c r="K78" s="610">
        <f t="shared" si="7"/>
        <v>0</v>
      </c>
      <c r="L78" s="612"/>
      <c r="M78" s="613">
        <v>49.5</v>
      </c>
      <c r="N78" s="133"/>
      <c r="O78" s="615">
        <f t="shared" si="8"/>
        <v>0</v>
      </c>
      <c r="P78" s="563"/>
      <c r="Q78" s="133">
        <f t="shared" si="9"/>
        <v>0</v>
      </c>
      <c r="R78" s="133"/>
      <c r="AE78" s="598"/>
      <c r="AF78" s="598"/>
      <c r="AG78" s="647"/>
    </row>
    <row r="79" spans="1:33" ht="14.25">
      <c r="A79" s="39">
        <f t="shared" si="10"/>
        <v>2503</v>
      </c>
      <c r="B79" s="605" t="s">
        <v>316</v>
      </c>
      <c r="C79" s="605" t="s">
        <v>328</v>
      </c>
      <c r="D79" s="646" t="s">
        <v>296</v>
      </c>
      <c r="E79" s="624" t="s">
        <v>977</v>
      </c>
      <c r="F79" s="726" t="str">
        <f>IF(AND($F$13="ja",$F$14="ja",$F$15="ja"),"ja","nee")</f>
        <v>nee</v>
      </c>
      <c r="G79" s="609"/>
      <c r="H79" s="609"/>
      <c r="I79" s="610">
        <f t="shared" si="6"/>
        <v>0</v>
      </c>
      <c r="J79" s="611"/>
      <c r="K79" s="610">
        <f t="shared" si="7"/>
        <v>0</v>
      </c>
      <c r="L79" s="612"/>
      <c r="M79" s="613">
        <v>49.5</v>
      </c>
      <c r="N79" s="133"/>
      <c r="O79" s="615">
        <f t="shared" si="8"/>
        <v>0</v>
      </c>
      <c r="P79" s="563"/>
      <c r="Q79" s="133">
        <f t="shared" si="9"/>
        <v>0</v>
      </c>
      <c r="R79" s="133"/>
      <c r="AE79" s="643"/>
      <c r="AF79" s="643"/>
      <c r="AG79" s="643"/>
    </row>
    <row r="80" spans="1:33" ht="15" customHeight="1">
      <c r="A80" s="39">
        <f t="shared" si="10"/>
        <v>2504</v>
      </c>
      <c r="B80" s="605" t="s">
        <v>316</v>
      </c>
      <c r="C80" s="605" t="s">
        <v>329</v>
      </c>
      <c r="D80" s="646" t="s">
        <v>319</v>
      </c>
      <c r="E80" s="624" t="s">
        <v>977</v>
      </c>
      <c r="F80" s="726" t="str">
        <f aca="true" t="shared" si="11" ref="F80:F87">IF(OR($F$13="ja",$F$14="ja"),"ja","nee")</f>
        <v>nee</v>
      </c>
      <c r="G80" s="609"/>
      <c r="H80" s="609"/>
      <c r="I80" s="610">
        <f t="shared" si="6"/>
        <v>0</v>
      </c>
      <c r="J80" s="611"/>
      <c r="K80" s="610">
        <f t="shared" si="7"/>
        <v>0</v>
      </c>
      <c r="L80" s="612"/>
      <c r="M80" s="613">
        <v>51.7</v>
      </c>
      <c r="N80" s="133"/>
      <c r="O80" s="615">
        <f t="shared" si="8"/>
        <v>0</v>
      </c>
      <c r="P80" s="563"/>
      <c r="Q80" s="133">
        <f t="shared" si="9"/>
        <v>0</v>
      </c>
      <c r="R80" s="133"/>
      <c r="AE80" s="643"/>
      <c r="AF80" s="643"/>
      <c r="AG80" s="643"/>
    </row>
    <row r="81" spans="1:33" ht="15" customHeight="1">
      <c r="A81" s="39">
        <f t="shared" si="10"/>
        <v>2505</v>
      </c>
      <c r="B81" s="605" t="s">
        <v>316</v>
      </c>
      <c r="C81" s="605" t="s">
        <v>1604</v>
      </c>
      <c r="D81" s="646" t="s">
        <v>320</v>
      </c>
      <c r="E81" s="624" t="s">
        <v>977</v>
      </c>
      <c r="F81" s="726" t="str">
        <f t="shared" si="11"/>
        <v>nee</v>
      </c>
      <c r="G81" s="609"/>
      <c r="H81" s="609"/>
      <c r="I81" s="610">
        <f t="shared" si="6"/>
        <v>0</v>
      </c>
      <c r="J81" s="611"/>
      <c r="K81" s="610">
        <f t="shared" si="7"/>
        <v>0</v>
      </c>
      <c r="L81" s="612"/>
      <c r="M81" s="613">
        <v>35.2</v>
      </c>
      <c r="N81" s="133"/>
      <c r="O81" s="615">
        <f t="shared" si="8"/>
        <v>0</v>
      </c>
      <c r="P81" s="563"/>
      <c r="Q81" s="133">
        <f t="shared" si="9"/>
        <v>0</v>
      </c>
      <c r="R81" s="133"/>
      <c r="AE81" s="643"/>
      <c r="AF81" s="643"/>
      <c r="AG81" s="643"/>
    </row>
    <row r="82" spans="1:33" ht="15" customHeight="1">
      <c r="A82" s="39">
        <f t="shared" si="10"/>
        <v>2506</v>
      </c>
      <c r="B82" s="605" t="s">
        <v>316</v>
      </c>
      <c r="C82" s="605" t="s">
        <v>1605</v>
      </c>
      <c r="D82" s="646" t="s">
        <v>321</v>
      </c>
      <c r="E82" s="624" t="s">
        <v>977</v>
      </c>
      <c r="F82" s="726" t="str">
        <f t="shared" si="11"/>
        <v>nee</v>
      </c>
      <c r="G82" s="609"/>
      <c r="H82" s="609"/>
      <c r="I82" s="610">
        <f t="shared" si="6"/>
        <v>0</v>
      </c>
      <c r="J82" s="611"/>
      <c r="K82" s="610">
        <f t="shared" si="7"/>
        <v>0</v>
      </c>
      <c r="L82" s="612"/>
      <c r="M82" s="613">
        <v>42.7</v>
      </c>
      <c r="N82" s="133"/>
      <c r="O82" s="615">
        <f t="shared" si="8"/>
        <v>0</v>
      </c>
      <c r="P82" s="563"/>
      <c r="Q82" s="133">
        <f t="shared" si="9"/>
        <v>0</v>
      </c>
      <c r="R82" s="133"/>
      <c r="AE82" s="643"/>
      <c r="AF82" s="643"/>
      <c r="AG82" s="643"/>
    </row>
    <row r="83" spans="1:33" ht="15" customHeight="1">
      <c r="A83" s="39">
        <f t="shared" si="10"/>
        <v>2507</v>
      </c>
      <c r="B83" s="605" t="s">
        <v>316</v>
      </c>
      <c r="C83" s="605" t="s">
        <v>1606</v>
      </c>
      <c r="D83" s="646" t="s">
        <v>322</v>
      </c>
      <c r="E83" s="624" t="s">
        <v>977</v>
      </c>
      <c r="F83" s="726" t="str">
        <f t="shared" si="11"/>
        <v>nee</v>
      </c>
      <c r="G83" s="609"/>
      <c r="H83" s="609"/>
      <c r="I83" s="610">
        <f t="shared" si="6"/>
        <v>0</v>
      </c>
      <c r="J83" s="611"/>
      <c r="K83" s="610">
        <f t="shared" si="7"/>
        <v>0</v>
      </c>
      <c r="L83" s="612"/>
      <c r="M83" s="613">
        <v>46.5</v>
      </c>
      <c r="N83" s="133"/>
      <c r="O83" s="615">
        <f t="shared" si="8"/>
        <v>0</v>
      </c>
      <c r="P83" s="563"/>
      <c r="Q83" s="133">
        <f t="shared" si="9"/>
        <v>0</v>
      </c>
      <c r="R83" s="133"/>
      <c r="AE83" s="643"/>
      <c r="AF83" s="643"/>
      <c r="AG83" s="643"/>
    </row>
    <row r="84" spans="1:33" ht="15" customHeight="1">
      <c r="A84" s="39">
        <f t="shared" si="10"/>
        <v>2508</v>
      </c>
      <c r="B84" s="605" t="s">
        <v>316</v>
      </c>
      <c r="C84" s="605" t="s">
        <v>1607</v>
      </c>
      <c r="D84" s="646" t="s">
        <v>323</v>
      </c>
      <c r="E84" s="624" t="s">
        <v>977</v>
      </c>
      <c r="F84" s="726" t="str">
        <f t="shared" si="11"/>
        <v>nee</v>
      </c>
      <c r="G84" s="609"/>
      <c r="H84" s="609"/>
      <c r="I84" s="610">
        <f t="shared" si="6"/>
        <v>0</v>
      </c>
      <c r="J84" s="611"/>
      <c r="K84" s="610">
        <f t="shared" si="7"/>
        <v>0</v>
      </c>
      <c r="L84" s="612"/>
      <c r="M84" s="613">
        <v>58</v>
      </c>
      <c r="N84" s="133"/>
      <c r="O84" s="615">
        <f t="shared" si="8"/>
        <v>0</v>
      </c>
      <c r="P84" s="563"/>
      <c r="Q84" s="133">
        <f t="shared" si="9"/>
        <v>0</v>
      </c>
      <c r="R84" s="133"/>
      <c r="AE84" s="643"/>
      <c r="AF84" s="643"/>
      <c r="AG84" s="643"/>
    </row>
    <row r="85" spans="1:33" ht="15" customHeight="1">
      <c r="A85" s="39">
        <f t="shared" si="10"/>
        <v>2509</v>
      </c>
      <c r="B85" s="605" t="s">
        <v>316</v>
      </c>
      <c r="C85" s="605" t="s">
        <v>1608</v>
      </c>
      <c r="D85" s="646" t="s">
        <v>324</v>
      </c>
      <c r="E85" s="624" t="s">
        <v>977</v>
      </c>
      <c r="F85" s="726" t="str">
        <f t="shared" si="11"/>
        <v>nee</v>
      </c>
      <c r="G85" s="609"/>
      <c r="H85" s="609"/>
      <c r="I85" s="610">
        <f t="shared" si="6"/>
        <v>0</v>
      </c>
      <c r="J85" s="611"/>
      <c r="K85" s="610">
        <f t="shared" si="7"/>
        <v>0</v>
      </c>
      <c r="L85" s="612"/>
      <c r="M85" s="613">
        <v>65.4</v>
      </c>
      <c r="N85" s="133"/>
      <c r="O85" s="615">
        <f t="shared" si="8"/>
        <v>0</v>
      </c>
      <c r="P85" s="563"/>
      <c r="Q85" s="133">
        <f t="shared" si="9"/>
        <v>0</v>
      </c>
      <c r="R85" s="133"/>
      <c r="AE85" s="643"/>
      <c r="AF85" s="643"/>
      <c r="AG85" s="643"/>
    </row>
    <row r="86" spans="1:33" ht="15" customHeight="1">
      <c r="A86" s="39">
        <f t="shared" si="10"/>
        <v>2510</v>
      </c>
      <c r="B86" s="605" t="s">
        <v>316</v>
      </c>
      <c r="C86" s="605" t="s">
        <v>1609</v>
      </c>
      <c r="D86" s="646" t="s">
        <v>325</v>
      </c>
      <c r="E86" s="624" t="s">
        <v>977</v>
      </c>
      <c r="F86" s="726" t="str">
        <f t="shared" si="11"/>
        <v>nee</v>
      </c>
      <c r="G86" s="609"/>
      <c r="H86" s="609"/>
      <c r="I86" s="610">
        <f>H86-G86</f>
        <v>0</v>
      </c>
      <c r="J86" s="611"/>
      <c r="K86" s="610">
        <f>ROUND((J86),1)*H86</f>
        <v>0</v>
      </c>
      <c r="L86" s="612"/>
      <c r="M86" s="613">
        <v>65.4</v>
      </c>
      <c r="N86" s="133"/>
      <c r="O86" s="615">
        <f t="shared" si="8"/>
        <v>0</v>
      </c>
      <c r="P86" s="563"/>
      <c r="Q86" s="133">
        <f t="shared" si="9"/>
        <v>0</v>
      </c>
      <c r="R86" s="133"/>
      <c r="AE86" s="643"/>
      <c r="AF86" s="643"/>
      <c r="AG86" s="643"/>
    </row>
    <row r="87" spans="1:33" ht="15" customHeight="1">
      <c r="A87" s="36">
        <f t="shared" si="10"/>
        <v>2511</v>
      </c>
      <c r="B87" s="605" t="s">
        <v>316</v>
      </c>
      <c r="C87" s="605" t="s">
        <v>1610</v>
      </c>
      <c r="D87" s="646" t="s">
        <v>326</v>
      </c>
      <c r="E87" s="624" t="s">
        <v>977</v>
      </c>
      <c r="F87" s="726" t="str">
        <f t="shared" si="11"/>
        <v>nee</v>
      </c>
      <c r="G87" s="609"/>
      <c r="H87" s="609"/>
      <c r="I87" s="610">
        <f>H87-G87</f>
        <v>0</v>
      </c>
      <c r="J87" s="611"/>
      <c r="K87" s="610">
        <f>ROUND((J87),1)*H87</f>
        <v>0</v>
      </c>
      <c r="L87" s="612"/>
      <c r="M87" s="613">
        <v>42.4</v>
      </c>
      <c r="N87" s="133"/>
      <c r="O87" s="615">
        <f t="shared" si="8"/>
        <v>0</v>
      </c>
      <c r="P87" s="563"/>
      <c r="Q87" s="133">
        <f t="shared" si="9"/>
        <v>0</v>
      </c>
      <c r="R87" s="133"/>
      <c r="AE87" s="643"/>
      <c r="AF87" s="643"/>
      <c r="AG87" s="643"/>
    </row>
    <row r="88" spans="1:18" s="648" customFormat="1" ht="13.5" customHeight="1">
      <c r="A88" s="86"/>
      <c r="B88" s="616"/>
      <c r="C88" s="616" t="s">
        <v>1482</v>
      </c>
      <c r="D88" s="641"/>
      <c r="E88" s="642"/>
      <c r="F88" s="642"/>
      <c r="G88" s="532"/>
      <c r="H88" s="532"/>
      <c r="I88" s="619"/>
      <c r="J88" s="532"/>
      <c r="K88" s="619"/>
      <c r="L88" s="133"/>
      <c r="M88" s="620"/>
      <c r="N88" s="133"/>
      <c r="O88" s="615"/>
      <c r="P88" s="563"/>
      <c r="Q88" s="133"/>
      <c r="R88" s="133"/>
    </row>
    <row r="89" spans="2:18" ht="14.25">
      <c r="B89" s="565"/>
      <c r="C89" s="565" t="s">
        <v>1761</v>
      </c>
      <c r="D89" s="632"/>
      <c r="E89" s="649"/>
      <c r="F89" s="649"/>
      <c r="G89" s="133"/>
      <c r="H89" s="133"/>
      <c r="I89" s="650"/>
      <c r="J89" s="133"/>
      <c r="K89" s="650"/>
      <c r="L89" s="133"/>
      <c r="M89" s="634"/>
      <c r="N89" s="133"/>
      <c r="O89" s="615"/>
      <c r="P89" s="563"/>
      <c r="Q89" s="133"/>
      <c r="R89" s="133"/>
    </row>
    <row r="90" spans="2:33" ht="15">
      <c r="B90" s="577"/>
      <c r="C90" s="577" t="s">
        <v>980</v>
      </c>
      <c r="D90" s="632"/>
      <c r="E90" s="649"/>
      <c r="F90" s="649"/>
      <c r="G90" s="133"/>
      <c r="H90" s="133"/>
      <c r="I90" s="650"/>
      <c r="J90" s="133"/>
      <c r="K90" s="650"/>
      <c r="L90" s="133"/>
      <c r="M90" s="634"/>
      <c r="N90" s="133"/>
      <c r="O90" s="615"/>
      <c r="P90" s="563"/>
      <c r="Q90" s="133"/>
      <c r="R90" s="133"/>
      <c r="AE90" s="598"/>
      <c r="AF90" s="598"/>
      <c r="AG90" s="647"/>
    </row>
    <row r="91" spans="2:33" ht="14.25">
      <c r="B91" s="565"/>
      <c r="C91" s="11"/>
      <c r="D91" s="632"/>
      <c r="E91" s="649"/>
      <c r="F91" s="649"/>
      <c r="G91" s="133"/>
      <c r="H91" s="133"/>
      <c r="I91" s="650"/>
      <c r="J91" s="133"/>
      <c r="K91" s="650"/>
      <c r="L91" s="133"/>
      <c r="M91" s="634"/>
      <c r="N91" s="133"/>
      <c r="O91" s="615"/>
      <c r="P91" s="563"/>
      <c r="Q91" s="133"/>
      <c r="R91" s="133"/>
      <c r="AE91" s="598"/>
      <c r="AF91" s="598"/>
      <c r="AG91" s="647"/>
    </row>
    <row r="92" spans="2:33" ht="15" customHeight="1">
      <c r="B92" s="599" t="s">
        <v>1644</v>
      </c>
      <c r="D92" s="635"/>
      <c r="E92" s="625"/>
      <c r="F92" s="625"/>
      <c r="G92" s="534"/>
      <c r="H92" s="534"/>
      <c r="I92" s="622"/>
      <c r="J92" s="534"/>
      <c r="K92" s="622"/>
      <c r="L92" s="133"/>
      <c r="M92" s="623"/>
      <c r="N92" s="133"/>
      <c r="O92" s="615"/>
      <c r="P92" s="563"/>
      <c r="Q92" s="133"/>
      <c r="R92" s="133"/>
      <c r="AE92" s="598"/>
      <c r="AF92" s="598"/>
      <c r="AG92" s="647"/>
    </row>
    <row r="93" spans="1:33" ht="15" customHeight="1">
      <c r="A93" s="39">
        <f>A87+1</f>
        <v>2512</v>
      </c>
      <c r="B93" s="605"/>
      <c r="C93" s="606" t="s">
        <v>1096</v>
      </c>
      <c r="D93" s="607" t="s">
        <v>1629</v>
      </c>
      <c r="E93" s="624" t="s">
        <v>1097</v>
      </c>
      <c r="F93" s="608" t="str">
        <f>IF($F$16="ja","ja","nee")</f>
        <v>nee</v>
      </c>
      <c r="G93" s="609"/>
      <c r="H93" s="609"/>
      <c r="I93" s="610">
        <f>H93-G93</f>
        <v>0</v>
      </c>
      <c r="J93" s="611"/>
      <c r="K93" s="610">
        <f>ROUND((J93),1)*H93</f>
        <v>0</v>
      </c>
      <c r="L93" s="612"/>
      <c r="M93" s="613">
        <v>23.2</v>
      </c>
      <c r="N93" s="133"/>
      <c r="O93" s="615">
        <f>IF(J93&gt;M93,1,0)</f>
        <v>0</v>
      </c>
      <c r="P93" s="563"/>
      <c r="Q93" s="133">
        <f>K93*A93</f>
        <v>0</v>
      </c>
      <c r="R93" s="133"/>
      <c r="AE93" s="598"/>
      <c r="AF93" s="598"/>
      <c r="AG93" s="647"/>
    </row>
    <row r="94" spans="1:33" ht="15" customHeight="1">
      <c r="A94" s="39">
        <f>A93+1</f>
        <v>2513</v>
      </c>
      <c r="B94" s="605"/>
      <c r="C94" s="606" t="s">
        <v>1483</v>
      </c>
      <c r="D94" s="607" t="s">
        <v>1630</v>
      </c>
      <c r="E94" s="624" t="s">
        <v>1098</v>
      </c>
      <c r="F94" s="608" t="str">
        <f>IF($F$16="ja","ja","nee")</f>
        <v>nee</v>
      </c>
      <c r="G94" s="609"/>
      <c r="H94" s="609"/>
      <c r="I94" s="610">
        <f>H94-G94</f>
        <v>0</v>
      </c>
      <c r="J94" s="611"/>
      <c r="K94" s="610">
        <f>ROUND((J94),1)*H94</f>
        <v>0</v>
      </c>
      <c r="L94" s="612"/>
      <c r="M94" s="613">
        <v>26.5</v>
      </c>
      <c r="N94" s="133"/>
      <c r="O94" s="615">
        <f>IF(J94&gt;M94,1,0)</f>
        <v>0</v>
      </c>
      <c r="P94" s="563"/>
      <c r="Q94" s="133">
        <f>K94*A94</f>
        <v>0</v>
      </c>
      <c r="R94" s="133"/>
      <c r="AE94" s="598"/>
      <c r="AF94" s="598"/>
      <c r="AG94" s="647"/>
    </row>
    <row r="95" spans="1:33" ht="15" customHeight="1">
      <c r="A95" s="39">
        <f>A94+1</f>
        <v>2514</v>
      </c>
      <c r="B95" s="605"/>
      <c r="C95" s="606" t="s">
        <v>1484</v>
      </c>
      <c r="D95" s="607" t="s">
        <v>1631</v>
      </c>
      <c r="E95" s="624" t="s">
        <v>1098</v>
      </c>
      <c r="F95" s="608" t="str">
        <f>IF($F$16="ja","ja","nee")</f>
        <v>nee</v>
      </c>
      <c r="G95" s="609"/>
      <c r="H95" s="609"/>
      <c r="I95" s="610">
        <f>H95-G95</f>
        <v>0</v>
      </c>
      <c r="J95" s="611"/>
      <c r="K95" s="610">
        <f>ROUND((J95),1)*H95</f>
        <v>0</v>
      </c>
      <c r="L95" s="612"/>
      <c r="M95" s="613">
        <v>46.4</v>
      </c>
      <c r="N95" s="133"/>
      <c r="O95" s="615">
        <f>IF(J95&gt;M95,1,0)</f>
        <v>0</v>
      </c>
      <c r="P95" s="563"/>
      <c r="Q95" s="133">
        <f>K95*A95</f>
        <v>0</v>
      </c>
      <c r="R95" s="133"/>
      <c r="AE95" s="598"/>
      <c r="AF95" s="598"/>
      <c r="AG95" s="647"/>
    </row>
    <row r="96" spans="1:33" ht="14.25">
      <c r="A96" s="39">
        <f>A95+1</f>
        <v>2515</v>
      </c>
      <c r="B96" s="605"/>
      <c r="C96" s="606" t="s">
        <v>1485</v>
      </c>
      <c r="D96" s="607" t="s">
        <v>1632</v>
      </c>
      <c r="E96" s="624" t="s">
        <v>1098</v>
      </c>
      <c r="F96" s="608" t="str">
        <f>IF($F$16="ja","ja","nee")</f>
        <v>nee</v>
      </c>
      <c r="G96" s="609"/>
      <c r="H96" s="609"/>
      <c r="I96" s="610">
        <f>H96-G96</f>
        <v>0</v>
      </c>
      <c r="J96" s="611"/>
      <c r="K96" s="610">
        <f>ROUND((J96),1)*H96</f>
        <v>0</v>
      </c>
      <c r="L96" s="612"/>
      <c r="M96" s="636">
        <v>79.5</v>
      </c>
      <c r="N96" s="133"/>
      <c r="O96" s="615">
        <f>IF(J96&gt;M96,1,0)</f>
        <v>0</v>
      </c>
      <c r="P96" s="563"/>
      <c r="Q96" s="133">
        <f>K96*A96</f>
        <v>0</v>
      </c>
      <c r="R96" s="133"/>
      <c r="AE96" s="598"/>
      <c r="AF96" s="598"/>
      <c r="AG96" s="647"/>
    </row>
    <row r="97" spans="1:33" ht="14.25">
      <c r="A97" s="36">
        <f>A96+1</f>
        <v>2516</v>
      </c>
      <c r="B97" s="605"/>
      <c r="C97" s="606" t="s">
        <v>1099</v>
      </c>
      <c r="D97" s="607" t="s">
        <v>1633</v>
      </c>
      <c r="E97" s="624" t="s">
        <v>1100</v>
      </c>
      <c r="F97" s="608" t="str">
        <f>IF($F$16="ja","ja","nee")</f>
        <v>nee</v>
      </c>
      <c r="G97" s="609"/>
      <c r="H97" s="609"/>
      <c r="I97" s="610">
        <f>H97-G97</f>
        <v>0</v>
      </c>
      <c r="J97" s="611"/>
      <c r="K97" s="610">
        <f>ROUND((J97),1)*H97</f>
        <v>0</v>
      </c>
      <c r="L97" s="612"/>
      <c r="M97" s="613">
        <v>20.3</v>
      </c>
      <c r="N97" s="133"/>
      <c r="O97" s="615">
        <f>IF(J97&gt;M97,1,0)</f>
        <v>0</v>
      </c>
      <c r="P97" s="563"/>
      <c r="Q97" s="133">
        <f>K97*A97</f>
        <v>0</v>
      </c>
      <c r="R97" s="133"/>
      <c r="AE97" s="598"/>
      <c r="AF97" s="598"/>
      <c r="AG97" s="647"/>
    </row>
    <row r="98" spans="2:33" ht="14.25">
      <c r="B98" s="616"/>
      <c r="C98" s="616"/>
      <c r="D98" s="641"/>
      <c r="E98" s="642"/>
      <c r="F98" s="642"/>
      <c r="G98" s="532"/>
      <c r="H98" s="532"/>
      <c r="I98" s="619"/>
      <c r="J98" s="532"/>
      <c r="K98" s="619"/>
      <c r="L98" s="133"/>
      <c r="M98" s="620"/>
      <c r="N98" s="133"/>
      <c r="O98" s="615"/>
      <c r="P98" s="563"/>
      <c r="Q98" s="133"/>
      <c r="R98" s="133"/>
      <c r="AE98" s="598"/>
      <c r="AF98" s="598"/>
      <c r="AG98" s="647"/>
    </row>
    <row r="99" spans="2:33" ht="15" customHeight="1">
      <c r="B99" s="599" t="s">
        <v>1645</v>
      </c>
      <c r="C99" s="599"/>
      <c r="D99" s="635"/>
      <c r="E99" s="625"/>
      <c r="F99" s="625"/>
      <c r="G99" s="534"/>
      <c r="H99" s="534"/>
      <c r="I99" s="622"/>
      <c r="J99" s="534"/>
      <c r="K99" s="622"/>
      <c r="L99" s="133"/>
      <c r="M99" s="623"/>
      <c r="N99" s="133"/>
      <c r="O99" s="615"/>
      <c r="P99" s="563"/>
      <c r="Q99" s="133"/>
      <c r="R99" s="133"/>
      <c r="AE99" s="598"/>
      <c r="AF99" s="598"/>
      <c r="AG99" s="598"/>
    </row>
    <row r="100" spans="1:33" ht="15" customHeight="1">
      <c r="A100" s="36">
        <f>A97+1</f>
        <v>2517</v>
      </c>
      <c r="B100" s="605"/>
      <c r="C100" s="606" t="s">
        <v>1492</v>
      </c>
      <c r="D100" s="607" t="s">
        <v>1634</v>
      </c>
      <c r="E100" s="624" t="s">
        <v>1101</v>
      </c>
      <c r="F100" s="608" t="str">
        <f>IF($F$17="ja","ja","nee")</f>
        <v>nee</v>
      </c>
      <c r="G100" s="609"/>
      <c r="H100" s="609"/>
      <c r="I100" s="610">
        <f>H100-G100</f>
        <v>0</v>
      </c>
      <c r="J100" s="611"/>
      <c r="K100" s="610">
        <f>ROUND((J100),1)*H100</f>
        <v>0</v>
      </c>
      <c r="L100" s="612"/>
      <c r="M100" s="613">
        <v>62.1</v>
      </c>
      <c r="N100" s="133"/>
      <c r="O100" s="615">
        <f>IF(J100&gt;M100,1,0)</f>
        <v>0</v>
      </c>
      <c r="P100" s="563"/>
      <c r="Q100" s="133">
        <f>K100*A100</f>
        <v>0</v>
      </c>
      <c r="R100" s="133"/>
      <c r="AE100" s="598"/>
      <c r="AF100" s="598"/>
      <c r="AG100" s="598"/>
    </row>
    <row r="101" spans="2:33" ht="15" customHeight="1">
      <c r="B101" s="616"/>
      <c r="C101" s="616"/>
      <c r="D101" s="641"/>
      <c r="E101" s="642"/>
      <c r="F101" s="642"/>
      <c r="G101" s="532"/>
      <c r="H101" s="532"/>
      <c r="I101" s="619"/>
      <c r="J101" s="532"/>
      <c r="K101" s="619"/>
      <c r="L101" s="133"/>
      <c r="M101" s="620"/>
      <c r="N101" s="133"/>
      <c r="O101" s="615"/>
      <c r="P101" s="563"/>
      <c r="Q101" s="133"/>
      <c r="R101" s="133"/>
      <c r="AE101" s="598"/>
      <c r="AF101" s="598"/>
      <c r="AG101" s="598"/>
    </row>
    <row r="102" spans="2:33" ht="15" customHeight="1">
      <c r="B102" s="599" t="s">
        <v>1646</v>
      </c>
      <c r="D102" s="635"/>
      <c r="E102" s="625"/>
      <c r="F102" s="625"/>
      <c r="G102" s="534"/>
      <c r="H102" s="534"/>
      <c r="I102" s="622"/>
      <c r="J102" s="534"/>
      <c r="K102" s="622"/>
      <c r="L102" s="133"/>
      <c r="M102" s="623"/>
      <c r="N102" s="133"/>
      <c r="O102" s="615"/>
      <c r="P102" s="563"/>
      <c r="Q102" s="133"/>
      <c r="R102" s="133"/>
      <c r="AE102" s="598"/>
      <c r="AF102" s="598"/>
      <c r="AG102" s="598"/>
    </row>
    <row r="103" spans="1:33" ht="15" customHeight="1">
      <c r="A103" s="36">
        <f>A100+1</f>
        <v>2518</v>
      </c>
      <c r="B103" s="605"/>
      <c r="C103" s="605" t="s">
        <v>1611</v>
      </c>
      <c r="D103" s="646" t="s">
        <v>1635</v>
      </c>
      <c r="E103" s="651" t="s">
        <v>288</v>
      </c>
      <c r="F103" s="608" t="s">
        <v>1410</v>
      </c>
      <c r="G103" s="609"/>
      <c r="H103" s="609"/>
      <c r="I103" s="610">
        <f>H103-G103</f>
        <v>0</v>
      </c>
      <c r="J103" s="611"/>
      <c r="K103" s="610">
        <f>ROUND((J103),1)*H103</f>
        <v>0</v>
      </c>
      <c r="L103" s="612"/>
      <c r="M103" s="613">
        <v>62.1</v>
      </c>
      <c r="N103" s="133"/>
      <c r="O103" s="615">
        <f>IF(J103&gt;M103,1,0)</f>
        <v>0</v>
      </c>
      <c r="P103" s="563"/>
      <c r="Q103" s="133">
        <f>K103*A103</f>
        <v>0</v>
      </c>
      <c r="R103" s="133"/>
      <c r="AE103" s="598"/>
      <c r="AF103" s="598"/>
      <c r="AG103" s="598"/>
    </row>
    <row r="104" spans="1:33" ht="15" customHeight="1">
      <c r="A104" s="36">
        <f>A103+1</f>
        <v>2519</v>
      </c>
      <c r="B104" s="605"/>
      <c r="C104" s="605" t="s">
        <v>1465</v>
      </c>
      <c r="D104" s="646" t="s">
        <v>295</v>
      </c>
      <c r="E104" s="651" t="s">
        <v>288</v>
      </c>
      <c r="F104" s="608" t="s">
        <v>1410</v>
      </c>
      <c r="G104" s="609"/>
      <c r="H104" s="609"/>
      <c r="I104" s="610">
        <f>H104-G104</f>
        <v>0</v>
      </c>
      <c r="J104" s="611"/>
      <c r="K104" s="610">
        <f>ROUND((J104),1)*H104</f>
        <v>0</v>
      </c>
      <c r="L104" s="133"/>
      <c r="M104" s="613">
        <v>65.3</v>
      </c>
      <c r="N104" s="133"/>
      <c r="O104" s="615">
        <f>IF(J104&gt;M104,1,0)</f>
        <v>0</v>
      </c>
      <c r="P104" s="563"/>
      <c r="Q104" s="133">
        <f>K104*A104</f>
        <v>0</v>
      </c>
      <c r="R104" s="133"/>
      <c r="AE104" s="598"/>
      <c r="AF104" s="598"/>
      <c r="AG104" s="598"/>
    </row>
    <row r="105" spans="2:33" ht="15" customHeight="1">
      <c r="B105" s="565"/>
      <c r="C105" s="565"/>
      <c r="D105" s="632"/>
      <c r="E105" s="649"/>
      <c r="F105" s="649"/>
      <c r="G105" s="649"/>
      <c r="H105" s="649"/>
      <c r="I105" s="649"/>
      <c r="J105" s="649"/>
      <c r="K105" s="649"/>
      <c r="L105" s="133"/>
      <c r="M105" s="620"/>
      <c r="N105" s="133"/>
      <c r="O105" s="615"/>
      <c r="P105" s="563"/>
      <c r="Q105" s="133"/>
      <c r="R105" s="133"/>
      <c r="AE105" s="598"/>
      <c r="AF105" s="598"/>
      <c r="AG105" s="598"/>
    </row>
    <row r="106" spans="1:33" ht="15" customHeight="1">
      <c r="A106" s="36">
        <f>A104+1</f>
        <v>2520</v>
      </c>
      <c r="B106" s="652"/>
      <c r="C106" s="169" t="s">
        <v>1102</v>
      </c>
      <c r="D106" s="170"/>
      <c r="E106" s="170"/>
      <c r="F106" s="170"/>
      <c r="G106" s="653"/>
      <c r="H106" s="653"/>
      <c r="I106" s="654"/>
      <c r="J106" s="655"/>
      <c r="K106" s="656">
        <f>SUM(K33:K66)+SUM(K77:K104)</f>
        <v>0</v>
      </c>
      <c r="L106" s="133"/>
      <c r="M106" s="634"/>
      <c r="N106" s="133"/>
      <c r="O106" s="615"/>
      <c r="P106" s="563"/>
      <c r="Q106" s="133"/>
      <c r="R106" s="133"/>
      <c r="AE106" s="598"/>
      <c r="AF106" s="598"/>
      <c r="AG106" s="598"/>
    </row>
    <row r="107" spans="2:33" ht="15" customHeight="1">
      <c r="B107" s="565"/>
      <c r="C107" s="565"/>
      <c r="D107" s="632"/>
      <c r="E107" s="649"/>
      <c r="F107" s="649"/>
      <c r="G107" s="133"/>
      <c r="H107" s="133"/>
      <c r="I107" s="650"/>
      <c r="J107" s="133"/>
      <c r="K107" s="650"/>
      <c r="L107" s="133"/>
      <c r="M107" s="634"/>
      <c r="N107" s="133"/>
      <c r="O107" s="615"/>
      <c r="P107" s="563"/>
      <c r="Q107" s="133"/>
      <c r="R107" s="133"/>
      <c r="AE107" s="598"/>
      <c r="AF107" s="598"/>
      <c r="AG107" s="598"/>
    </row>
    <row r="108" spans="1:18" ht="15" customHeight="1">
      <c r="A108" s="804"/>
      <c r="B108" s="556" t="str">
        <f>B68</f>
        <v>Formulier extramurale productie 2006</v>
      </c>
      <c r="C108" s="557"/>
      <c r="D108" s="556" t="s">
        <v>1493</v>
      </c>
      <c r="E108" s="556" t="s">
        <v>1493</v>
      </c>
      <c r="F108" s="556"/>
      <c r="G108" s="558"/>
      <c r="H108" s="558"/>
      <c r="I108" s="204"/>
      <c r="J108" s="558"/>
      <c r="K108" s="559"/>
      <c r="L108" s="133"/>
      <c r="M108" s="133"/>
      <c r="N108" s="133"/>
      <c r="O108" s="615"/>
      <c r="P108" s="563"/>
      <c r="Q108" s="133"/>
      <c r="R108" s="133"/>
    </row>
    <row r="109" spans="2:18" ht="15" customHeight="1">
      <c r="B109" s="579"/>
      <c r="C109" s="133"/>
      <c r="D109" s="579"/>
      <c r="E109" s="579"/>
      <c r="F109" s="579"/>
      <c r="G109" s="133"/>
      <c r="H109" s="133"/>
      <c r="I109" s="650"/>
      <c r="J109" s="133"/>
      <c r="K109" s="650"/>
      <c r="L109" s="133"/>
      <c r="M109" s="133"/>
      <c r="N109" s="133"/>
      <c r="O109" s="615"/>
      <c r="P109" s="563"/>
      <c r="Q109" s="133"/>
      <c r="R109" s="133"/>
    </row>
    <row r="110" spans="2:18" ht="15" customHeight="1">
      <c r="B110" s="579"/>
      <c r="C110" s="133"/>
      <c r="D110" s="584" t="s">
        <v>1469</v>
      </c>
      <c r="E110" s="39" t="s">
        <v>1479</v>
      </c>
      <c r="F110" s="585" t="s">
        <v>226</v>
      </c>
      <c r="G110" s="26" t="s">
        <v>886</v>
      </c>
      <c r="H110" s="26" t="str">
        <f>IF($J$24=1,"Totaal","Mutatie")</f>
        <v>Totaal</v>
      </c>
      <c r="I110" s="586" t="s">
        <v>221</v>
      </c>
      <c r="J110" s="26" t="s">
        <v>1496</v>
      </c>
      <c r="K110" s="26" t="s">
        <v>1497</v>
      </c>
      <c r="L110" s="133"/>
      <c r="M110" s="133"/>
      <c r="N110" s="133"/>
      <c r="O110" s="615"/>
      <c r="P110" s="563"/>
      <c r="Q110" s="133"/>
      <c r="R110" s="133"/>
    </row>
    <row r="111" spans="2:18" ht="15" customHeight="1">
      <c r="B111" s="579"/>
      <c r="C111" s="133"/>
      <c r="D111" s="587" t="s">
        <v>1470</v>
      </c>
      <c r="E111" s="588"/>
      <c r="F111" s="589" t="s">
        <v>1499</v>
      </c>
      <c r="G111" s="590" t="s">
        <v>1500</v>
      </c>
      <c r="H111" s="590" t="s">
        <v>1501</v>
      </c>
      <c r="I111" s="591"/>
      <c r="J111" s="590" t="s">
        <v>1502</v>
      </c>
      <c r="K111" s="592"/>
      <c r="L111" s="133"/>
      <c r="M111" s="133"/>
      <c r="N111" s="133"/>
      <c r="O111" s="615"/>
      <c r="P111" s="563"/>
      <c r="Q111" s="133"/>
      <c r="R111" s="133"/>
    </row>
    <row r="112" spans="2:18" ht="15" customHeight="1">
      <c r="B112" s="579"/>
      <c r="C112" s="133"/>
      <c r="D112" s="587"/>
      <c r="E112" s="588"/>
      <c r="F112" s="593"/>
      <c r="G112" s="591"/>
      <c r="H112" s="591"/>
      <c r="I112" s="591"/>
      <c r="J112" s="725" t="s">
        <v>1480</v>
      </c>
      <c r="K112" s="592"/>
      <c r="L112" s="133"/>
      <c r="M112" s="133"/>
      <c r="N112" s="133"/>
      <c r="O112" s="615"/>
      <c r="P112" s="563"/>
      <c r="Q112" s="133"/>
      <c r="R112" s="133"/>
    </row>
    <row r="113" spans="2:18" ht="15" customHeight="1">
      <c r="B113" s="579"/>
      <c r="C113" s="133"/>
      <c r="D113" s="587"/>
      <c r="E113" s="588"/>
      <c r="F113" s="593"/>
      <c r="G113" s="591"/>
      <c r="H113" s="591"/>
      <c r="I113" s="591"/>
      <c r="J113" s="592" t="s">
        <v>1481</v>
      </c>
      <c r="K113" s="592"/>
      <c r="L113" s="133"/>
      <c r="M113" s="133"/>
      <c r="N113" s="133"/>
      <c r="O113" s="615"/>
      <c r="P113" s="563"/>
      <c r="Q113" s="133"/>
      <c r="R113" s="133"/>
    </row>
    <row r="114" spans="2:18" ht="15" customHeight="1">
      <c r="B114" s="579"/>
      <c r="C114" s="133"/>
      <c r="D114" s="594"/>
      <c r="E114" s="595"/>
      <c r="F114" s="596"/>
      <c r="G114" s="597">
        <f>G31</f>
        <v>2006</v>
      </c>
      <c r="H114" s="597">
        <f>G31</f>
        <v>2006</v>
      </c>
      <c r="I114" s="597">
        <f>G31</f>
        <v>2006</v>
      </c>
      <c r="J114" s="597">
        <f>G31</f>
        <v>2006</v>
      </c>
      <c r="K114" s="32"/>
      <c r="L114" s="133"/>
      <c r="M114" s="133"/>
      <c r="N114" s="133"/>
      <c r="O114" s="615"/>
      <c r="P114" s="563"/>
      <c r="Q114" s="133"/>
      <c r="R114" s="133"/>
    </row>
    <row r="115" spans="2:18" ht="15" customHeight="1">
      <c r="B115" s="1054" t="s">
        <v>1647</v>
      </c>
      <c r="D115" s="660"/>
      <c r="E115" s="660"/>
      <c r="F115" s="660"/>
      <c r="G115" s="600"/>
      <c r="H115" s="600"/>
      <c r="I115" s="622"/>
      <c r="J115" s="601"/>
      <c r="K115" s="622"/>
      <c r="L115" s="661"/>
      <c r="M115" s="604"/>
      <c r="N115" s="662"/>
      <c r="O115" s="615"/>
      <c r="P115" s="563"/>
      <c r="Q115" s="133"/>
      <c r="R115" s="133"/>
    </row>
    <row r="116" spans="1:18" ht="15" customHeight="1">
      <c r="A116" s="39">
        <v>2601</v>
      </c>
      <c r="B116" s="605"/>
      <c r="C116" s="606" t="s">
        <v>1612</v>
      </c>
      <c r="D116" s="663" t="s">
        <v>1618</v>
      </c>
      <c r="E116" s="663" t="s">
        <v>791</v>
      </c>
      <c r="F116" s="664" t="str">
        <f>IF(H82&gt;0,"ja","nee")</f>
        <v>nee</v>
      </c>
      <c r="G116" s="609"/>
      <c r="H116" s="609"/>
      <c r="I116" s="610">
        <f aca="true" t="shared" si="12" ref="I116:I122">H116-G116</f>
        <v>0</v>
      </c>
      <c r="J116" s="611"/>
      <c r="K116" s="610">
        <f aca="true" t="shared" si="13" ref="K116:K122">ROUND((J116),1)*H116</f>
        <v>0</v>
      </c>
      <c r="L116" s="612"/>
      <c r="M116" s="658">
        <v>10.5</v>
      </c>
      <c r="N116" s="133"/>
      <c r="O116" s="615">
        <f aca="true" t="shared" si="14" ref="O116:O122">IF(J116&gt;M116,1,0)</f>
        <v>0</v>
      </c>
      <c r="P116" s="563"/>
      <c r="Q116" s="133">
        <f aca="true" t="shared" si="15" ref="Q116:Q122">K116*A116</f>
        <v>0</v>
      </c>
      <c r="R116" s="133"/>
    </row>
    <row r="117" spans="1:18" ht="15" customHeight="1">
      <c r="A117" s="39">
        <f>A116+1</f>
        <v>2602</v>
      </c>
      <c r="B117" s="605"/>
      <c r="C117" s="606" t="s">
        <v>1613</v>
      </c>
      <c r="D117" s="663" t="s">
        <v>1619</v>
      </c>
      <c r="E117" s="663" t="s">
        <v>791</v>
      </c>
      <c r="F117" s="664" t="str">
        <f>IF(H83&gt;0,"ja","nee")</f>
        <v>nee</v>
      </c>
      <c r="G117" s="609"/>
      <c r="H117" s="609"/>
      <c r="I117" s="610">
        <f t="shared" si="12"/>
        <v>0</v>
      </c>
      <c r="J117" s="611"/>
      <c r="K117" s="610">
        <f t="shared" si="13"/>
        <v>0</v>
      </c>
      <c r="L117" s="612"/>
      <c r="M117" s="658">
        <v>17.6</v>
      </c>
      <c r="N117" s="133"/>
      <c r="O117" s="615">
        <f t="shared" si="14"/>
        <v>0</v>
      </c>
      <c r="P117" s="563"/>
      <c r="Q117" s="133">
        <f t="shared" si="15"/>
        <v>0</v>
      </c>
      <c r="R117" s="133"/>
    </row>
    <row r="118" spans="1:18" ht="15" customHeight="1">
      <c r="A118" s="39">
        <f aca="true" t="shared" si="16" ref="A118:A123">A117+1</f>
        <v>2603</v>
      </c>
      <c r="B118" s="605"/>
      <c r="C118" s="606" t="s">
        <v>1614</v>
      </c>
      <c r="D118" s="663" t="s">
        <v>1620</v>
      </c>
      <c r="E118" s="663" t="s">
        <v>791</v>
      </c>
      <c r="F118" s="664" t="str">
        <f>IF(H84&gt;0,"ja","nee")</f>
        <v>nee</v>
      </c>
      <c r="G118" s="609"/>
      <c r="H118" s="609"/>
      <c r="I118" s="610">
        <f t="shared" si="12"/>
        <v>0</v>
      </c>
      <c r="J118" s="611"/>
      <c r="K118" s="610">
        <f t="shared" si="13"/>
        <v>0</v>
      </c>
      <c r="L118" s="612"/>
      <c r="M118" s="658">
        <v>10.1</v>
      </c>
      <c r="N118" s="133"/>
      <c r="O118" s="615">
        <f t="shared" si="14"/>
        <v>0</v>
      </c>
      <c r="P118" s="563"/>
      <c r="Q118" s="133">
        <f t="shared" si="15"/>
        <v>0</v>
      </c>
      <c r="R118" s="133"/>
    </row>
    <row r="119" spans="1:18" ht="15" customHeight="1">
      <c r="A119" s="39">
        <f t="shared" si="16"/>
        <v>2604</v>
      </c>
      <c r="B119" s="605"/>
      <c r="C119" s="606" t="s">
        <v>1615</v>
      </c>
      <c r="D119" s="663" t="s">
        <v>1621</v>
      </c>
      <c r="E119" s="663" t="s">
        <v>791</v>
      </c>
      <c r="F119" s="664" t="str">
        <f>IF(H85&gt;0,"ja","nee")</f>
        <v>nee</v>
      </c>
      <c r="G119" s="609"/>
      <c r="H119" s="609"/>
      <c r="I119" s="610">
        <f t="shared" si="12"/>
        <v>0</v>
      </c>
      <c r="J119" s="611"/>
      <c r="K119" s="610">
        <f t="shared" si="13"/>
        <v>0</v>
      </c>
      <c r="L119" s="612"/>
      <c r="M119" s="658">
        <v>21.6</v>
      </c>
      <c r="N119" s="133"/>
      <c r="O119" s="615">
        <f t="shared" si="14"/>
        <v>0</v>
      </c>
      <c r="P119" s="563"/>
      <c r="Q119" s="133">
        <f t="shared" si="15"/>
        <v>0</v>
      </c>
      <c r="R119" s="133"/>
    </row>
    <row r="120" spans="1:18" ht="15" customHeight="1">
      <c r="A120" s="39">
        <f t="shared" si="16"/>
        <v>2605</v>
      </c>
      <c r="B120" s="605"/>
      <c r="C120" s="606" t="s">
        <v>1616</v>
      </c>
      <c r="D120" s="663" t="s">
        <v>1622</v>
      </c>
      <c r="E120" s="663" t="s">
        <v>791</v>
      </c>
      <c r="F120" s="664" t="str">
        <f>IF(H80&gt;0,"ja","nee")</f>
        <v>nee</v>
      </c>
      <c r="G120" s="609"/>
      <c r="H120" s="609"/>
      <c r="I120" s="610">
        <f t="shared" si="12"/>
        <v>0</v>
      </c>
      <c r="J120" s="611"/>
      <c r="K120" s="610">
        <f t="shared" si="13"/>
        <v>0</v>
      </c>
      <c r="L120" s="612"/>
      <c r="M120" s="658">
        <v>18.7</v>
      </c>
      <c r="N120" s="133"/>
      <c r="O120" s="615">
        <f t="shared" si="14"/>
        <v>0</v>
      </c>
      <c r="P120" s="563"/>
      <c r="Q120" s="133">
        <f t="shared" si="15"/>
        <v>0</v>
      </c>
      <c r="R120" s="133"/>
    </row>
    <row r="121" spans="1:18" ht="15" customHeight="1">
      <c r="A121" s="39">
        <f t="shared" si="16"/>
        <v>2606</v>
      </c>
      <c r="B121" s="605"/>
      <c r="C121" s="606" t="s">
        <v>1617</v>
      </c>
      <c r="D121" s="663" t="s">
        <v>1468</v>
      </c>
      <c r="E121" s="663" t="s">
        <v>791</v>
      </c>
      <c r="F121" s="664" t="str">
        <f>IF(H81&gt;0,"ja","nee")</f>
        <v>nee</v>
      </c>
      <c r="G121" s="609"/>
      <c r="H121" s="609"/>
      <c r="I121" s="610">
        <f>H121-G121</f>
        <v>0</v>
      </c>
      <c r="J121" s="611"/>
      <c r="K121" s="610">
        <f>ROUND((J121),1)*H121</f>
        <v>0</v>
      </c>
      <c r="L121" s="612"/>
      <c r="M121" s="658">
        <v>10.1</v>
      </c>
      <c r="N121" s="133"/>
      <c r="O121" s="615">
        <f t="shared" si="14"/>
        <v>0</v>
      </c>
      <c r="P121" s="563"/>
      <c r="Q121" s="133">
        <f t="shared" si="15"/>
        <v>0</v>
      </c>
      <c r="R121" s="133"/>
    </row>
    <row r="122" spans="1:18" ht="15" customHeight="1">
      <c r="A122" s="39">
        <f t="shared" si="16"/>
        <v>2607</v>
      </c>
      <c r="B122" s="605"/>
      <c r="C122" s="606" t="s">
        <v>1467</v>
      </c>
      <c r="D122" s="663" t="s">
        <v>297</v>
      </c>
      <c r="E122" s="663" t="s">
        <v>791</v>
      </c>
      <c r="F122" s="664" t="str">
        <f>IF(SUM(H77:H79)&gt;0,"ja","nee")</f>
        <v>nee</v>
      </c>
      <c r="G122" s="609"/>
      <c r="H122" s="609"/>
      <c r="I122" s="610">
        <f t="shared" si="12"/>
        <v>0</v>
      </c>
      <c r="J122" s="611"/>
      <c r="K122" s="610">
        <f t="shared" si="13"/>
        <v>0</v>
      </c>
      <c r="L122" s="612"/>
      <c r="M122" s="658">
        <v>14.5</v>
      </c>
      <c r="N122" s="133"/>
      <c r="O122" s="615">
        <f t="shared" si="14"/>
        <v>0</v>
      </c>
      <c r="P122" s="563"/>
      <c r="Q122" s="133">
        <f t="shared" si="15"/>
        <v>0</v>
      </c>
      <c r="R122" s="133"/>
    </row>
    <row r="123" spans="1:18" ht="15" customHeight="1">
      <c r="A123" s="36">
        <f t="shared" si="16"/>
        <v>2608</v>
      </c>
      <c r="B123" s="36"/>
      <c r="C123" s="169" t="s">
        <v>1104</v>
      </c>
      <c r="D123" s="170"/>
      <c r="E123" s="170"/>
      <c r="F123" s="170"/>
      <c r="G123" s="42"/>
      <c r="H123" s="653"/>
      <c r="I123" s="653"/>
      <c r="J123" s="655"/>
      <c r="K123" s="656">
        <f>SUM(K116:K122)</f>
        <v>0</v>
      </c>
      <c r="L123" s="665"/>
      <c r="M123" s="116"/>
      <c r="N123" s="666"/>
      <c r="O123" s="615"/>
      <c r="P123" s="369"/>
      <c r="Q123" s="133"/>
      <c r="R123" s="369"/>
    </row>
    <row r="124" spans="2:18" ht="15" customHeight="1">
      <c r="B124" s="659"/>
      <c r="C124" s="659"/>
      <c r="D124" s="659"/>
      <c r="E124" s="659"/>
      <c r="F124" s="659"/>
      <c r="G124" s="532"/>
      <c r="H124" s="532"/>
      <c r="I124" s="532"/>
      <c r="J124" s="532"/>
      <c r="K124" s="532"/>
      <c r="L124" s="133"/>
      <c r="M124" s="133"/>
      <c r="N124" s="667"/>
      <c r="O124" s="668"/>
      <c r="P124" s="563"/>
      <c r="Q124" s="133"/>
      <c r="R124" s="133"/>
    </row>
    <row r="125" spans="2:18" ht="15" customHeight="1">
      <c r="B125" s="579"/>
      <c r="C125" s="579"/>
      <c r="D125" s="579"/>
      <c r="E125" s="579"/>
      <c r="F125" s="579"/>
      <c r="G125" s="133"/>
      <c r="H125" s="133"/>
      <c r="I125" s="133"/>
      <c r="J125" s="133"/>
      <c r="K125" s="133"/>
      <c r="L125" s="133"/>
      <c r="M125" s="133"/>
      <c r="N125" s="667"/>
      <c r="O125" s="668"/>
      <c r="P125" s="563"/>
      <c r="Q125" s="133"/>
      <c r="R125" s="133"/>
    </row>
    <row r="126" spans="2:18" ht="15" customHeight="1">
      <c r="B126" s="1054" t="s">
        <v>1648</v>
      </c>
      <c r="D126" s="669"/>
      <c r="E126" s="670"/>
      <c r="F126" s="670"/>
      <c r="G126" s="671"/>
      <c r="H126" s="672"/>
      <c r="I126" s="672"/>
      <c r="J126" s="673"/>
      <c r="K126" s="672"/>
      <c r="L126" s="86"/>
      <c r="M126" s="672"/>
      <c r="N126" s="666"/>
      <c r="O126" s="674"/>
      <c r="P126" s="657"/>
      <c r="Q126" s="133"/>
      <c r="R126" s="369"/>
    </row>
    <row r="127" spans="1:18" ht="15" customHeight="1">
      <c r="A127" s="39">
        <f>A123+1</f>
        <v>2609</v>
      </c>
      <c r="B127" s="605"/>
      <c r="C127" s="606" t="s">
        <v>1623</v>
      </c>
      <c r="D127" s="663" t="s">
        <v>1466</v>
      </c>
      <c r="E127" s="675" t="s">
        <v>1103</v>
      </c>
      <c r="F127" s="676" t="str">
        <f>IF(SUM(H60:H66)&gt;0,"ja","nee")</f>
        <v>nee</v>
      </c>
      <c r="G127" s="609"/>
      <c r="H127" s="609"/>
      <c r="I127" s="610">
        <f>H127-G127</f>
        <v>0</v>
      </c>
      <c r="J127" s="611"/>
      <c r="K127" s="802">
        <f>ROUND((J127),1)*H127</f>
        <v>0</v>
      </c>
      <c r="L127" s="612"/>
      <c r="M127" s="658">
        <v>21.9</v>
      </c>
      <c r="N127" s="133"/>
      <c r="O127" s="615">
        <f>IF(J127&gt;M127,1,0)</f>
        <v>0</v>
      </c>
      <c r="P127" s="563"/>
      <c r="Q127" s="133">
        <f>K127*A127</f>
        <v>0</v>
      </c>
      <c r="R127" s="133"/>
    </row>
    <row r="128" spans="1:18" ht="15" customHeight="1">
      <c r="A128" s="659"/>
      <c r="B128" s="659"/>
      <c r="C128" s="659"/>
      <c r="D128" s="659"/>
      <c r="E128" s="659"/>
      <c r="F128" s="659"/>
      <c r="G128" s="659"/>
      <c r="H128" s="659"/>
      <c r="I128" s="659"/>
      <c r="J128" s="659"/>
      <c r="K128" s="659"/>
      <c r="L128" s="133"/>
      <c r="M128" s="667"/>
      <c r="N128" s="133"/>
      <c r="O128" s="615"/>
      <c r="P128" s="563"/>
      <c r="Q128" s="133"/>
      <c r="R128" s="133"/>
    </row>
    <row r="129" spans="2:18" ht="15" customHeight="1">
      <c r="B129" s="579"/>
      <c r="C129" s="579"/>
      <c r="D129" s="133"/>
      <c r="E129" s="579"/>
      <c r="F129" s="579"/>
      <c r="G129" s="579"/>
      <c r="H129" s="133"/>
      <c r="I129" s="133"/>
      <c r="J129" s="133"/>
      <c r="K129" s="133"/>
      <c r="L129" s="133"/>
      <c r="M129" s="133"/>
      <c r="N129" s="133"/>
      <c r="O129" s="668"/>
      <c r="P129" s="563"/>
      <c r="Q129" s="133"/>
      <c r="R129" s="133"/>
    </row>
    <row r="130" spans="2:18" ht="15" customHeight="1">
      <c r="B130" s="577" t="s">
        <v>2011</v>
      </c>
      <c r="C130" s="570"/>
      <c r="L130" s="133"/>
      <c r="M130" s="133"/>
      <c r="N130" s="133"/>
      <c r="O130" s="680">
        <f>SUM(O33:O129)</f>
        <v>0</v>
      </c>
      <c r="P130" s="563"/>
      <c r="Q130" s="563">
        <f>SUM(Q33:Q127)</f>
        <v>0</v>
      </c>
      <c r="R130" s="133"/>
    </row>
    <row r="131" spans="2:18" ht="15" customHeight="1">
      <c r="B131" s="1530" t="s">
        <v>2012</v>
      </c>
      <c r="C131" s="1531"/>
      <c r="D131" s="621"/>
      <c r="E131" s="626"/>
      <c r="F131" s="626"/>
      <c r="G131" s="534"/>
      <c r="H131" s="534"/>
      <c r="I131" s="622"/>
      <c r="J131" s="534"/>
      <c r="K131" s="622"/>
      <c r="L131" s="133"/>
      <c r="M131" s="623"/>
      <c r="N131" s="133"/>
      <c r="O131" s="563" t="s">
        <v>1105</v>
      </c>
      <c r="P131" s="563"/>
      <c r="Q131" s="133"/>
      <c r="R131" s="133"/>
    </row>
    <row r="132" spans="1:15" ht="14.25">
      <c r="A132" s="36">
        <v>2610</v>
      </c>
      <c r="B132" s="605" t="s">
        <v>1458</v>
      </c>
      <c r="C132" s="606" t="s">
        <v>43</v>
      </c>
      <c r="D132" s="607" t="s">
        <v>814</v>
      </c>
      <c r="E132" s="624" t="s">
        <v>288</v>
      </c>
      <c r="F132" s="608" t="str">
        <f>IF($F$14="ja","ja","nee")</f>
        <v>nee</v>
      </c>
      <c r="G132" s="609"/>
      <c r="H132" s="609"/>
      <c r="I132" s="610">
        <f>H132-G132</f>
        <v>0</v>
      </c>
      <c r="J132" s="611"/>
      <c r="K132" s="610">
        <f>ROUND((J132),1)*H132</f>
        <v>0</v>
      </c>
      <c r="L132" s="612"/>
      <c r="M132" s="613">
        <v>132.7</v>
      </c>
      <c r="O132" s="554" t="s">
        <v>1106</v>
      </c>
    </row>
    <row r="133" spans="1:13" ht="14.25">
      <c r="A133" s="36">
        <v>2611</v>
      </c>
      <c r="B133" s="605" t="s">
        <v>1458</v>
      </c>
      <c r="C133" s="606" t="s">
        <v>44</v>
      </c>
      <c r="D133" s="607" t="s">
        <v>815</v>
      </c>
      <c r="E133" s="624" t="s">
        <v>45</v>
      </c>
      <c r="F133" s="608" t="str">
        <f>IF($F$14="ja","ja","nee")</f>
        <v>nee</v>
      </c>
      <c r="G133" s="609"/>
      <c r="H133" s="609"/>
      <c r="I133" s="610">
        <f>H133-G133</f>
        <v>0</v>
      </c>
      <c r="J133" s="611"/>
      <c r="K133" s="610">
        <f>ROUND((J133),1)*H133</f>
        <v>0</v>
      </c>
      <c r="L133" s="612"/>
      <c r="M133" s="613">
        <v>152.1</v>
      </c>
    </row>
    <row r="135" spans="2:13" ht="14.25">
      <c r="B135" s="1530" t="s">
        <v>46</v>
      </c>
      <c r="C135" s="1532"/>
      <c r="D135" s="621"/>
      <c r="E135" s="629"/>
      <c r="F135" s="629"/>
      <c r="G135" s="534"/>
      <c r="H135" s="534"/>
      <c r="I135" s="622"/>
      <c r="J135" s="534"/>
      <c r="K135" s="622"/>
      <c r="L135" s="133"/>
      <c r="M135" s="623"/>
    </row>
    <row r="136" spans="1:13" ht="14.25">
      <c r="A136" s="36">
        <v>2612</v>
      </c>
      <c r="B136" s="605" t="s">
        <v>1455</v>
      </c>
      <c r="C136" s="606" t="s">
        <v>47</v>
      </c>
      <c r="D136" s="607" t="s">
        <v>817</v>
      </c>
      <c r="E136" s="624" t="s">
        <v>288</v>
      </c>
      <c r="F136" s="608" t="str">
        <f>IF($F$13="ja","ja","nee")</f>
        <v>nee</v>
      </c>
      <c r="G136" s="609"/>
      <c r="H136" s="609"/>
      <c r="I136" s="610">
        <f>H136-G136</f>
        <v>0</v>
      </c>
      <c r="J136" s="611"/>
      <c r="K136" s="610">
        <f>ROUND((J136),1)*H136</f>
        <v>0</v>
      </c>
      <c r="L136" s="612"/>
      <c r="M136" s="613">
        <v>80</v>
      </c>
    </row>
    <row r="138" spans="2:3" ht="12.75">
      <c r="B138" s="1530" t="s">
        <v>48</v>
      </c>
      <c r="C138" s="1531"/>
    </row>
    <row r="139" spans="1:13" ht="14.25">
      <c r="A139" s="36">
        <v>2613</v>
      </c>
      <c r="B139" s="605" t="s">
        <v>49</v>
      </c>
      <c r="C139" s="606" t="s">
        <v>50</v>
      </c>
      <c r="D139" s="607" t="s">
        <v>818</v>
      </c>
      <c r="E139" s="624" t="s">
        <v>288</v>
      </c>
      <c r="F139" s="608" t="str">
        <f>IF(OR($F$13="ja;",$F$14="ja"),"ja","nee")</f>
        <v>nee</v>
      </c>
      <c r="G139" s="609"/>
      <c r="H139" s="609"/>
      <c r="I139" s="610">
        <f>H139-G139</f>
        <v>0</v>
      </c>
      <c r="J139" s="611"/>
      <c r="K139" s="610">
        <f>ROUND((J139),1)*H139</f>
        <v>0</v>
      </c>
      <c r="L139" s="612"/>
      <c r="M139" s="613">
        <v>8.2</v>
      </c>
    </row>
    <row r="141" spans="1:11" ht="12.75">
      <c r="A141" s="36">
        <v>2614</v>
      </c>
      <c r="B141" s="652"/>
      <c r="C141" s="169" t="s">
        <v>51</v>
      </c>
      <c r="D141" s="170"/>
      <c r="E141" s="170"/>
      <c r="F141" s="170"/>
      <c r="G141" s="653"/>
      <c r="H141" s="653"/>
      <c r="I141" s="654"/>
      <c r="J141" s="655"/>
      <c r="K141" s="656">
        <f>SUM(K132:K139)</f>
        <v>0</v>
      </c>
    </row>
    <row r="144" spans="1:11" ht="12.75">
      <c r="A144" s="36">
        <f>A141+1</f>
        <v>2615</v>
      </c>
      <c r="B144" s="36"/>
      <c r="C144" s="677" t="s">
        <v>1471</v>
      </c>
      <c r="D144" s="42"/>
      <c r="E144" s="42"/>
      <c r="F144" s="42"/>
      <c r="G144" s="42"/>
      <c r="H144" s="678"/>
      <c r="I144" s="678"/>
      <c r="J144" s="64"/>
      <c r="K144" s="679">
        <f>ROUND((K106+K123+K127+K141),0)</f>
        <v>0</v>
      </c>
    </row>
  </sheetData>
  <sheetProtection password="A722" sheet="1" objects="1" scenarios="1"/>
  <mergeCells count="10">
    <mergeCell ref="B1:I1"/>
    <mergeCell ref="B32:C32"/>
    <mergeCell ref="B36:C36"/>
    <mergeCell ref="B41:C41"/>
    <mergeCell ref="B131:C131"/>
    <mergeCell ref="B135:C135"/>
    <mergeCell ref="B138:C138"/>
    <mergeCell ref="B47:C47"/>
    <mergeCell ref="B53:C53"/>
    <mergeCell ref="B59:C59"/>
  </mergeCells>
  <conditionalFormatting sqref="H127 J127 J103:J104 J100 H100 J77:J87 J93:J97 H93:H97 H77:H87 H103:H104 J116:J122 H116:H122 J60:J66 H60:H66 H132:H133 J132:J133 H136 J136 H139 J139 F24:I24 H33:H34 J33:J34 J42:J45 H42:H45 H54:H57 H37:H39 J37:J39 H48:H51 J48:J51 J54:J57 F10:F17">
    <cfRule type="expression" priority="1" dxfId="13" stopIfTrue="1">
      <formula>$E$24=TRUE</formula>
    </cfRule>
  </conditionalFormatting>
  <conditionalFormatting sqref="G127 G103:G104 G100 G77:G87 G93:G97 G116:G122 G60:G66 G132:G133 G136 G139 G54:G57 G33:G34 G42:G45 G37:G39 G48:G51">
    <cfRule type="expression" priority="2" dxfId="19" stopIfTrue="1">
      <formula>$J$24=2</formula>
    </cfRule>
    <cfRule type="expression" priority="3" dxfId="13" stopIfTrue="1">
      <formula>$E$24=TRUE</formula>
    </cfRule>
  </conditionalFormatting>
  <conditionalFormatting sqref="O23">
    <cfRule type="expression" priority="4" dxfId="21" stopIfTrue="1">
      <formula>$C$27=TRUE</formula>
    </cfRule>
  </conditionalFormatting>
  <conditionalFormatting sqref="D10:D17">
    <cfRule type="expression" priority="5" dxfId="11" stopIfTrue="1">
      <formula>$D$24=TRUE</formula>
    </cfRule>
  </conditionalFormatting>
  <conditionalFormatting sqref="H10">
    <cfRule type="expression" priority="6" dxfId="11" stopIfTrue="1">
      <formula>"d19=waar"</formula>
    </cfRule>
  </conditionalFormatting>
  <dataValidations count="5">
    <dataValidation type="whole" operator="greaterThan" allowBlank="1" showInputMessage="1" showErrorMessage="1" errorTitle="Alleen positieve aantallen!" error="U kunt hier alleen een positief aantal invoeren!" sqref="H144:J144 H123:J123 H126:I126 J106 G106:H106 J141 G141:H141">
      <formula1>-1</formula1>
    </dataValidation>
    <dataValidation type="whole" operator="greaterThan" allowBlank="1" showInputMessage="1" showErrorMessage="1" errorTitle="Positieve gehele aantallen!" error="U kunt hier alleen positieve gehele aantallen invoeren!&#10;" sqref="G127 G103:G104 G77:G87 G100 G93:G97 G116:G122 G60:G66 G132:G133 G136 G139 G42:G45 G48:G51 G33:G34 G37:G39 G54:G57">
      <formula1>-1</formula1>
    </dataValidation>
    <dataValidation type="decimal" allowBlank="1" showInputMessage="1" showErrorMessage="1" errorTitle="Let op prijs!" error="Een prijs boven het maximum of een negatieve prijs is niet mogelijk!" sqref="J37:J39 J33:J34 J42:J45 J48:J51 J54:J57 J93:J97 J100 J77:J87 J127 J103:J104 J60:J66 J116:J122 J132:J133 J136 J139">
      <formula1>0</formula1>
      <formula2>M37</formula2>
    </dataValidation>
    <dataValidation type="decimal" operator="lessThanOrEqual" allowBlank="1" showInputMessage="1" showErrorMessage="1" errorTitle="let op maximumprijs!" error="U kunt niet boven de maximumprijs afspreken." sqref="K126">
      <formula1>N126</formula1>
    </dataValidation>
    <dataValidation type="list" allowBlank="1" showInputMessage="1" showErrorMessage="1" error="Hier kan alleen ja of nee ingevuld worden" sqref="F10:F17">
      <formula1>"ja,nee"</formula1>
    </dataValidation>
  </dataValidations>
  <printOptions/>
  <pageMargins left="0.1968503937007874" right="0.1968503937007874" top="0.3937007874015748" bottom="0.3937007874015748" header="0" footer="0.31496062992125984"/>
  <pageSetup firstPageNumber="25" useFirstPageNumber="1" horizontalDpi="600" verticalDpi="600" orientation="landscape" paperSize="9" scale="90" r:id="rId3"/>
  <headerFooter alignWithMargins="0">
    <oddFooter>&amp;RPagina &amp;P</oddFooter>
  </headerFooter>
  <rowBreaks count="3" manualBreakCount="3">
    <brk id="21" max="10" man="1"/>
    <brk id="67" max="10" man="1"/>
    <brk id="107" max="10"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Corine van Kalles</cp:lastModifiedBy>
  <cp:lastPrinted>2006-06-20T13:45:51Z</cp:lastPrinted>
  <dcterms:created xsi:type="dcterms:W3CDTF">2001-02-19T07:46:38Z</dcterms:created>
  <dcterms:modified xsi:type="dcterms:W3CDTF">2006-10-09T13:08:07Z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-950285420</vt:i4>
  </property>
  <property fmtid="{D5CDD505-2E9C-101B-9397-08002B2CF9AE}" pid="3" name="_EmailSubject">
    <vt:lpwstr>Budgetformulier GGZ 2005</vt:lpwstr>
  </property>
  <property fmtid="{D5CDD505-2E9C-101B-9397-08002B2CF9AE}" pid="4" name="_AuthorEmail">
    <vt:lpwstr>mashouwer@ctg-zaio.nl</vt:lpwstr>
  </property>
  <property fmtid="{D5CDD505-2E9C-101B-9397-08002B2CF9AE}" pid="5" name="_AuthorEmailDisplayName">
    <vt:lpwstr>Ashouwer, Marja</vt:lpwstr>
  </property>
  <property fmtid="{D5CDD505-2E9C-101B-9397-08002B2CF9AE}" pid="6" name="_PreviousAdHocReviewCycleID">
    <vt:i4>1157636160</vt:i4>
  </property>
  <property fmtid="{D5CDD505-2E9C-101B-9397-08002B2CF9AE}" pid="7" name="_ReviewingToolsShownOnce">
    <vt:lpwstr/>
  </property>
  <property fmtid="{D5CDD505-2E9C-101B-9397-08002B2CF9AE}" pid="8" name="_dlc_DocId">
    <vt:lpwstr>THRFR6N5WDQ4-17-3071</vt:lpwstr>
  </property>
  <property fmtid="{D5CDD505-2E9C-101B-9397-08002B2CF9AE}" pid="9" name="_dlc_DocIdItemGuid">
    <vt:lpwstr>79fdef36-9dfb-4693-a37b-2e4ba4b01b2d</vt:lpwstr>
  </property>
  <property fmtid="{D5CDD505-2E9C-101B-9397-08002B2CF9AE}" pid="10" name="_dlc_DocIdUrl">
    <vt:lpwstr>http://kennisnet.nza.nl/publicaties/Aanleveren/_layouts/DocIdRedir.aspx?ID=THRFR6N5WDQ4-17-3071, THRFR6N5WDQ4-17-3071</vt:lpwstr>
  </property>
  <property fmtid="{D5CDD505-2E9C-101B-9397-08002B2CF9AE}" pid="11" name="WorkflowChangePath">
    <vt:lpwstr>5dd26274-7450-4d13-b077-7382865cccce,5;5dd26274-7450-4d13-b077-7382865cccce,5;5dd26274-7450-4d13-b077-7382865cccce,5;5dd26274-7450-4d13-b077-7382865cccce,5;5dd26274-7450-4d13-b077-7382865cccce,5;5dd26274-7450-4d13-b077-7382865cccce,10;5dd26274-7450-4d13-b</vt:lpwstr>
  </property>
  <property fmtid="{D5CDD505-2E9C-101B-9397-08002B2CF9AE}" pid="12" name="NZa-zoekwoordenMetadata">
    <vt:lpwstr/>
  </property>
  <property fmtid="{D5CDD505-2E9C-101B-9397-08002B2CF9AE}" pid="13" name="VerzondenAanMetadata">
    <vt:lpwstr/>
  </property>
  <property fmtid="{D5CDD505-2E9C-101B-9397-08002B2CF9AE}" pid="14" name="Sector(en)Metadata">
    <vt:lpwstr>Alle:Ziekenhuiszorg|1a957709-959b-40c0-9640-61f1bd5d07a0</vt:lpwstr>
  </property>
  <property fmtid="{D5CDD505-2E9C-101B-9397-08002B2CF9AE}" pid="15" name="DocumentTypeMetadata">
    <vt:lpwstr>Regels:Formulier|4bc40415-667d-4fea-816d-9688ca6ffa69</vt:lpwstr>
  </property>
  <property fmtid="{D5CDD505-2E9C-101B-9397-08002B2CF9AE}" pid="16" name="ExtraZoekwoordenMetadata">
    <vt:lpwstr/>
  </property>
  <property fmtid="{D5CDD505-2E9C-101B-9397-08002B2CF9AE}" pid="17" name="j85cec29e8c24b8a90feb8db203ff7e2">
    <vt:lpwstr>Ziekenhuiszorg|1a957709-959b-40c0-9640-61f1bd5d07a0</vt:lpwstr>
  </property>
  <property fmtid="{D5CDD505-2E9C-101B-9397-08002B2CF9AE}" pid="18" name="DocumentTypen">
    <vt:lpwstr>103;#Formulier|4bc40415-667d-4fea-816d-9688ca6ffa69</vt:lpwstr>
  </property>
  <property fmtid="{D5CDD505-2E9C-101B-9397-08002B2CF9AE}" pid="19" name="DocumentType">
    <vt:lpwstr/>
  </property>
  <property fmtid="{D5CDD505-2E9C-101B-9397-08002B2CF9AE}" pid="20" name="Sector(en)">
    <vt:lpwstr>134;#Ziekenhuiszorg|1a957709-959b-40c0-9640-61f1bd5d07a0</vt:lpwstr>
  </property>
  <property fmtid="{D5CDD505-2E9C-101B-9397-08002B2CF9AE}" pid="21" name="NZa-zoekwoorden">
    <vt:lpwstr/>
  </property>
  <property fmtid="{D5CDD505-2E9C-101B-9397-08002B2CF9AE}" pid="22" name="ff74c6b610ef44f49114c43de1676156">
    <vt:lpwstr/>
  </property>
  <property fmtid="{D5CDD505-2E9C-101B-9397-08002B2CF9AE}" pid="23" name="n407de7a4204433984b2eeeaba786d56">
    <vt:lpwstr/>
  </property>
  <property fmtid="{D5CDD505-2E9C-101B-9397-08002B2CF9AE}" pid="24" name="Extra zoekwoorden">
    <vt:lpwstr/>
  </property>
  <property fmtid="{D5CDD505-2E9C-101B-9397-08002B2CF9AE}" pid="25" name="l24ea505ea8d4be1bd84e8204c620c6c">
    <vt:lpwstr/>
  </property>
  <property fmtid="{D5CDD505-2E9C-101B-9397-08002B2CF9AE}" pid="26" name="me0f0aaf77cd4640acf557f58a1d2cc0">
    <vt:lpwstr>Formulier|4bc40415-667d-4fea-816d-9688ca6ffa69</vt:lpwstr>
  </property>
  <property fmtid="{D5CDD505-2E9C-101B-9397-08002B2CF9AE}" pid="27" name="TaxCatchAll">
    <vt:lpwstr>103;#Formulier|4bc40415-667d-4fea-816d-9688ca6ffa69;#134;#Ziekenhuiszorg|1a957709-959b-40c0-9640-61f1bd5d07a0</vt:lpwstr>
  </property>
</Properties>
</file>