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firstSheet="10" activeTab="0"/>
  </bookViews>
  <sheets>
    <sheet name="voorblad" sheetId="1" r:id="rId1"/>
    <sheet name="toelichting" sheetId="2" r:id="rId2"/>
    <sheet name="inhoudsopgave" sheetId="3" r:id="rId3"/>
    <sheet name="functies" sheetId="4" r:id="rId4"/>
    <sheet name="verblijf met behandeling" sheetId="5" r:id="rId5"/>
    <sheet name="verblijf zonder behandeling" sheetId="6" r:id="rId6"/>
    <sheet name="zg afspraak" sheetId="7" r:id="rId7"/>
    <sheet name="extramurale zorg" sheetId="8" r:id="rId8"/>
    <sheet name="extreme zorgbehoefte" sheetId="9" r:id="rId9"/>
    <sheet name="hardheidsclausule en z-o-m" sheetId="10" r:id="rId10"/>
    <sheet name="deconcentratie" sheetId="11" r:id="rId11"/>
    <sheet name="plaatselijk overleg" sheetId="12" r:id="rId12"/>
    <sheet name="recapitulatie" sheetId="13" r:id="rId13"/>
    <sheet name="doorrekening 1" sheetId="14" r:id="rId14"/>
  </sheets>
  <externalReferences>
    <externalReference r:id="rId17"/>
    <externalReference r:id="rId18"/>
  </externalReferences>
  <definedNames>
    <definedName name="__123Graph_C" hidden="1">'[1]I_03007'!#REF!</definedName>
    <definedName name="__123Graph_D" hidden="1">'[1]I_03007'!#REF!</definedName>
    <definedName name="__123Graph_E" hidden="1">'[1]I_03007'!#REF!</definedName>
    <definedName name="__123Graph_Z" hidden="1">'[1]I_03007'!#REF!</definedName>
    <definedName name="_Fill" localSheetId="0" hidden="1">#REF!</definedName>
    <definedName name="_Fill" hidden="1">#REF!</definedName>
    <definedName name="_Order1" hidden="1">255</definedName>
    <definedName name="_Order2" hidden="1">255</definedName>
    <definedName name="_xlnm.Print_Area" localSheetId="13">'doorrekening 1'!$A$1:$M$297</definedName>
    <definedName name="_xlnm.Print_Area" localSheetId="1">'toelichting'!$A:$I</definedName>
    <definedName name="_xlnm.Print_Area" localSheetId="5">'verblijf zonder behandeling'!$A$1:$J$71</definedName>
    <definedName name="_xlnm.Print_Area" localSheetId="0">'voorblad'!$A$16:$P$60</definedName>
    <definedName name="Afdruktitels_MI">'[1]I_03007'!$1:$5</definedName>
    <definedName name="Expl_">'[1]I_03007'!#REF!</definedName>
    <definedName name="Expl_522">'[1]I_03007'!#REF!</definedName>
    <definedName name="Expl_523">'[1]I_03007'!#REF!</definedName>
    <definedName name="Expl_524">'[1]I_03007'!#REF!</definedName>
    <definedName name="Expl_525">'[1]I_03007'!#REF!</definedName>
    <definedName name="Expl_526">'[1]I_03007'!#REF!</definedName>
    <definedName name="getal_data">#REF!</definedName>
    <definedName name="kolom_data">#REF!</definedName>
    <definedName name="naam" localSheetId="0">#REF!</definedName>
    <definedName name="naam">#REF!</definedName>
    <definedName name="tabblad" localSheetId="0">#REF!</definedName>
    <definedName name="tabblad">#REF!</definedName>
    <definedName name="totaal1996">'[1]I_03007'!$A$4:$D$43</definedName>
    <definedName name="totaal1997">'[1]I_03007'!$A$46:$D$85</definedName>
    <definedName name="totaal1998">'[1]I_03007'!$A$88:$D$127</definedName>
    <definedName name="totaal1999">'[1]I_03007'!$A$130:$D$169</definedName>
    <definedName name="totaal2000">'[1]I_03007'!$A$172:$D$211</definedName>
  </definedNames>
  <calcPr fullCalcOnLoad="1"/>
</workbook>
</file>

<file path=xl/sharedStrings.xml><?xml version="1.0" encoding="utf-8"?>
<sst xmlns="http://schemas.openxmlformats.org/spreadsheetml/2006/main" count="1786" uniqueCount="1045">
  <si>
    <t>Per plaats t.b.v. de achtervangf.</t>
  </si>
  <si>
    <t>Veplgdhn Gedragsgestoord</t>
  </si>
  <si>
    <t>AB-B</t>
  </si>
  <si>
    <t>Activerende beg. speciaal 1</t>
  </si>
  <si>
    <t>Activerende beg. speciaal 2</t>
  </si>
  <si>
    <t>Activerende beg. speciaal 3</t>
  </si>
  <si>
    <t>budgetformulier mee te sturen. Aanvragen zonder volledig ingevulde bijlage worden door CTG/ZAio niet in behandeling genomen.</t>
  </si>
  <si>
    <t>Beide bedragen kunnen berekend worden in de door CTG/ZAio beschikbaar gestelde bijlage. Voor elke cliënt dient u deze bijlage in te vullen en deze met dit</t>
  </si>
  <si>
    <t>regio invullen</t>
  </si>
  <si>
    <t>Toeslag p.toegelaten plaats</t>
  </si>
  <si>
    <t>H144</t>
  </si>
  <si>
    <t>Loon- en materiële kosten verblijf met behandeling 2006: VG</t>
  </si>
  <si>
    <t>Loon- en materiële kosten verblijf met behandeling 2006: JLVG</t>
  </si>
  <si>
    <t>Loon- en materiële kosten verblijf met behandeling 2006: LG</t>
  </si>
  <si>
    <t>Loon- en materiële kosten verblijf met behandeling 2006: ZG</t>
  </si>
  <si>
    <t>Loon- en materiële kosten verblijf zonder behandeling 2006: GVT VG</t>
  </si>
  <si>
    <t>Loon- en materiële kosten verblijf zonder behandeling 2006: GVT MG</t>
  </si>
  <si>
    <t>Loon- en materiële kosten verblijf zonder behandeling 2006: GVT LG</t>
  </si>
  <si>
    <t>Loon- en materiële kosten verblijf zonder behandeling 2006: GVT ZG</t>
  </si>
  <si>
    <t>Loon- en materiële kosten verblijf zonder behandeling 2006: KGVT VG</t>
  </si>
  <si>
    <t>Loon- en materiële kosten verblijf zonder behandeling 2006: KGVT LG</t>
  </si>
  <si>
    <t>Civiele dienst</t>
  </si>
  <si>
    <t>Overig plaatsen dag</t>
  </si>
  <si>
    <t>Verzorgingsfunctie</t>
  </si>
  <si>
    <t>Gedragsgest. Dag</t>
  </si>
  <si>
    <t>Overig/dag</t>
  </si>
  <si>
    <t>Behandelf. Dag</t>
  </si>
  <si>
    <t>Achtervangfunctie/dag</t>
  </si>
  <si>
    <t>Overig personeel/dag (excl.achtervangf)</t>
  </si>
  <si>
    <t>Toeslag achtervangf. Besl.opv/dag</t>
  </si>
  <si>
    <t>MFC per verpleegdag</t>
  </si>
  <si>
    <t>Achtervang Besl.Opvang</t>
  </si>
  <si>
    <t>Behandelfunctie %</t>
  </si>
  <si>
    <t>in %</t>
  </si>
  <si>
    <t>Grenzen behandelfuncties:</t>
  </si>
  <si>
    <t>cliënt</t>
  </si>
  <si>
    <t>Gewenst</t>
  </si>
  <si>
    <t>Gewenste</t>
  </si>
  <si>
    <t>Totaal VG dagen</t>
  </si>
  <si>
    <t>De instelling valt onder richtlijn:</t>
  </si>
  <si>
    <t>Zorg-op-maat</t>
  </si>
  <si>
    <t>Afspraak zorg-op-maat in geld</t>
  </si>
  <si>
    <t>Aantal zorg-op-maat projecten</t>
  </si>
  <si>
    <t>Per zorg-op-maat project</t>
  </si>
  <si>
    <t>Extreme zorgbehoefte</t>
  </si>
  <si>
    <t>groepsgrootte 9-12</t>
  </si>
  <si>
    <t xml:space="preserve">toeslag </t>
  </si>
  <si>
    <t>Totale zorg-</t>
  </si>
  <si>
    <t>behoefte op</t>
  </si>
  <si>
    <t>Aantal zorg-op-maat cliënten</t>
  </si>
  <si>
    <t>Per zorg-op-maat cliënt</t>
  </si>
  <si>
    <t>Aparte componenten</t>
  </si>
  <si>
    <t>x</t>
  </si>
  <si>
    <t>Extra dagbesteding</t>
  </si>
  <si>
    <t>Leerlingen</t>
  </si>
  <si>
    <t>Partijen verzoeken door middel van dit budgetformulier de in dit verzoek overeengekomen vaste tarieven en bijbehorende prestaties (volume- en prijsafspraken) goed te keuren.</t>
  </si>
  <si>
    <t xml:space="preserve">middelen om ontwikkelingen in de gezondheidszorg in kaart te brengen. Daarom heeft CTG/ZAio met onder andere het CBS afspraken gemaakt over het niet vaker dan één </t>
  </si>
  <si>
    <t>H120</t>
  </si>
  <si>
    <t xml:space="preserve">Het CTG/ZAio wil een bijdrage leveren aan het verminderen van de administratieve lasten bij instellingen. CTG/ZAio streeft tevens naar een zo efficiënt mogelijke aanwending van </t>
  </si>
  <si>
    <t xml:space="preserve">Het CTG/ZAio wil de door u op dit formulier ingevulde gegevens betrekken bij de hierboven genoemde gegevensuitwisseling. Bij toestemming levert u een bijdrage aan het verminderen </t>
  </si>
  <si>
    <t>Recapitulatie productieafspraken 2006</t>
  </si>
  <si>
    <t>Richtlijn A of B</t>
  </si>
  <si>
    <t>Observatie dagen</t>
  </si>
  <si>
    <t>SGLVG Verblijfdagen</t>
  </si>
  <si>
    <t>directie en administratie</t>
  </si>
  <si>
    <t>Grenzen</t>
  </si>
  <si>
    <t>bedragen</t>
  </si>
  <si>
    <t>per bed</t>
  </si>
  <si>
    <t>&lt; 75</t>
  </si>
  <si>
    <t>75=&lt;150</t>
  </si>
  <si>
    <t>150=&lt;350</t>
  </si>
  <si>
    <t>&gt; 350</t>
  </si>
  <si>
    <t>Beh.functies/dag</t>
  </si>
  <si>
    <t>Extra dagb./dag (e/zevg)</t>
  </si>
  <si>
    <t>Civiele dienst:</t>
  </si>
  <si>
    <t>overig/dag&lt; 350 plaatsen</t>
  </si>
  <si>
    <t>overig/dag&gt;350 plaatsen</t>
  </si>
  <si>
    <t>Dagen</t>
  </si>
  <si>
    <t>&gt; 50</t>
  </si>
  <si>
    <t>LVG</t>
  </si>
  <si>
    <t>MVG</t>
  </si>
  <si>
    <t>EVG</t>
  </si>
  <si>
    <t>ZEVG</t>
  </si>
  <si>
    <t>20-50</t>
  </si>
  <si>
    <t>&lt; 20 gr 6-8</t>
  </si>
  <si>
    <t>&lt; 20 gr 9-12</t>
  </si>
  <si>
    <t>&lt; 20 gr &gt; 12</t>
  </si>
  <si>
    <t>Behandelfuncties</t>
  </si>
  <si>
    <t>toesl p observatiedag</t>
  </si>
  <si>
    <t>Toeslag obsverpldag</t>
  </si>
  <si>
    <t>SGLVG/forensisch-dag &lt; 350 plaatsen</t>
  </si>
  <si>
    <t>SGLVG/forensisch-dag &gt; 350 plaatsen</t>
  </si>
  <si>
    <t>van</t>
  </si>
  <si>
    <t>tot</t>
  </si>
  <si>
    <t xml:space="preserve">van </t>
  </si>
  <si>
    <t>&gt;</t>
  </si>
  <si>
    <t>* Indien voor het project toestemming is verleend, kan hier tevens het nummer van de brief/beschikking van VWS vermeld worden.</t>
  </si>
  <si>
    <t>Nummer</t>
  </si>
  <si>
    <t>Naam</t>
  </si>
  <si>
    <t xml:space="preserve">Bedrag in </t>
  </si>
  <si>
    <t>Afspraken plaatselijk overleg</t>
  </si>
  <si>
    <t>Plaatselijk overleg</t>
  </si>
  <si>
    <t>Onderhoud</t>
  </si>
  <si>
    <t>Materiele kosten:</t>
  </si>
  <si>
    <t>Per verpleegdag</t>
  </si>
  <si>
    <t>Instellingen voor LG</t>
  </si>
  <si>
    <t>Loonkosten:</t>
  </si>
  <si>
    <t>Materiele kosten</t>
  </si>
  <si>
    <t>H147</t>
  </si>
  <si>
    <t>A</t>
  </si>
  <si>
    <t>Overige personeelscat.</t>
  </si>
  <si>
    <t>Observatieplaats</t>
  </si>
  <si>
    <t>SGEVG problematiek</t>
  </si>
  <si>
    <t>SGLVG-forensisch</t>
  </si>
  <si>
    <t>Zonder SGLVG-forensisch</t>
  </si>
  <si>
    <t>Vervoerskosten/plaats</t>
  </si>
  <si>
    <t>Toeslag extr.</t>
  </si>
  <si>
    <t>zorgbehoefte op</t>
  </si>
  <si>
    <t>Deconcentratie (mutatie)</t>
  </si>
  <si>
    <t>SGLVG verblijfplaatsen</t>
  </si>
  <si>
    <t>SGLVG-Behandelplaatsen</t>
  </si>
  <si>
    <t>MFC-Plaatsen</t>
  </si>
  <si>
    <t>Eerder opgegeven plaatsen</t>
  </si>
  <si>
    <t>Totaal gemuteerde plaatsen</t>
  </si>
  <si>
    <t>Percentage behandelfunctie JLVG (zie rekenstaat regel 604)</t>
  </si>
  <si>
    <t>of het opgegeven tarief in- of exclusief kapitaalslasten is afgesproken.  Dit kunt u per tarief opgeven. Dit gegeven beïnvloedt de productieafspraak niet.</t>
  </si>
  <si>
    <t>MFC-plaats</t>
  </si>
  <si>
    <t>zonder SGLVG-forensisch</t>
  </si>
  <si>
    <t>loonlkosten dep</t>
  </si>
  <si>
    <t>Bezetting</t>
  </si>
  <si>
    <t>Mutatieformulier regiokader gehandicaptenzorg 2006</t>
  </si>
  <si>
    <t>A. Mutatie op contracteerruimte 2006 (schatting)</t>
  </si>
  <si>
    <t>Laatste</t>
  </si>
  <si>
    <t>Totaal directie en administratie nieuwe capaciteit</t>
  </si>
  <si>
    <t>Totaal directie en administratie bestaande capaciteit</t>
  </si>
  <si>
    <t>Bestaande capaciteit</t>
  </si>
  <si>
    <t>Capaciteitswijziging</t>
  </si>
  <si>
    <t>(nieuwe capaciteit)</t>
  </si>
  <si>
    <t>(bestaande capaciteit)</t>
  </si>
  <si>
    <t>Utrecht</t>
  </si>
  <si>
    <t>Kennemerland</t>
  </si>
  <si>
    <t>Amsterdam</t>
  </si>
  <si>
    <t>Toeslag bedden observatie</t>
  </si>
  <si>
    <t>B</t>
  </si>
  <si>
    <t>De conform Beleidsregel III-901 te hanteren criteria zijn:</t>
  </si>
  <si>
    <t>z-o-m 2006</t>
  </si>
  <si>
    <t>voor 2006</t>
  </si>
  <si>
    <t xml:space="preserve">Per 1 januari 2004 is de Beleidsregel wachtlijstmiddelen vervallen. Alleen voor cliënten waarvoor in 2005 een hardheidsclausule was afgesproken kunt u in 2006 </t>
  </si>
  <si>
    <t>2006 (jb)</t>
  </si>
  <si>
    <r>
      <t xml:space="preserve">Per 1 januari 2006 is de nieuwe Beleidsregel toeslag extreme zorgbehoefte (CA-31) ingegaan. Deze regelt dat voor </t>
    </r>
    <r>
      <rPr>
        <b/>
        <u val="single"/>
        <sz val="10"/>
        <rFont val="Arial"/>
        <family val="2"/>
      </rPr>
      <t>nieuwe</t>
    </r>
    <r>
      <rPr>
        <sz val="10"/>
        <rFont val="Arial"/>
        <family val="2"/>
      </rPr>
      <t xml:space="preserve"> cliënten met een extreme zorgbehoefte</t>
    </r>
  </si>
  <si>
    <t>Productieafspraken extramurale zorg 2006</t>
  </si>
  <si>
    <t>Zorginfrastructuur</t>
  </si>
  <si>
    <t>CA-70</t>
  </si>
  <si>
    <t>Dagactiviteit ouderen extra (SOM)</t>
  </si>
  <si>
    <t>Dagactiviteit ouderen extra (PG)</t>
  </si>
  <si>
    <t xml:space="preserve">   - waarvan achtervang besloten opvang</t>
  </si>
  <si>
    <t>totaal 2006</t>
  </si>
  <si>
    <t>PV-C</t>
  </si>
  <si>
    <t>Persoonlijke verzorging speciaal</t>
  </si>
  <si>
    <t>Begeleiding speciaal 1</t>
  </si>
  <si>
    <t>Begeleiding speciaal 2</t>
  </si>
  <si>
    <t>H142</t>
  </si>
  <si>
    <t>H143</t>
  </si>
  <si>
    <t>H328</t>
  </si>
  <si>
    <t>H329</t>
  </si>
  <si>
    <t>H330</t>
  </si>
  <si>
    <t>Behandeling basis som, pg, vg, lg</t>
  </si>
  <si>
    <t>Behandeling gedragswetenschapper</t>
  </si>
  <si>
    <t>Behandeling paramedisch</t>
  </si>
  <si>
    <t>H526</t>
  </si>
  <si>
    <t>H527</t>
  </si>
  <si>
    <t>Dagactiviteit vg kind</t>
  </si>
  <si>
    <t>Dagactiviteit vg kind emg</t>
  </si>
  <si>
    <t>Dagactiviteit vg kind gedrag</t>
  </si>
  <si>
    <t>Structuurbiedende deeltijd volwassenen (4-6 uur)</t>
  </si>
  <si>
    <t>Structuurbiedende deeltijd volwassenen (6-8 uur)</t>
  </si>
  <si>
    <t>Structuurbiedende deeltijd volw. met beperkte begeleiding (4-6 uur)</t>
  </si>
  <si>
    <t>Structuurbiedende deeltijd volw. met beperkte begeleiding (6-8 uur)</t>
  </si>
  <si>
    <t>Vervoer dagactiviteit VG kind emg/gedrag (H526 en H527)</t>
  </si>
  <si>
    <t>H628</t>
  </si>
  <si>
    <t>Totale extramurale productieafspraak 2006</t>
  </si>
  <si>
    <t>Overig</t>
  </si>
  <si>
    <t>Toeslag SGLVG verblijf</t>
  </si>
  <si>
    <t>Toeslag SGLVG behandel</t>
  </si>
  <si>
    <t>Per plaats</t>
  </si>
  <si>
    <t>Materiele kosten per dag</t>
  </si>
  <si>
    <t>bedragen per plaats</t>
  </si>
  <si>
    <t>Groningen</t>
  </si>
  <si>
    <t>Friesland</t>
  </si>
  <si>
    <t>Drenthe</t>
  </si>
  <si>
    <t>Zwolle</t>
  </si>
  <si>
    <t>Twente</t>
  </si>
  <si>
    <t>Arnhem</t>
  </si>
  <si>
    <t>Nijmegen</t>
  </si>
  <si>
    <t>Flevoland</t>
  </si>
  <si>
    <t>Zeeland</t>
  </si>
  <si>
    <t>Noord-Limburg</t>
  </si>
  <si>
    <t>Zuid-Limburg</t>
  </si>
  <si>
    <t>Per toegelaten plaats</t>
  </si>
  <si>
    <t>Bedden</t>
  </si>
  <si>
    <t>Ademh.onderst &lt; 20 uur</t>
  </si>
  <si>
    <t>Ademh. Onderst 20-24 u</t>
  </si>
  <si>
    <t>&lt; 20 uur beademing per etmaal</t>
  </si>
  <si>
    <t>20-24 uur beademing per etmaal</t>
  </si>
  <si>
    <t xml:space="preserve">Materiele kosten </t>
  </si>
  <si>
    <t>per toegelaten plaats</t>
  </si>
  <si>
    <t xml:space="preserve">Cliënt waarvoor de </t>
  </si>
  <si>
    <t>hardheidsclausule</t>
  </si>
  <si>
    <t>is afgesproken</t>
  </si>
  <si>
    <t>3.</t>
  </si>
  <si>
    <t>De plaatsen zijn in 1996 of later gerealiseerd.</t>
  </si>
  <si>
    <t>Plaatsen excl. dependance huur</t>
  </si>
  <si>
    <t>Plaatsen dependance eigendom</t>
  </si>
  <si>
    <t>Plaatsen dependance huur</t>
  </si>
  <si>
    <t>Bezettingsdagen excl.dependance</t>
  </si>
  <si>
    <t>Bezettingsdagen dependance</t>
  </si>
  <si>
    <t>Afspraak</t>
  </si>
  <si>
    <t>Totaal</t>
  </si>
  <si>
    <t>Mutatie</t>
  </si>
  <si>
    <t>mogelijk</t>
  </si>
  <si>
    <t>prijs</t>
  </si>
  <si>
    <t xml:space="preserve"> </t>
  </si>
  <si>
    <t>Nieuwe inschrijving</t>
  </si>
  <si>
    <t>Intakecontact</t>
  </si>
  <si>
    <t>Onderzoekscontact</t>
  </si>
  <si>
    <t>Psychotherapiecontact</t>
  </si>
  <si>
    <t>Groepscontact psychotherapie</t>
  </si>
  <si>
    <t>zg afspraak</t>
  </si>
  <si>
    <t>11 - 12</t>
  </si>
  <si>
    <t>13 - 18</t>
  </si>
  <si>
    <t>Inhoudsopgave budgetformulier gehandicaptenzorg 2006</t>
  </si>
  <si>
    <t>Behandeling/begeleidingscontact</t>
  </si>
  <si>
    <t>Toeslag contact buiten de instelling</t>
  </si>
  <si>
    <t>F451</t>
  </si>
  <si>
    <t>F452</t>
  </si>
  <si>
    <t>F453</t>
  </si>
  <si>
    <t>F454</t>
  </si>
  <si>
    <t>F461</t>
  </si>
  <si>
    <t>F462</t>
  </si>
  <si>
    <t>F463</t>
  </si>
  <si>
    <t>F464</t>
  </si>
  <si>
    <t>Loonkosten deconcentratie</t>
  </si>
  <si>
    <t>F465</t>
  </si>
  <si>
    <t>F466</t>
  </si>
  <si>
    <t>F471</t>
  </si>
  <si>
    <t>F472</t>
  </si>
  <si>
    <t>F473</t>
  </si>
  <si>
    <t>F474</t>
  </si>
  <si>
    <t>F475</t>
  </si>
  <si>
    <t>F476</t>
  </si>
  <si>
    <t>F477</t>
  </si>
  <si>
    <t>F478</t>
  </si>
  <si>
    <t>F481</t>
  </si>
  <si>
    <t>F482</t>
  </si>
  <si>
    <t>F483</t>
  </si>
  <si>
    <t>F484</t>
  </si>
  <si>
    <t>F491</t>
  </si>
  <si>
    <t>F121</t>
  </si>
  <si>
    <t>F122</t>
  </si>
  <si>
    <r>
      <t>I</t>
    </r>
    <r>
      <rPr>
        <b/>
        <sz val="8"/>
        <rFont val="Arial"/>
        <family val="2"/>
      </rPr>
      <t>nstellingen voor ZG</t>
    </r>
  </si>
  <si>
    <t>Verplegend, Opvoedkundig en Verzorgend Personeel:</t>
  </si>
  <si>
    <t>Richtl. A</t>
  </si>
  <si>
    <t>Richtl. B</t>
  </si>
  <si>
    <t>Bedrag</t>
  </si>
  <si>
    <t>F123</t>
  </si>
  <si>
    <t>Huishoudelijke hulp: alpha</t>
  </si>
  <si>
    <t>H125</t>
  </si>
  <si>
    <t>Huishoudelijke verzorging</t>
  </si>
  <si>
    <t>H102</t>
  </si>
  <si>
    <t>Persoonlijke verzorging</t>
  </si>
  <si>
    <t>H126</t>
  </si>
  <si>
    <t>Persoonlijke verzorging extra</t>
  </si>
  <si>
    <t>H127</t>
  </si>
  <si>
    <t>Verpleging</t>
  </si>
  <si>
    <t>Verpleging extra</t>
  </si>
  <si>
    <t>Gespecialiseerde verpleging</t>
  </si>
  <si>
    <t>Begeleiding</t>
  </si>
  <si>
    <t>Begeleiding extra</t>
  </si>
  <si>
    <t>H129</t>
  </si>
  <si>
    <t>OB-2</t>
  </si>
  <si>
    <t>Gespecialiseerde begeleiding</t>
  </si>
  <si>
    <t>Activerende thuiszorg</t>
  </si>
  <si>
    <t>AB-2</t>
  </si>
  <si>
    <t>Activerende psych. thuiszorg</t>
  </si>
  <si>
    <t>Dagactiviteit lg</t>
  </si>
  <si>
    <t>Dagactiviteit vg basis</t>
  </si>
  <si>
    <t>Dagactiviteit vg extra</t>
  </si>
  <si>
    <t>Dagactiviteit zg</t>
  </si>
  <si>
    <t>DAG-6</t>
  </si>
  <si>
    <t>Prestaties gekoppeld aan de functie Uitleen van verpleegartikelen</t>
  </si>
  <si>
    <t>Uitleen</t>
  </si>
  <si>
    <t>Transport</t>
  </si>
  <si>
    <t>Prestaties gekoppeld aan de functie Prenatale zorg</t>
  </si>
  <si>
    <t>Prenatale zorg</t>
  </si>
  <si>
    <t>Totaal (moet gelijk zijn aan regel 709)</t>
  </si>
  <si>
    <t>Prestaties GGZ-zorg gekoppeld aan behandeling</t>
  </si>
  <si>
    <t xml:space="preserve">Productieafspraken visueel gehandicapten </t>
  </si>
  <si>
    <t>Productieafspraken auditief gehandicapten</t>
  </si>
  <si>
    <t>2.</t>
  </si>
  <si>
    <t>Groepscontact behandeling/begeleiding</t>
  </si>
  <si>
    <t>Groepscontact behandeling / begeleiding</t>
  </si>
  <si>
    <t>Behandeling / begeleidingscontact</t>
  </si>
  <si>
    <t>Deeltijd verslavingszorg (4-6 uur)</t>
  </si>
  <si>
    <t>Deeltijd verslavingszorg (6-8 uur)</t>
  </si>
  <si>
    <t>Deeltijd met beperkte begeleiding verslavingszorg (4-6 uur)</t>
  </si>
  <si>
    <t>Deeltijd met beperkte begeleiding verslavingszorg (6-8 uur)</t>
  </si>
  <si>
    <t>Deeltijd k/j opname en observatie (4-6 uur)</t>
  </si>
  <si>
    <t>Deeltijd k/j opname en observatie (6-8 uur)</t>
  </si>
  <si>
    <t>Deeltijd k/j algemeen en gezin met geringe begeleiding (4-6 uur)</t>
  </si>
  <si>
    <t>Deeltijd k/j algemeen en gezin met geringe begeleiding (6-8 uur)</t>
  </si>
  <si>
    <t>Deeltijd k/j algemeen en gezin met begeleiding op afstand (4-6 uur)</t>
  </si>
  <si>
    <t>Deeltijd k/j algemeen en gezin met begeleiding op afstand (6-8 uur)</t>
  </si>
  <si>
    <t>Psychotherapeutische deeltijdbehandeling volwassenen (4-6 uur)</t>
  </si>
  <si>
    <t>Psychotherapeutische deeltijdbehandeling  volwassenen (6-8 uur)</t>
  </si>
  <si>
    <t>Deeltijd stabilisatie volwassenen (4-6 uur)</t>
  </si>
  <si>
    <t>Deeltijd stabilisatie volwassenen (6-8 uur)</t>
  </si>
  <si>
    <t>Deeltijd rehabilitatie volwassenen (4-6 uur)</t>
  </si>
  <si>
    <t>Deeltijd rehabilitatie volwassenen (6-8 uur)</t>
  </si>
  <si>
    <t>Psychiatrische crisisinterventie thuis</t>
  </si>
  <si>
    <t>Psychotherapeutische deeltijdbeh. met beperkte begeleiding volw. (4-6 uur)</t>
  </si>
  <si>
    <t>Psychotherapeutische deeltijdbeh. met beperkte begeleiding volw. (6-8 uur)</t>
  </si>
  <si>
    <t>Plaats</t>
  </si>
  <si>
    <t>Artikel</t>
  </si>
  <si>
    <t>Omschrijving</t>
  </si>
  <si>
    <t xml:space="preserve">Toegelaten </t>
  </si>
  <si>
    <t>Ondersteunende begeleiding</t>
  </si>
  <si>
    <t>Activerende begeleiding</t>
  </si>
  <si>
    <t>Behandeling</t>
  </si>
  <si>
    <t>Uitleen van verpleegartikelen</t>
  </si>
  <si>
    <t>ja</t>
  </si>
  <si>
    <t>Overige</t>
  </si>
  <si>
    <t>F101</t>
  </si>
  <si>
    <t>F102</t>
  </si>
  <si>
    <t>F103</t>
  </si>
  <si>
    <t>F104</t>
  </si>
  <si>
    <t>F105</t>
  </si>
  <si>
    <t>F106</t>
  </si>
  <si>
    <t>F107</t>
  </si>
  <si>
    <t>F108</t>
  </si>
  <si>
    <t>F109</t>
  </si>
  <si>
    <t>F110</t>
  </si>
  <si>
    <t>F131</t>
  </si>
  <si>
    <t>F132</t>
  </si>
  <si>
    <t>F133</t>
  </si>
  <si>
    <t>F134</t>
  </si>
  <si>
    <t>F135</t>
  </si>
  <si>
    <t>F136</t>
  </si>
  <si>
    <t>F137</t>
  </si>
  <si>
    <t>F138</t>
  </si>
  <si>
    <t>F139</t>
  </si>
  <si>
    <t>F140</t>
  </si>
  <si>
    <t>F141</t>
  </si>
  <si>
    <t>F142</t>
  </si>
  <si>
    <t>F143</t>
  </si>
  <si>
    <t>F144</t>
  </si>
  <si>
    <t>F145</t>
  </si>
  <si>
    <t>F146</t>
  </si>
  <si>
    <t>F147</t>
  </si>
  <si>
    <t>F148</t>
  </si>
  <si>
    <t>F149</t>
  </si>
  <si>
    <t>F150</t>
  </si>
  <si>
    <t>Productieafspraken functie verblijf met behandeling</t>
  </si>
  <si>
    <t>PIJ-plaatsen</t>
  </si>
  <si>
    <t>waarvan:</t>
  </si>
  <si>
    <t>Van 50 jaar en ouder</t>
  </si>
  <si>
    <t>licht gehandicapt</t>
  </si>
  <si>
    <t>matig gehandicapt</t>
  </si>
  <si>
    <t>ernstig gehandicapt</t>
  </si>
  <si>
    <t>zeer ernstig gehandicapt</t>
  </si>
  <si>
    <t>Hardheidsclausule</t>
  </si>
  <si>
    <t>Deconcentratie (VG en JLVG)</t>
  </si>
  <si>
    <t>1.</t>
  </si>
  <si>
    <t>De intramurale instelling dient met transformatie-/deconcentratieprocessen bezig te zijn;</t>
  </si>
  <si>
    <t>Straat</t>
  </si>
  <si>
    <t>711 GVT-VG</t>
  </si>
  <si>
    <t>Plaatsen excl. dep.eigendom</t>
  </si>
  <si>
    <t>Aantal fulltime thuiszitters</t>
  </si>
  <si>
    <t>50 + dagen</t>
  </si>
  <si>
    <t>715 KGVT-VG</t>
  </si>
  <si>
    <t>Plaatsen eigendom</t>
  </si>
  <si>
    <t>Plaatsen huur</t>
  </si>
  <si>
    <t>Bezettingsdagen</t>
  </si>
  <si>
    <t>712 GVT-LG</t>
  </si>
  <si>
    <t>Aantal beademden &lt; 20 uur</t>
  </si>
  <si>
    <t>Aantal beademden 20-24 uur</t>
  </si>
  <si>
    <t>716 KGVT-LG</t>
  </si>
  <si>
    <t>714 GVT-MG</t>
  </si>
  <si>
    <t>713 GVT-zintuiglijk</t>
  </si>
  <si>
    <t>Achtervang (open)</t>
  </si>
  <si>
    <t>Verpleegdagen</t>
  </si>
  <si>
    <t>Bezette plaatsen</t>
  </si>
  <si>
    <t>Blinden en slechtzienden</t>
  </si>
  <si>
    <t>Normaal blinden</t>
  </si>
  <si>
    <t>Meervoudig gehandicapten</t>
  </si>
  <si>
    <t>Jeugdigen</t>
  </si>
  <si>
    <t>Normaal slechtziend</t>
  </si>
  <si>
    <t xml:space="preserve">Totaal </t>
  </si>
  <si>
    <t>10 jaar of ouder normaal begaafd</t>
  </si>
  <si>
    <t>Jonger dan 7 normaal begaafd</t>
  </si>
  <si>
    <t>7 jaar en ouder normaal begaafd</t>
  </si>
  <si>
    <t>Observatie</t>
  </si>
  <si>
    <t>Verblijf</t>
  </si>
  <si>
    <t>Jonger dan 20 jaar                                        groepsprootte 6-8</t>
  </si>
  <si>
    <t>op jaarbasis</t>
  </si>
  <si>
    <t>Rekenstaat</t>
  </si>
  <si>
    <t>Dagactiviteit ouderen basis</t>
  </si>
  <si>
    <t>Dagactiviteit GGZ-LZA</t>
  </si>
  <si>
    <t>Deeltijdbehandeling (F451 t/m F491)</t>
  </si>
  <si>
    <t>Forensische deeltijdbehandeling (6-8 uur)</t>
  </si>
  <si>
    <t>Achtervang open</t>
  </si>
  <si>
    <t>SGLVG behandel</t>
  </si>
  <si>
    <t>SGLVG verblijf</t>
  </si>
  <si>
    <t>Ademhalingsondersteuning &lt; 20 uur per plaats</t>
  </si>
  <si>
    <t>Ademhalingsondersteuning 20-24 uur per plaats</t>
  </si>
  <si>
    <t>Meervoudig gehandicapten (blinden)</t>
  </si>
  <si>
    <t>(in dagen op jaarbasis)</t>
  </si>
  <si>
    <t>Hieronder dient de instelling aan te geven voor welke functie(s) deze wel of niet een toelating heeft.</t>
  </si>
  <si>
    <t xml:space="preserve">Totaal JLVG </t>
  </si>
  <si>
    <t>Totaal LG</t>
  </si>
  <si>
    <t xml:space="preserve">MFC plaatsen </t>
  </si>
  <si>
    <t>TBS dagen (t.b.v. forensische psychiatrie)</t>
  </si>
  <si>
    <t>Aantal dagen doof/blind</t>
  </si>
  <si>
    <t>Kortverblijfdagen</t>
  </si>
  <si>
    <t xml:space="preserve">F 1.3 Forensische psychiatrie long stay (basis) FPK </t>
  </si>
  <si>
    <t>F 1.5 Forensische psychiatrie resocialisatie FPK</t>
  </si>
  <si>
    <t>F 1.6 Forensische psychiatrie behandeling FPK</t>
  </si>
  <si>
    <t>Meervoudig gehandicapten (slechtzienden)</t>
  </si>
  <si>
    <t xml:space="preserve">Functies waarvoor de instelling is toegelaten. Deze functies (met uitzondering van de functie verblijf) bepalen voor welke extramurale prestaties de instelling een volume- </t>
  </si>
  <si>
    <t>Van 20 tot 50 jaar</t>
  </si>
  <si>
    <t>De plaatsen dienen ter vervanging van plaatsen op de hoofdlocatie;</t>
  </si>
  <si>
    <t>Jonger dan 10 jaar normaal begaafd</t>
  </si>
  <si>
    <t>F223</t>
  </si>
  <si>
    <t>Uitleen anti-decubitus matrassen, statisch</t>
  </si>
  <si>
    <t>Uitleen anti-decubitus matrassen, licht dynamisch</t>
  </si>
  <si>
    <t>Uitleen anti-decubitus matrassen, sterk dynamisch</t>
  </si>
  <si>
    <t>Totaal aantal declarabele dagen</t>
  </si>
  <si>
    <t>groepsgrootte 6-8</t>
  </si>
  <si>
    <t>VG categorie</t>
  </si>
  <si>
    <t>groepsgrootte &gt;12</t>
  </si>
  <si>
    <t>n.v.t.</t>
  </si>
  <si>
    <t>Aantal plaatsen</t>
  </si>
  <si>
    <t>HH-clausule</t>
  </si>
  <si>
    <t>Bij bezwaar tegen genoemde gegevensuitwisseling verzoeken wij u in het vakje hieronder "NEE" aan te klikken.</t>
  </si>
  <si>
    <t>van uw eigen administratieve lasten en ondersteunt u de lange termijn doelstellingen van de overheid.</t>
  </si>
  <si>
    <t>Eveneens verzoeken partijen het vaste tarieven tarief per jaar, dat de resultante is van de aanvaardbare kosten onder aftrek van de opbrengst van de overeengekomen vaste tarieven,</t>
  </si>
  <si>
    <t>goed te keuren. Dit naar aanleiding van de in de productieafspraken overeengekomen capaciteiten en volumeafspraken, respectievelijk de voorlopige nacalculatie. Voormelde tarieven kunnen</t>
  </si>
  <si>
    <t>door de instelling aan alle ziektekostenverzekeraars en alle (niet-) verzekerden in rekening worden gebracht, met inachtneming van eventueel geldende declaratievoorschriften.</t>
  </si>
  <si>
    <r>
      <t>1)</t>
    </r>
    <r>
      <rPr>
        <sz val="8"/>
        <rFont val="Arial"/>
        <family val="2"/>
      </rPr>
      <t xml:space="preserve"> Op basis van Regeling algemene bepalingen informatieverstrekking op grond van artikel 30a WTG</t>
    </r>
  </si>
  <si>
    <t>Omschrijving project*</t>
  </si>
  <si>
    <t>Uiteindelijk komen alleen die plaatsen in aanmerking die gerealiseerd zijn in door het Ministerie van VWS goedgekeurde huisvesting.</t>
  </si>
  <si>
    <t>verminderd met het aantal plaatsen op de hoofdlocatie. Onder hoofdlocatie wordt verstaan de locatie met het grootste aantal plaatsen.</t>
  </si>
  <si>
    <t>Het maximaal aantal plaatsen dat voor de toeslag in aanmerking komt kan nooit meer zijn dan het aantal toegelaten plaatsen</t>
  </si>
  <si>
    <t>Toelating</t>
  </si>
  <si>
    <t>per dag</t>
  </si>
  <si>
    <t>Plaatsen</t>
  </si>
  <si>
    <t>Productieafspraken functie verblijf met behandeling (vervolg)</t>
  </si>
  <si>
    <t>Afspraken</t>
  </si>
  <si>
    <t>Behandelfuncties intramuraal</t>
  </si>
  <si>
    <t>Intramurale capaciteit</t>
  </si>
  <si>
    <r>
      <t xml:space="preserve">Bezette plaatsen </t>
    </r>
    <r>
      <rPr>
        <vertAlign val="superscript"/>
        <sz val="10"/>
        <rFont val="Arial"/>
        <family val="2"/>
      </rPr>
      <t>1)</t>
    </r>
  </si>
  <si>
    <t>Overige verpleegdagen</t>
  </si>
  <si>
    <t>Doven</t>
  </si>
  <si>
    <t>Slechthorenden</t>
  </si>
  <si>
    <r>
      <t>1)</t>
    </r>
    <r>
      <rPr>
        <sz val="10"/>
        <rFont val="Arial"/>
        <family val="2"/>
      </rPr>
      <t xml:space="preserve"> Maximaal het aantal afgesproken verpleegdagen gedeeld door 365)</t>
    </r>
  </si>
  <si>
    <t>Kapitaal-</t>
  </si>
  <si>
    <t>Afg.</t>
  </si>
  <si>
    <t>lasten in</t>
  </si>
  <si>
    <t>tarief</t>
  </si>
  <si>
    <t>tarief?</t>
  </si>
  <si>
    <t>Zijn er kapitaalslasten opgenomen in de afgesproken tarieven?</t>
  </si>
  <si>
    <t>nee</t>
  </si>
  <si>
    <t>Indien er voor sommige prestaties wél en voor andere niet een tarief inclusief kapitaalslasten is afgesproken kunt u dat hieronder corrigeren.</t>
  </si>
  <si>
    <t>Prestaties gekoppeld aan de functie Huishoudelijke verzorging</t>
  </si>
  <si>
    <t>afspraak</t>
  </si>
  <si>
    <t>Prestaties gekoppeld aan de functie Persoonlijke verzorging</t>
  </si>
  <si>
    <t>Prestaties gekoppeld aan de functie Verpleging</t>
  </si>
  <si>
    <t>H104</t>
  </si>
  <si>
    <t>H128</t>
  </si>
  <si>
    <t>H106</t>
  </si>
  <si>
    <t>Prestaties gekoppeld aan de functie Ondersteunende begeleiding</t>
  </si>
  <si>
    <t>H121</t>
  </si>
  <si>
    <t>Prestaties gekoppeld aan de functie Activerende begeleiding</t>
  </si>
  <si>
    <t>H130</t>
  </si>
  <si>
    <t>Prestaties gekoppeld aan de functie Behandeling</t>
  </si>
  <si>
    <t>index loonkosten</t>
  </si>
  <si>
    <t>index materiele kosten</t>
  </si>
  <si>
    <t>Prestaties gekoppeld aan de functie Ondersteunende en/of Activerende begeleiding</t>
  </si>
  <si>
    <t>H113</t>
  </si>
  <si>
    <t>H172</t>
  </si>
  <si>
    <t>H173</t>
  </si>
  <si>
    <t>Registratienummer CTG/Zaio</t>
  </si>
  <si>
    <t>Onderbouwing bewonersverdeling pagina 8:</t>
  </si>
  <si>
    <t>Controletelling specificatie bewonersverdeling (moet 0 zijn)</t>
  </si>
  <si>
    <t>In rekenstaat opgenomen plaatsen deconcentratie</t>
  </si>
  <si>
    <t>H518</t>
  </si>
  <si>
    <t>H519</t>
  </si>
  <si>
    <t>H520</t>
  </si>
  <si>
    <t>H521</t>
  </si>
  <si>
    <t>H523</t>
  </si>
  <si>
    <t>F125</t>
  </si>
  <si>
    <t>H109</t>
  </si>
  <si>
    <t>H701</t>
  </si>
  <si>
    <t>H702</t>
  </si>
  <si>
    <t>H703</t>
  </si>
  <si>
    <t>H110</t>
  </si>
  <si>
    <t>H151</t>
  </si>
  <si>
    <t>Face-to-face-contacten volwassenen (F101 t/m F110 en F221)</t>
  </si>
  <si>
    <t>F221</t>
  </si>
  <si>
    <t>Telefonische behand./begel. contact</t>
  </si>
  <si>
    <t>Crisiscontacten binnen kantooruren</t>
  </si>
  <si>
    <t>Crisiscontacten buiten kantooruren</t>
  </si>
  <si>
    <t>Face-to-face-contacten ouderen (F131 t/m F140 en F222)</t>
  </si>
  <si>
    <t>F222</t>
  </si>
  <si>
    <t>Face-to-face-contacten verslaafden (F141 t/m F150 en F223)</t>
  </si>
  <si>
    <t>Face-to-face-contacten kinderen/jeugdigen (F151 t/m F160 en F224)</t>
  </si>
  <si>
    <t>F151</t>
  </si>
  <si>
    <t>F152</t>
  </si>
  <si>
    <t>F153</t>
  </si>
  <si>
    <t>F154</t>
  </si>
  <si>
    <t>F155</t>
  </si>
  <si>
    <t>F156</t>
  </si>
  <si>
    <t>F224</t>
  </si>
  <si>
    <t>F157</t>
  </si>
  <si>
    <t>F158</t>
  </si>
  <si>
    <t>F159</t>
  </si>
  <si>
    <t>F160</t>
  </si>
  <si>
    <t>Face-to-face-contacten forensische psychiatrie (F201 t/m F208 en F225)</t>
  </si>
  <si>
    <t>F201</t>
  </si>
  <si>
    <t>F202</t>
  </si>
  <si>
    <t>F204</t>
  </si>
  <si>
    <t>F205</t>
  </si>
  <si>
    <t xml:space="preserve">F206 </t>
  </si>
  <si>
    <t>F225</t>
  </si>
  <si>
    <t>F207</t>
  </si>
  <si>
    <t>F208</t>
  </si>
  <si>
    <t>H114</t>
  </si>
  <si>
    <t>VP</t>
  </si>
  <si>
    <t>Verpleging: AIV</t>
  </si>
  <si>
    <t>H140</t>
  </si>
  <si>
    <t>HV 1</t>
  </si>
  <si>
    <t>HV 2</t>
  </si>
  <si>
    <t>PV</t>
  </si>
  <si>
    <t>OB</t>
  </si>
  <si>
    <t>OB-B</t>
  </si>
  <si>
    <t>AB</t>
  </si>
  <si>
    <t>VP-B</t>
  </si>
  <si>
    <t>VP-C</t>
  </si>
  <si>
    <t>PV-B</t>
  </si>
  <si>
    <t>H324</t>
  </si>
  <si>
    <t>H325</t>
  </si>
  <si>
    <t>H326</t>
  </si>
  <si>
    <t>Behandeling basis zg</t>
  </si>
  <si>
    <t>Behandeling basis jlvg</t>
  </si>
  <si>
    <t>Behandeling basis sglvg-traject</t>
  </si>
  <si>
    <t>Behandeling basis sgvlg deeltijd</t>
  </si>
  <si>
    <t>BH</t>
  </si>
  <si>
    <t>H327</t>
  </si>
  <si>
    <t>H525</t>
  </si>
  <si>
    <t>DAG</t>
  </si>
  <si>
    <t>DAG-C (som)</t>
  </si>
  <si>
    <r>
      <t xml:space="preserve">jaarbasis 2006 </t>
    </r>
    <r>
      <rPr>
        <vertAlign val="superscript"/>
        <sz val="10"/>
        <rFont val="Arial"/>
        <family val="2"/>
      </rPr>
      <t>1)</t>
    </r>
  </si>
  <si>
    <r>
      <t xml:space="preserve">1) </t>
    </r>
    <r>
      <rPr>
        <sz val="10"/>
        <rFont val="Arial"/>
        <family val="2"/>
      </rPr>
      <t>Indien er sprake is van vergoedingen inzake bestendig beleid zullen deze gecorrigeerd worden in de rekenstaat. Zie hiervoor de bijlage.</t>
    </r>
  </si>
  <si>
    <t>DAG-C (pg)</t>
  </si>
  <si>
    <t>DAG-C (lg)</t>
  </si>
  <si>
    <t>DAG-C (vg)</t>
  </si>
  <si>
    <t>DAG-C (vg extra)</t>
  </si>
  <si>
    <t>DAG-C (vg kind mcg)</t>
  </si>
  <si>
    <t>DAG-C (zg)</t>
  </si>
  <si>
    <t>H116</t>
  </si>
  <si>
    <t>Prestaties Preventie: Advies, instructie en voorlichting en Voedingsvoorlichting</t>
  </si>
  <si>
    <t>H115</t>
  </si>
  <si>
    <t>Advies, instructie en voorlichting (preventie)</t>
  </si>
  <si>
    <t>Volume</t>
  </si>
  <si>
    <t>rekenstaat</t>
  </si>
  <si>
    <t>t.o.v.</t>
  </si>
  <si>
    <t>Voedingsvoorlichting</t>
  </si>
  <si>
    <t>Productie</t>
  </si>
  <si>
    <t>H620</t>
  </si>
  <si>
    <t>H621</t>
  </si>
  <si>
    <t>H622</t>
  </si>
  <si>
    <t>H624</t>
  </si>
  <si>
    <t>H625</t>
  </si>
  <si>
    <t>F126</t>
  </si>
  <si>
    <t>9 - 10</t>
  </si>
  <si>
    <t>6 - 8</t>
  </si>
  <si>
    <t>H607</t>
  </si>
  <si>
    <t>Vervoer dagactiviteiten VG (H519)</t>
  </si>
  <si>
    <t>Vervoer dagactiviteiten VG extra (H520)</t>
  </si>
  <si>
    <t>Vervoer dagactiviteit VG kind basis (H521)</t>
  </si>
  <si>
    <t>Vervoer dagactiviteit LG (H518)</t>
  </si>
  <si>
    <t>Vervoer dagactiviteit ouderen (H113, 172, 173)</t>
  </si>
  <si>
    <t>Vervoer bij F125 en F451 t/m F491</t>
  </si>
  <si>
    <r>
      <t xml:space="preserve">Vervoer zintuiglijk gehandic. (H130 en H523) </t>
    </r>
    <r>
      <rPr>
        <vertAlign val="superscript"/>
        <sz val="9"/>
        <rFont val="Arial"/>
        <family val="2"/>
      </rPr>
      <t>1)</t>
    </r>
  </si>
  <si>
    <t>n.v.t</t>
  </si>
  <si>
    <t>EXTRAMURALE VERVOERSKOSTEN</t>
  </si>
  <si>
    <t>H321</t>
  </si>
  <si>
    <t>Reiskosten prestatie behandeling (H322-327)</t>
  </si>
  <si>
    <t>en prijsafspraak mag maken. Functies volgens artikelen 3 tot en met 8, 11 en 16 van het Besluit Zorgaanspraken.</t>
  </si>
  <si>
    <t>VOV-Personeel groepsleiding (inclusief hoofd groepsleiding)</t>
  </si>
  <si>
    <t>Paramedisch en medisch hulppersoneel</t>
  </si>
  <si>
    <t>Medische en sociaal wetenschappelijke staf</t>
  </si>
  <si>
    <t/>
  </si>
  <si>
    <t>Bewonersverdeling dagen</t>
  </si>
  <si>
    <t>Inhoud</t>
  </si>
  <si>
    <t>Toegelaten functies</t>
  </si>
  <si>
    <t>Productieafspraken verblijf met behandeling</t>
  </si>
  <si>
    <t>Productieafspraken verblijf zonder behandeling</t>
  </si>
  <si>
    <t>Productieafspraken extramurale zorg</t>
  </si>
  <si>
    <t>Productieafspraken zintuiglijk gehandicapten</t>
  </si>
  <si>
    <t>Afspraken m.b.t. toeslag extreme zorgbehoefte</t>
  </si>
  <si>
    <t>Afspraken m.b.t. hardheidsclausule en zorg-op-maat</t>
  </si>
  <si>
    <t>Afspraken m.b.t. deconcentratie</t>
  </si>
  <si>
    <t>Afspraken m.b.t. plaatselijk overleg</t>
  </si>
  <si>
    <t>Berekeningpagina's (bedoeld voor CTG/ZAio medewerkers)</t>
  </si>
  <si>
    <t>doorrekening</t>
  </si>
  <si>
    <t>functies</t>
  </si>
  <si>
    <t>Eenheid per</t>
  </si>
  <si>
    <t>uur</t>
  </si>
  <si>
    <t>cliënt/dagdeel</t>
  </si>
  <si>
    <t>uitlening</t>
  </si>
  <si>
    <t>matras/week</t>
  </si>
  <si>
    <t>transport</t>
  </si>
  <si>
    <t>mw/uur</t>
  </si>
  <si>
    <t>contact</t>
  </si>
  <si>
    <t>contract</t>
  </si>
  <si>
    <t>cliënt/contact</t>
  </si>
  <si>
    <t>aanwezigheidsdag</t>
  </si>
  <si>
    <r>
      <t>1)</t>
    </r>
    <r>
      <rPr>
        <sz val="8"/>
        <rFont val="Arial"/>
        <family val="2"/>
      </rPr>
      <t xml:space="preserve"> voorzover het betreft dagbehandeling per dagdeel</t>
    </r>
  </si>
  <si>
    <t>Apeldoorn, Zutphen e.o.</t>
  </si>
  <si>
    <t>Noord-Holland Noord</t>
  </si>
  <si>
    <t>Zuid-Holland Noord</t>
  </si>
  <si>
    <t>Haaglanden</t>
  </si>
  <si>
    <t>Delft Westland Oostland</t>
  </si>
  <si>
    <t>Midden-Holland</t>
  </si>
  <si>
    <t>Rotterdam</t>
  </si>
  <si>
    <t>Nieuwe Waterweg-Noord</t>
  </si>
  <si>
    <t>Waardenland</t>
  </si>
  <si>
    <t>West-Brabant</t>
  </si>
  <si>
    <t>Midden-Brabant</t>
  </si>
  <si>
    <t>Noordoost-Brabant</t>
  </si>
  <si>
    <t>Zuidoost-Brabant</t>
  </si>
  <si>
    <t>Zuid-Hollandse Eilanden</t>
  </si>
  <si>
    <t>'t Gooi</t>
  </si>
  <si>
    <t>Specificatie aantal nieuwe (= nog niet eerder opgegeven) of vervallen gedeconcentreerde plaatsen (op volgorde van datum van realisatie)</t>
  </si>
  <si>
    <t>beleidsregel</t>
  </si>
  <si>
    <t>U kunt alleen wijzigingen op grond van een CTG/ZAio beleidsregel opgeven. Alle ingevulde regels dienen toegelicht te worden in een bijlage.</t>
  </si>
  <si>
    <t>Plaatsen visueel excl. Dep. eigendom</t>
  </si>
  <si>
    <t>Plaatsen visueel dependance eigendom</t>
  </si>
  <si>
    <t>Plaatsen visueel excl. Dep. Huur</t>
  </si>
  <si>
    <t>Plaatsen visueel dependance huur</t>
  </si>
  <si>
    <t>Plaatsen auditief excl. Dep. Eigendom</t>
  </si>
  <si>
    <t>Plaatsen auditief dependance eigendom</t>
  </si>
  <si>
    <t>Plaatsen auditief excl. Dep. Huur</t>
  </si>
  <si>
    <t>Plaatsen auditief dependance huur</t>
  </si>
  <si>
    <t>Directie en administratie:</t>
  </si>
  <si>
    <t>(t.b.v. achtervangf. Beslot.Opv.)</t>
  </si>
  <si>
    <t>Plaatsen visueel dep</t>
  </si>
  <si>
    <t>Plaatsen visueel excl. Dep</t>
  </si>
  <si>
    <t>Plaatsen auditief dep</t>
  </si>
  <si>
    <t>Plaatsen auditief excl. Dep</t>
  </si>
  <si>
    <t>mutatie</t>
  </si>
  <si>
    <t>Realisatie (dd/mm/jj)</t>
  </si>
  <si>
    <t>Thuiszitters</t>
  </si>
  <si>
    <t>Eigendom Visueel dep</t>
  </si>
  <si>
    <t>Eigendom visueel excl. Dep</t>
  </si>
  <si>
    <t>Huur visueel dep.</t>
  </si>
  <si>
    <t>Huur visueel excl. Dep</t>
  </si>
  <si>
    <t>Eigendom auditief dep</t>
  </si>
  <si>
    <t>Eigendom auditief excl. Dep</t>
  </si>
  <si>
    <t>Huur auditief dep</t>
  </si>
  <si>
    <t>Huur auditief excl. Dep</t>
  </si>
  <si>
    <t>Loonkosten zg excl.dep</t>
  </si>
  <si>
    <t>Loonkosten zg dep</t>
  </si>
  <si>
    <t>deels</t>
  </si>
  <si>
    <t>Werkblad</t>
  </si>
  <si>
    <t>verblijf met behandeling</t>
  </si>
  <si>
    <t>verblijf zonder behandeling</t>
  </si>
  <si>
    <t>extramurale zorg</t>
  </si>
  <si>
    <t>extreme zorgbehoefte</t>
  </si>
  <si>
    <t>hardheidsclausule en z-o-m</t>
  </si>
  <si>
    <t>deconcentratie</t>
  </si>
  <si>
    <t>plaatselijk overleg</t>
  </si>
  <si>
    <t>recapitulatie</t>
  </si>
  <si>
    <t>Pagina</t>
  </si>
  <si>
    <t>Totaal VG plaatsen</t>
  </si>
  <si>
    <t>Totaal JLVG plaatsen</t>
  </si>
  <si>
    <t>Totaal LG plaatsen</t>
  </si>
  <si>
    <t>Te financieren</t>
  </si>
  <si>
    <t>bedrag</t>
  </si>
  <si>
    <t>Opleidingsplaatsen AVG</t>
  </si>
  <si>
    <t xml:space="preserve">waarvan MFC dagen </t>
  </si>
  <si>
    <t>waarvan verpleegdagen besloten opvang</t>
  </si>
  <si>
    <t>waarvan verpleegdgn besl.opvang</t>
  </si>
  <si>
    <t>Recapitulatie</t>
  </si>
  <si>
    <t>Graad van verzorg. behoefte (0,50-0,90)</t>
  </si>
  <si>
    <t>VG-volwassenen</t>
  </si>
  <si>
    <t>Eigendom</t>
  </si>
  <si>
    <t>Huur</t>
  </si>
  <si>
    <t>excl.depend</t>
  </si>
  <si>
    <t>Loonkosten p. plaats (ook hoofdvest)</t>
  </si>
  <si>
    <t>dependance</t>
  </si>
  <si>
    <t>Loonkosten p. plaats dependance</t>
  </si>
  <si>
    <t>Eigendom/plaats</t>
  </si>
  <si>
    <t>Huur/plaats</t>
  </si>
  <si>
    <t>Toslag 50+ dagen</t>
  </si>
  <si>
    <t>Toeslag fulltime thuiszitter</t>
  </si>
  <si>
    <t>Controleprotocol</t>
  </si>
  <si>
    <t>loonkosten</t>
  </si>
  <si>
    <t>50+ dagen</t>
  </si>
  <si>
    <t>Dependance</t>
  </si>
  <si>
    <t>Mat.kosten</t>
  </si>
  <si>
    <t>LG-Volwassenen:</t>
  </si>
  <si>
    <t>Loonkosten per plaats</t>
  </si>
  <si>
    <t>beademd.&lt; 20 uur/etmaal</t>
  </si>
  <si>
    <t>beademd.20-24 uur/etmaal</t>
  </si>
  <si>
    <t>Graad v. verzorgingsbehoefte</t>
  </si>
  <si>
    <t xml:space="preserve">loonkosten </t>
  </si>
  <si>
    <t>ZG (Visueel en Auditief)</t>
  </si>
  <si>
    <t>MG</t>
  </si>
  <si>
    <t>loonlkosten per plaats</t>
  </si>
  <si>
    <t>Bezettingdagen</t>
  </si>
  <si>
    <t>Materiele kosten eigendom</t>
  </si>
  <si>
    <t>Toeslag 50+ dagen</t>
  </si>
  <si>
    <t>AWBZ-instelling</t>
  </si>
  <si>
    <t>Toelichting bij elektronisch formulier:</t>
  </si>
  <si>
    <t>U kunt hieronder aangeven of de arcering van de invulvelden aan of uit moet staan.</t>
  </si>
  <si>
    <t>cat.</t>
  </si>
  <si>
    <t>nr.</t>
  </si>
  <si>
    <t>Aanvraag</t>
  </si>
  <si>
    <t>Datum</t>
  </si>
  <si>
    <t>Medewerker</t>
  </si>
  <si>
    <t>Versie</t>
  </si>
  <si>
    <t xml:space="preserve">keer stellen van dezelfde vragen aan instellingen. Genoemde partijen zijn in dat kader overeengekomen de door de instellingen aangeleverde gegevens uit te wisselen. Daarbij is </t>
  </si>
  <si>
    <t xml:space="preserve">bepaald dat deze gegevens bij publicatie niet herleidbaar zijn op het niveau van de individuele instelling en dat de uitgewisselde gegevens niet verder aan andere personen of  </t>
  </si>
  <si>
    <t>organisaties zullen worden doorgeleverd.</t>
  </si>
  <si>
    <t xml:space="preserve">Midden-IJssel </t>
  </si>
  <si>
    <t>Akkoord met doorlevering van gegevens aan CBS/Prismant/SCP</t>
  </si>
  <si>
    <t xml:space="preserve">Instelling </t>
  </si>
  <si>
    <t>Zorgkantoor</t>
  </si>
  <si>
    <t>Contactpersoon</t>
  </si>
  <si>
    <t>Zaanstreek/Waterland</t>
  </si>
  <si>
    <t>Telefoon</t>
  </si>
  <si>
    <t>Fax</t>
  </si>
  <si>
    <t>Amstelland en Meerlanden</t>
  </si>
  <si>
    <t>E-mail</t>
  </si>
  <si>
    <t>Ondertekening namens het orgaan voor de gezondheidszorg:</t>
  </si>
  <si>
    <t>Ondertekening namens het zorgkantoor:</t>
  </si>
  <si>
    <t>(handtekening)</t>
  </si>
  <si>
    <t>(datum)</t>
  </si>
  <si>
    <t>(naam)</t>
  </si>
  <si>
    <t>wordt aangevraagd</t>
  </si>
  <si>
    <t>een toeslag kan worden verzocht. Het zorgkantoor kan deze alleen goedkeuren indien de totale zorgbehoefte €90.000 overstijgt, er een financieel en inhoudelijk</t>
  </si>
  <si>
    <t>(drempelbedrag)</t>
  </si>
  <si>
    <t>reguliere wijze</t>
  </si>
  <si>
    <t>onderbouwd individueel zorgplan is ingediend en het CCE een positief advies heeft gegeven. Als nieuwe cliënten worden ook bestaande cliënten beschouwd die</t>
  </si>
  <si>
    <t>geconfronteerd worden met een zodanige toename van de zorgzwaarte dat er hierdoor voor de betreffende cliënt feitelijk een nieuwe situatie is ontstaan</t>
  </si>
  <si>
    <t>Materiele kosten huur</t>
  </si>
  <si>
    <t>VG-Kinderen</t>
  </si>
  <si>
    <t>KVGT Eigendom</t>
  </si>
  <si>
    <t>KVGT Huur</t>
  </si>
  <si>
    <t>LG-Kinderen</t>
  </si>
  <si>
    <t>Toeslag beademd&lt;20 uur</t>
  </si>
  <si>
    <t>Loonkosten per plaats (cap&gt;100 kind)</t>
  </si>
  <si>
    <t>Toeslag beademd 20-24 u</t>
  </si>
  <si>
    <t>Loonkosten per plaats (cap&lt;100 kind)</t>
  </si>
  <si>
    <t>Eigendom/plaats cap&gt;100</t>
  </si>
  <si>
    <t>Huur/plaats cap&gt;100</t>
  </si>
  <si>
    <t>Eigendom/plaats cap &lt;100</t>
  </si>
  <si>
    <t>Huur/plaats cap&lt;100</t>
  </si>
  <si>
    <t>Visueel</t>
  </si>
  <si>
    <t>Overig personeelscateg/instelling</t>
  </si>
  <si>
    <t>Directie en administratie/dag</t>
  </si>
  <si>
    <t>Civiele dienst/dag</t>
  </si>
  <si>
    <t>Overig personeelscat./dag</t>
  </si>
  <si>
    <t>Civiele Dienst per bezette plaats</t>
  </si>
  <si>
    <t>Mat.kosten/dag</t>
  </si>
  <si>
    <t>Groepsleiding Blinden:</t>
  </si>
  <si>
    <t>normaal blind/dag</t>
  </si>
  <si>
    <t>normaal blind/plaats</t>
  </si>
  <si>
    <t>meervoudig gehan./dag</t>
  </si>
  <si>
    <t>meervoudig gehand./plaats</t>
  </si>
  <si>
    <t>jeugdigen/dag</t>
  </si>
  <si>
    <t>jeugdigen/plaats</t>
  </si>
  <si>
    <t>Groepsleid.slechtzienden</t>
  </si>
  <si>
    <t>Normaal slechtz./dag</t>
  </si>
  <si>
    <t>Normaal slechtz./plaats</t>
  </si>
  <si>
    <t>Meerv.gehandicapten/dag</t>
  </si>
  <si>
    <t>Meerv.gehandicapten/plaats</t>
  </si>
  <si>
    <t>Param.Personeel en M.Hulppers:</t>
  </si>
  <si>
    <t>&gt;10 jr.normaal begaafd/dag</t>
  </si>
  <si>
    <t>&gt;10 jr.normaal begaafd/plaats</t>
  </si>
  <si>
    <t>&lt; 10 jr.normaal begaafd/dag</t>
  </si>
  <si>
    <t>&lt; 10 jr.normaal begaafd/plaats</t>
  </si>
  <si>
    <t>OB-C (nah)</t>
  </si>
  <si>
    <t>OB-C (zg)</t>
  </si>
  <si>
    <t>AB-C (j(l)vg)</t>
  </si>
  <si>
    <t>AB-C (zg)</t>
  </si>
  <si>
    <t>DAG-C (jlvg)</t>
  </si>
  <si>
    <t>Dagactiviteit JLVG</t>
  </si>
  <si>
    <t>DAG-C (vg kind emg)</t>
  </si>
  <si>
    <t>DAG-C (vg kind gedrag)</t>
  </si>
  <si>
    <t>thuiszitter</t>
  </si>
  <si>
    <t xml:space="preserve">Productieafspraak 2006 gespecificeerd naar leeftijd, niveau en groepsgrootte </t>
  </si>
  <si>
    <t>Productieafspraken 2006 extramurale zorg</t>
  </si>
  <si>
    <t>jaarbasis 2006</t>
  </si>
  <si>
    <t>Med. En Sociaal Wetensch.staf</t>
  </si>
  <si>
    <t>Toeslag werkdrukm meerv.geh/dag</t>
  </si>
  <si>
    <t>Mat.kosten per bezet bed</t>
  </si>
  <si>
    <t>Verrpleegdagen:</t>
  </si>
  <si>
    <t>Overigpersoneelscat./plaats</t>
  </si>
  <si>
    <t>Administratie/plaats</t>
  </si>
  <si>
    <t>Administratie/dag</t>
  </si>
  <si>
    <t>Civiele diens/plaats</t>
  </si>
  <si>
    <t>Civiele diens/dag</t>
  </si>
  <si>
    <t>Onderhoud/plaats</t>
  </si>
  <si>
    <t>Materiele kosten/dag</t>
  </si>
  <si>
    <t xml:space="preserve">Huidige </t>
  </si>
  <si>
    <t>vergoeding</t>
  </si>
  <si>
    <t>zorg-op-maat</t>
  </si>
  <si>
    <t>Huidige</t>
  </si>
  <si>
    <t>hardheidscl.</t>
  </si>
  <si>
    <t>Om de toeslag te bepalen is de totale zorgbehoefte en het zogenaamde drempelbedrag van belang. Bij dat laatste bedrag worden huidige vergoedingen vanuit</t>
  </si>
  <si>
    <t>de zorg-op-maat en de hardheidsclausule niet meegenomen. Het verschil tussen de totale zorgbehoefte en het drempelbedrag wordt vergoed.</t>
  </si>
  <si>
    <t>instellingen voor doven</t>
  </si>
  <si>
    <t>&lt; 7jr.normaal begaafd/dag</t>
  </si>
  <si>
    <t>&gt; 7 jr. normaal begaafd/dag</t>
  </si>
  <si>
    <t>meerv. Gehandic./dag</t>
  </si>
  <si>
    <t>instellingen voor slechthorenden</t>
  </si>
  <si>
    <t>Per bezette plaats</t>
  </si>
  <si>
    <t>Bezettingsdagen visueel</t>
  </si>
  <si>
    <t>Bezettingsdagen auditief</t>
  </si>
  <si>
    <t>Dagen gedragsgestoorden</t>
  </si>
  <si>
    <t>Verpleegdagen t.b.v. achtervang</t>
  </si>
  <si>
    <t>Overige JLVG-dagen</t>
  </si>
  <si>
    <t>Onderbouwing bewonersverdeling:</t>
  </si>
  <si>
    <t>Overige JLVG plaatsen</t>
  </si>
  <si>
    <t>Instellingen voor JLVG</t>
  </si>
  <si>
    <t>waarvan MFC</t>
  </si>
  <si>
    <t>waarvan achterv.besloten</t>
  </si>
  <si>
    <t>Verpleegdgn.Overig</t>
  </si>
  <si>
    <t>Voorlopige indexen 2006</t>
  </si>
  <si>
    <t>VG</t>
  </si>
  <si>
    <t>grenzen per bed</t>
  </si>
  <si>
    <t>VOV personeel A/B</t>
  </si>
  <si>
    <t>Doof/blind A/B</t>
  </si>
  <si>
    <t>Bedden observatie A/B</t>
  </si>
  <si>
    <t>Observ.verpl.dag A/B</t>
  </si>
  <si>
    <t>SGLVG Behandeldagen</t>
  </si>
  <si>
    <t>Loonkosten</t>
  </si>
  <si>
    <t>Capaciteit:</t>
  </si>
  <si>
    <t>Verpleegdagen:</t>
  </si>
  <si>
    <t>Totaal loon- en materiele kosten JLVG:</t>
  </si>
  <si>
    <t>Totaal loon- en materiele kosten VG:</t>
  </si>
  <si>
    <t>Totaal loon- en materiele kosten LG:</t>
  </si>
  <si>
    <t xml:space="preserve">SGLVG verblijf </t>
  </si>
  <si>
    <t>Toeslag.observatieplaats</t>
  </si>
  <si>
    <t>SGLVG-Verblijfplaats</t>
  </si>
  <si>
    <t>SGLVG Behandel</t>
  </si>
  <si>
    <t>Totaal loonkosten</t>
  </si>
  <si>
    <t>Totaal materiele kosten</t>
  </si>
  <si>
    <t>loonkosten:</t>
  </si>
  <si>
    <t>GVT</t>
  </si>
  <si>
    <t>doof mvg</t>
  </si>
  <si>
    <t xml:space="preserve">Mutatie verpleegdagen JLVG </t>
  </si>
  <si>
    <t xml:space="preserve">Mutatie bedden VG </t>
  </si>
  <si>
    <t>Mutatie verpleegdagen VG</t>
  </si>
  <si>
    <t>grenzen per verpleegdag</t>
  </si>
  <si>
    <t>Per dag loonkosten</t>
  </si>
  <si>
    <t>Toeslag beademden 20-24 uur/etmaal</t>
  </si>
  <si>
    <t>Toeslag beademden &lt; 20 uur/etmaal</t>
  </si>
  <si>
    <t xml:space="preserve">loonkosten: </t>
  </si>
  <si>
    <t>Loonkosten visueel</t>
  </si>
  <si>
    <t>Materiele kosten visueel</t>
  </si>
  <si>
    <t>Totaal visueel</t>
  </si>
  <si>
    <t>Materiele kosten auditief/communicatief</t>
  </si>
  <si>
    <t>Loonkosten auditief/communicatief</t>
  </si>
  <si>
    <t>Totaal auditief/communicatief</t>
  </si>
  <si>
    <t>Auditief/communicatief</t>
  </si>
  <si>
    <t>Capaciteit</t>
  </si>
  <si>
    <t xml:space="preserve">In dit formulier kunt u de in 2006 te leveren extramurale prestaties vastleggen.  U kunt maximaal de prijzen uit beleidsregel CA-92 afspreken. U wordt verzocht aan te geven </t>
  </si>
  <si>
    <t>rekenstaat 2006</t>
  </si>
  <si>
    <t>Nieuwe</t>
  </si>
  <si>
    <t>oude</t>
  </si>
  <si>
    <t>productie-</t>
  </si>
  <si>
    <t>Totale productieafspraak in rekenstaat 2006</t>
  </si>
  <si>
    <t xml:space="preserve">Mutatie </t>
  </si>
  <si>
    <t>2006-2-</t>
  </si>
  <si>
    <t>Toelichting op het mutatieformulier regiokader gehandicaptenzorg 2006</t>
  </si>
  <si>
    <t>U dient deze richtlijn uit de rekenstaat (regel 604) over te nemen.</t>
  </si>
  <si>
    <t>nvt</t>
  </si>
  <si>
    <t>eventueel dezelfde hardheidsclausule afspreken. In dit mutatieformulier kunt u enkel een neerwaartse wijziging ten opzichte van de rekenstaat 2006 afspreken.</t>
  </si>
  <si>
    <t>Per 1 januari 2004 is de Beleidsregel zorg-op-maat vervallen. Alleen voor projecten waarvoor in 2005 zorg-op-maat financiering was</t>
  </si>
  <si>
    <t>afgesproken kunt u in 2006 eventueel hetzelfde bedrag afspreken. In dit mutatieformulier kunt u enkel een neerwaartse wijziging ten opzichte van de rekenstaat</t>
  </si>
  <si>
    <t>2006 afspreken.</t>
  </si>
  <si>
    <t>Mutaties op productieafspraken 2006 (exclusief geoormerkt geld)</t>
  </si>
  <si>
    <t>mutatie 2006</t>
  </si>
  <si>
    <t>Mutaties plaatselijk overleg (bestemming te bepalen door CTG/ZAio)</t>
  </si>
  <si>
    <t>Totale mutatie plaatselijk overleg</t>
  </si>
  <si>
    <t>C. Mutatie zorgzwaarte in de gehandicaptenzorg</t>
  </si>
  <si>
    <t>D. Mutatie AIV-preventie en voedingsvoorlichting</t>
  </si>
  <si>
    <t>Dagen Totaal (rekenstaat)</t>
  </si>
  <si>
    <t>Dagen Totaal (nwe cap.)</t>
  </si>
  <si>
    <t>De werkbladen zijn beveiligd. Indien u een onjuistheid ondekt dan verzoeken wij u dit te melden via e-mail (care@CTG-ZAio.nl). De instelling kan het definitief ingevulde formulier, nadat het overleg met het zorgkantoor heeft plaatsgevonden eveneens naar dit e-mailadres opsturen.Het voorblad dient door partijen te worden ondertekend en via de post opgestuurd te worden naar het CTG/ZAio.</t>
  </si>
  <si>
    <t>vermindering i.v.m. extreme zorgbehoefte</t>
  </si>
  <si>
    <t>BEDVG</t>
  </si>
  <si>
    <t>BEDMFC</t>
  </si>
  <si>
    <t>TBS1.3</t>
  </si>
  <si>
    <t>TBS1.5</t>
  </si>
  <si>
    <t>TBS1.6</t>
  </si>
  <si>
    <t>BEDSGL</t>
  </si>
  <si>
    <t>EVSGL</t>
  </si>
  <si>
    <t>BEDPIJ</t>
  </si>
  <si>
    <t>BEDACH</t>
  </si>
  <si>
    <t>BACHBO</t>
  </si>
  <si>
    <t>BEDJLV</t>
  </si>
  <si>
    <t>BEDVRZ</t>
  </si>
  <si>
    <t>ADEM1</t>
  </si>
  <si>
    <t>ADEM2</t>
  </si>
  <si>
    <t>VPLSGL</t>
  </si>
  <si>
    <t>VDSGL</t>
  </si>
  <si>
    <t>VPLPIJ</t>
  </si>
  <si>
    <t>VPLTBS</t>
  </si>
  <si>
    <t>VKV150</t>
  </si>
  <si>
    <t>VPLACH</t>
  </si>
  <si>
    <t>VACHBO</t>
  </si>
  <si>
    <t>VPLGEG</t>
  </si>
  <si>
    <t>VPLOVE</t>
  </si>
  <si>
    <t>VPLMFC</t>
  </si>
  <si>
    <t>VKV151</t>
  </si>
  <si>
    <t>VKV152</t>
  </si>
  <si>
    <t>VPLVRZ</t>
  </si>
  <si>
    <t>P1ME</t>
  </si>
  <si>
    <t>P1MH</t>
  </si>
  <si>
    <t>P1DE</t>
  </si>
  <si>
    <t>P1DH</t>
  </si>
  <si>
    <t>D1M</t>
  </si>
  <si>
    <t>D1D</t>
  </si>
  <si>
    <t>T1FT</t>
  </si>
  <si>
    <t>T150+</t>
  </si>
  <si>
    <t>P4E</t>
  </si>
  <si>
    <t>P4H</t>
  </si>
  <si>
    <t>D4</t>
  </si>
  <si>
    <t>T450+</t>
  </si>
  <si>
    <t>P2E</t>
  </si>
  <si>
    <t>P2H</t>
  </si>
  <si>
    <t>GV2</t>
  </si>
  <si>
    <t>D2</t>
  </si>
  <si>
    <t>T2AD1</t>
  </si>
  <si>
    <t>T2AD2</t>
  </si>
  <si>
    <t>P3VME</t>
  </si>
  <si>
    <t>P3VMH</t>
  </si>
  <si>
    <t>P3VDE</t>
  </si>
  <si>
    <t>P3VDH</t>
  </si>
  <si>
    <t>P3AME</t>
  </si>
  <si>
    <t>P3AMH</t>
  </si>
  <si>
    <t>P3ADE</t>
  </si>
  <si>
    <t>P3ADH</t>
  </si>
  <si>
    <t>D3M</t>
  </si>
  <si>
    <t>D3D</t>
  </si>
  <si>
    <t>T3FT</t>
  </si>
  <si>
    <t>T350+</t>
  </si>
  <si>
    <t>P5E</t>
  </si>
  <si>
    <t>P5H</t>
  </si>
  <si>
    <t>D5</t>
  </si>
  <si>
    <t>P6E</t>
  </si>
  <si>
    <t>P6H</t>
  </si>
  <si>
    <t>D6</t>
  </si>
  <si>
    <t>T6AD1</t>
  </si>
  <si>
    <t>T6AD2</t>
  </si>
  <si>
    <t>BPVISG</t>
  </si>
  <si>
    <t>VPVISG</t>
  </si>
  <si>
    <t>BBBNOR</t>
  </si>
  <si>
    <t>BBBMVG</t>
  </si>
  <si>
    <t>BBBJGD</t>
  </si>
  <si>
    <t>BBSNOR</t>
  </si>
  <si>
    <t>BBSMVG</t>
  </si>
  <si>
    <t>BBN10</t>
  </si>
  <si>
    <t>BBN9</t>
  </si>
  <si>
    <t>BBMVG</t>
  </si>
  <si>
    <t>BPAUDG</t>
  </si>
  <si>
    <t>VPAUDG</t>
  </si>
  <si>
    <t>VPD6</t>
  </si>
  <si>
    <t>VPD7</t>
  </si>
  <si>
    <t>VPDMVG</t>
  </si>
  <si>
    <t>VPSH6</t>
  </si>
  <si>
    <t>VPSH7</t>
  </si>
  <si>
    <t>VPSHMV</t>
  </si>
  <si>
    <t>VPBNOR</t>
  </si>
  <si>
    <t>VPBMVG</t>
  </si>
  <si>
    <t>VPBJGD</t>
  </si>
  <si>
    <t>VPSNOR</t>
  </si>
  <si>
    <t>VPSMVG</t>
  </si>
  <si>
    <t>VP10</t>
  </si>
  <si>
    <t>VP9</t>
  </si>
  <si>
    <t>TEZ</t>
  </si>
  <si>
    <t>LTHHC</t>
  </si>
  <si>
    <t>LDEC</t>
  </si>
  <si>
    <t>BEDOBA/B</t>
  </si>
  <si>
    <t>VPLDOA/B</t>
  </si>
  <si>
    <t>VPLOBA/B</t>
  </si>
  <si>
    <t>DEB50/B</t>
  </si>
  <si>
    <t>IMB50/B</t>
  </si>
  <si>
    <t>IDI50/B</t>
  </si>
  <si>
    <t>BDL50/B</t>
  </si>
  <si>
    <t>DEB20/B</t>
  </si>
  <si>
    <t>IMB20/B</t>
  </si>
  <si>
    <t>IDI20/B</t>
  </si>
  <si>
    <t>BDL20/B</t>
  </si>
  <si>
    <t>DEB6/B</t>
  </si>
  <si>
    <t>IMB6/B</t>
  </si>
  <si>
    <t>IDI6/B</t>
  </si>
  <si>
    <t>BDL6/B</t>
  </si>
  <si>
    <t>DEB9/B</t>
  </si>
  <si>
    <t>IMB9/B</t>
  </si>
  <si>
    <t>IDI9/B</t>
  </si>
  <si>
    <t>BDL9/B</t>
  </si>
  <si>
    <t>DEB12/B</t>
  </si>
  <si>
    <t>IMB12/B</t>
  </si>
  <si>
    <t>IDI12/B</t>
  </si>
  <si>
    <t>BDL12/B</t>
  </si>
  <si>
    <t>ZOA</t>
  </si>
  <si>
    <t>Cat. Nr.</t>
  </si>
  <si>
    <t>Naam instelling</t>
  </si>
  <si>
    <t>1e tranche</t>
  </si>
  <si>
    <t>2e tranche</t>
  </si>
  <si>
    <t>Financiële afspraken ten laste van het plan van aanpak MO 2006 *)</t>
  </si>
  <si>
    <t>*) conform bijlage bij brief d.d. 20 april 2006 'Ophoging contracteerruimte i.v.m. plan van aanpak MO'</t>
  </si>
  <si>
    <t>(alleen van toepassing voor de zorgkantoren van Amsterdam, Rotterdam, Den Haag en Utrecht)</t>
  </si>
  <si>
    <t>Financiële afspraken ten laste van de contracteerruimte jeugd-GGZ **)</t>
  </si>
  <si>
    <t>**) de afspraken ten laste van jeugd-GGZ dienen te zijn verwerkt in de reguliere productieafspraken.</t>
  </si>
  <si>
    <t>VPMVGV</t>
  </si>
  <si>
    <r>
      <t xml:space="preserve">Inzenden voor 15 oktober 2006 </t>
    </r>
    <r>
      <rPr>
        <vertAlign val="superscript"/>
        <sz val="18"/>
        <rFont val="Arial"/>
        <family val="2"/>
      </rPr>
      <t>1)</t>
    </r>
  </si>
  <si>
    <t>afspraken m.b.t. plaatsen (jaarbasis)</t>
  </si>
  <si>
    <t>afspraken m.b.t. dagen (jaarbasis)</t>
  </si>
  <si>
    <t>Productieafspraken functie verblijf zonder behandeling (jaarbasis)</t>
  </si>
  <si>
    <t>C. Mutatie afspraak t.l.v. de contracteerruimte zorgzwaarte gehandicaptenzorg</t>
  </si>
  <si>
    <t>E. Mutatie afspraak t.l.v. 1e tranche plan van aanpak MO-gelden</t>
  </si>
  <si>
    <t>F. Mutatie afspraak t.l.v. 2e tranche plan van aanpak MO-gelden</t>
  </si>
  <si>
    <t>G. Mutatie afspraak t.l.v. contracteerruimte jeugd-GGZ</t>
  </si>
  <si>
    <t>H. Mutatie afspraken t.l.v. de contracteerruimte (A t/m G)</t>
  </si>
  <si>
    <t>B. Mutatie afspraak t.l.v. de contracteerruimte zorgzwaarte verpleeghuizen</t>
  </si>
  <si>
    <t>A. Mutatie afspraak t.l.v. de contracteerruimte exclusief geoormerkte gelden (van regel 2315)</t>
  </si>
  <si>
    <t>D. Mutatie afspraak t.l.v. de contracteerruimte Advies, instructie en voorlichting (GHZ) en voedingsvoorlichting</t>
  </si>
  <si>
    <t>Mutatie beslag op contracteerruimte 2006</t>
  </si>
  <si>
    <t>Behoort bij circulaire AWBZ/CARE/0612c</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</si>
</sst>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 \ƒ* #,##0_ \ ;\ \ƒ* ;\ \ƒ* "/>
    <numFmt numFmtId="165" formatCode="&quot;F&quot;\ #,##0_-;&quot;F&quot;\ #,##0\-"/>
    <numFmt numFmtId="166" formatCode="#,##0.00_-"/>
    <numFmt numFmtId="167" formatCode="#,##0_ ;\(#,##0\);"/>
    <numFmt numFmtId="168" formatCode=";;;"/>
    <numFmt numFmtId="169" formatCode="d/mm/yy;@"/>
    <numFmt numFmtId="170" formatCode="0.0"/>
    <numFmt numFmtId="171" formatCode="#,##0_ \ ;\(#,##0\)_ ;"/>
    <numFmt numFmtId="172" formatCode="dd/mm/yy;@"/>
    <numFmt numFmtId="173" formatCode="#,##0.0000"/>
    <numFmt numFmtId="174" formatCode="0.00000"/>
    <numFmt numFmtId="175" formatCode="#,##0.0"/>
    <numFmt numFmtId="176" formatCode="#,##0.000"/>
    <numFmt numFmtId="177" formatCode="#,##0.00000"/>
    <numFmt numFmtId="178" formatCode="#,##0.000000"/>
    <numFmt numFmtId="179" formatCode="#,##0.0000000"/>
    <numFmt numFmtId="180" formatCode="0.000"/>
    <numFmt numFmtId="181" formatCode="_-* #,##0.0000_-;_-* #,##0.0000\-;_-* &quot;-&quot;????_-;_-@_-"/>
    <numFmt numFmtId="182" formatCode="0.000000"/>
    <numFmt numFmtId="183" formatCode="0.0000"/>
  </numFmts>
  <fonts count="31">
    <font>
      <sz val="10"/>
      <name val="Arial"/>
      <family val="0"/>
    </font>
    <font>
      <sz val="8"/>
      <name val="Helv"/>
      <family val="0"/>
    </font>
    <font>
      <u val="single"/>
      <sz val="10"/>
      <color indexed="20"/>
      <name val="Arial"/>
      <family val="0"/>
    </font>
    <font>
      <u val="single"/>
      <sz val="10"/>
      <color indexed="12"/>
      <name val="Arial"/>
      <family val="0"/>
    </font>
    <font>
      <b/>
      <sz val="14"/>
      <name val="Helv"/>
      <family val="0"/>
    </font>
    <font>
      <sz val="9"/>
      <name val="Helv"/>
      <family val="0"/>
    </font>
    <font>
      <sz val="9"/>
      <name val="Arial"/>
      <family val="2"/>
    </font>
    <font>
      <b/>
      <sz val="9"/>
      <name val="Arial"/>
      <family val="2"/>
    </font>
    <font>
      <sz val="24"/>
      <color indexed="13"/>
      <name val="Helv"/>
      <family val="0"/>
    </font>
    <font>
      <sz val="8"/>
      <name val="Arial"/>
      <family val="2"/>
    </font>
    <font>
      <sz val="9"/>
      <color indexed="9"/>
      <name val="Arial"/>
      <family val="2"/>
    </font>
    <font>
      <sz val="10"/>
      <color indexed="9"/>
      <name val="Arial"/>
      <family val="2"/>
    </font>
    <font>
      <b/>
      <sz val="12"/>
      <name val="Arial"/>
      <family val="2"/>
    </font>
    <font>
      <b/>
      <sz val="10"/>
      <name val="Arial"/>
      <family val="2"/>
    </font>
    <font>
      <b/>
      <sz val="11"/>
      <name val="Arial"/>
      <family val="2"/>
    </font>
    <font>
      <sz val="8"/>
      <name val="Tahoma"/>
      <family val="2"/>
    </font>
    <font>
      <vertAlign val="superscript"/>
      <sz val="10"/>
      <name val="Arial"/>
      <family val="2"/>
    </font>
    <font>
      <vertAlign val="superscript"/>
      <sz val="9"/>
      <name val="Arial"/>
      <family val="2"/>
    </font>
    <font>
      <b/>
      <vertAlign val="superscript"/>
      <sz val="10"/>
      <name val="Arial"/>
      <family val="2"/>
    </font>
    <font>
      <b/>
      <sz val="8"/>
      <name val="Arial"/>
      <family val="2"/>
    </font>
    <font>
      <sz val="12"/>
      <name val="Arial"/>
      <family val="2"/>
    </font>
    <font>
      <sz val="10"/>
      <color indexed="10"/>
      <name val="Arial"/>
      <family val="2"/>
    </font>
    <font>
      <sz val="20"/>
      <name val="Arial"/>
      <family val="2"/>
    </font>
    <font>
      <sz val="18"/>
      <name val="Arial"/>
      <family val="2"/>
    </font>
    <font>
      <b/>
      <sz val="10"/>
      <color indexed="10"/>
      <name val="Arial"/>
      <family val="2"/>
    </font>
    <font>
      <b/>
      <i/>
      <sz val="10"/>
      <name val="Arial"/>
      <family val="2"/>
    </font>
    <font>
      <b/>
      <sz val="10"/>
      <color indexed="9"/>
      <name val="Arial"/>
      <family val="2"/>
    </font>
    <font>
      <vertAlign val="superscript"/>
      <sz val="8"/>
      <name val="Arial"/>
      <family val="2"/>
    </font>
    <font>
      <b/>
      <u val="single"/>
      <sz val="10"/>
      <name val="Arial"/>
      <family val="2"/>
    </font>
    <font>
      <sz val="8"/>
      <color indexed="10"/>
      <name val="Arial"/>
      <family val="2"/>
    </font>
    <font>
      <vertAlign val="superscript"/>
      <sz val="18"/>
      <name val="Arial"/>
      <family val="2"/>
    </font>
  </fonts>
  <fills count="8">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s>
  <borders count="119">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color indexed="8"/>
      </right>
      <top style="double">
        <color indexed="8"/>
      </top>
      <bottom style="thin">
        <color indexed="8"/>
      </bottom>
    </border>
    <border>
      <left>
        <color indexed="63"/>
      </left>
      <right>
        <color indexed="63"/>
      </right>
      <top style="thin"/>
      <bottom style="thin"/>
    </border>
    <border>
      <left>
        <color indexed="63"/>
      </left>
      <right>
        <color indexed="63"/>
      </right>
      <top style="hair"/>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hair"/>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color indexed="63"/>
      </left>
      <right style="thin"/>
      <top>
        <color indexed="63"/>
      </top>
      <bottom>
        <color indexed="63"/>
      </bottom>
    </border>
    <border>
      <left style="hair"/>
      <right style="hair"/>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thin"/>
      <bottom style="thin"/>
    </border>
    <border>
      <left style="hair"/>
      <right style="hair"/>
      <top style="thin"/>
      <bottom style="hair"/>
    </border>
    <border>
      <left style="hair"/>
      <right style="hair"/>
      <top style="hair"/>
      <bottom style="hair"/>
    </border>
    <border>
      <left style="hair"/>
      <right style="hair"/>
      <top style="hair"/>
      <bottom style="thin"/>
    </border>
    <border>
      <left style="hair"/>
      <right style="thin"/>
      <top style="thin"/>
      <bottom style="hair"/>
    </border>
    <border>
      <left style="hair"/>
      <right style="thin"/>
      <top style="hair"/>
      <bottom style="hair"/>
    </border>
    <border>
      <left style="thin"/>
      <right>
        <color indexed="63"/>
      </right>
      <top style="hair"/>
      <bottom style="hair"/>
    </border>
    <border>
      <left style="thin"/>
      <right>
        <color indexed="63"/>
      </right>
      <top style="thin"/>
      <bottom style="hair"/>
    </border>
    <border>
      <left>
        <color indexed="63"/>
      </left>
      <right>
        <color indexed="63"/>
      </right>
      <top style="hair"/>
      <bottom style="hair"/>
    </border>
    <border>
      <left style="hair"/>
      <right style="thin"/>
      <top style="hair"/>
      <bottom style="thin"/>
    </border>
    <border>
      <left style="hair"/>
      <right style="hair"/>
      <top style="thin"/>
      <bottom style="thin"/>
    </border>
    <border>
      <left style="hair"/>
      <right style="thin"/>
      <top style="thin"/>
      <bottom style="thin"/>
    </border>
    <border>
      <left>
        <color indexed="63"/>
      </left>
      <right style="hair"/>
      <top style="thin"/>
      <bottom style="thin"/>
    </border>
    <border>
      <left>
        <color indexed="63"/>
      </left>
      <right style="thin"/>
      <top style="hair"/>
      <bottom style="hair"/>
    </border>
    <border>
      <left>
        <color indexed="63"/>
      </left>
      <right style="hair"/>
      <top style="hair"/>
      <bottom style="hair"/>
    </border>
    <border>
      <left style="medium"/>
      <right>
        <color indexed="63"/>
      </right>
      <top>
        <color indexed="63"/>
      </top>
      <bottom style="medium"/>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style="thin"/>
      <top style="hair"/>
      <bottom>
        <color indexed="63"/>
      </bottom>
    </border>
    <border>
      <left>
        <color indexed="63"/>
      </left>
      <right style="thin"/>
      <top style="hair"/>
      <bottom style="thin"/>
    </border>
    <border>
      <left>
        <color indexed="63"/>
      </left>
      <right style="hair"/>
      <top>
        <color indexed="63"/>
      </top>
      <bottom>
        <color indexed="63"/>
      </bottom>
    </border>
    <border>
      <left style="medium"/>
      <right style="hair"/>
      <top style="thin"/>
      <bottom style="hair"/>
    </border>
    <border>
      <left style="medium"/>
      <right style="hair"/>
      <top style="hair"/>
      <bottom style="hair"/>
    </border>
    <border>
      <left style="medium"/>
      <right style="hair"/>
      <top style="hair"/>
      <bottom style="thin"/>
    </border>
    <border>
      <left style="medium"/>
      <right>
        <color indexed="63"/>
      </right>
      <top style="hair"/>
      <bottom style="hair"/>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hair"/>
      <bottom style="medium"/>
    </border>
    <border>
      <left style="hair"/>
      <right style="medium"/>
      <top style="hair"/>
      <bottom style="hair"/>
    </border>
    <border>
      <left style="hair"/>
      <right style="medium"/>
      <top style="hair"/>
      <bottom style="thin"/>
    </border>
    <border>
      <left style="thin"/>
      <right>
        <color indexed="63"/>
      </right>
      <top style="hair"/>
      <bottom style="thin"/>
    </border>
    <border>
      <left>
        <color indexed="63"/>
      </left>
      <right style="hair"/>
      <top style="thin"/>
      <bottom style="hair"/>
    </border>
    <border>
      <left>
        <color indexed="63"/>
      </left>
      <right style="hair"/>
      <top style="hair"/>
      <bottom style="thin"/>
    </border>
    <border>
      <left>
        <color indexed="63"/>
      </left>
      <right>
        <color indexed="63"/>
      </right>
      <top style="hair"/>
      <bottom style="thin"/>
    </border>
    <border>
      <left style="hair"/>
      <right>
        <color indexed="63"/>
      </right>
      <top style="hair"/>
      <bottom style="hair"/>
    </border>
    <border>
      <left>
        <color indexed="63"/>
      </left>
      <right style="hair"/>
      <top>
        <color indexed="63"/>
      </top>
      <bottom style="hair"/>
    </border>
    <border>
      <left style="hair"/>
      <right style="hair"/>
      <top>
        <color indexed="63"/>
      </top>
      <bottom style="hair"/>
    </border>
    <border>
      <left style="hair"/>
      <right style="medium"/>
      <top>
        <color indexed="63"/>
      </top>
      <bottom style="hair"/>
    </border>
    <border>
      <left style="medium"/>
      <right>
        <color indexed="63"/>
      </right>
      <top style="thin"/>
      <bottom style="hair"/>
    </border>
    <border>
      <left>
        <color indexed="63"/>
      </left>
      <right style="medium"/>
      <top style="hair"/>
      <bottom style="hair"/>
    </border>
    <border>
      <left style="medium"/>
      <right>
        <color indexed="63"/>
      </right>
      <top style="hair"/>
      <bottom style="thin"/>
    </border>
    <border>
      <left>
        <color indexed="63"/>
      </left>
      <right style="medium"/>
      <top style="thin"/>
      <bottom style="thin"/>
    </border>
    <border>
      <left style="hair"/>
      <right style="medium"/>
      <top style="thin"/>
      <bottom style="thin"/>
    </border>
    <border>
      <left style="thin"/>
      <right>
        <color indexed="63"/>
      </right>
      <top>
        <color indexed="63"/>
      </top>
      <bottom style="hair"/>
    </border>
    <border>
      <left>
        <color indexed="63"/>
      </left>
      <right>
        <color indexed="63"/>
      </right>
      <top>
        <color indexed="63"/>
      </top>
      <bottom style="hair"/>
    </border>
    <border>
      <left style="hair"/>
      <right style="hair"/>
      <top style="hair"/>
      <bottom>
        <color indexed="63"/>
      </bottom>
    </border>
    <border>
      <left style="hair"/>
      <right style="thin"/>
      <top style="hair"/>
      <bottom>
        <color indexed="63"/>
      </bottom>
    </border>
    <border>
      <left style="hair"/>
      <right style="medium"/>
      <top style="thin"/>
      <bottom style="hair"/>
    </border>
    <border>
      <left style="medium"/>
      <right style="hair"/>
      <top style="hair"/>
      <bottom>
        <color indexed="63"/>
      </bottom>
    </border>
    <border>
      <left style="hair"/>
      <right style="hair"/>
      <top style="thin"/>
      <bottom>
        <color indexed="63"/>
      </bottom>
    </border>
    <border>
      <left>
        <color indexed="63"/>
      </left>
      <right>
        <color indexed="63"/>
      </right>
      <top style="medium"/>
      <bottom style="thin"/>
    </border>
    <border>
      <left style="medium"/>
      <right style="hair"/>
      <top style="thin"/>
      <bottom style="thin"/>
    </border>
    <border>
      <left>
        <color indexed="63"/>
      </left>
      <right style="hair"/>
      <top style="medium"/>
      <bottom>
        <color indexed="63"/>
      </bottom>
    </border>
    <border>
      <left style="hair"/>
      <right style="medium"/>
      <top style="medium"/>
      <bottom>
        <color indexed="63"/>
      </bottom>
    </border>
    <border>
      <left style="hair"/>
      <right style="thin"/>
      <top>
        <color indexed="63"/>
      </top>
      <bottom style="hair"/>
    </border>
    <border>
      <left style="medium"/>
      <right>
        <color indexed="63"/>
      </right>
      <top>
        <color indexed="63"/>
      </top>
      <bottom style="hair"/>
    </border>
    <border>
      <left style="hair"/>
      <right style="medium"/>
      <top style="thin"/>
      <bottom>
        <color indexed="63"/>
      </bottom>
    </border>
    <border>
      <left style="medium"/>
      <right>
        <color indexed="63"/>
      </right>
      <top style="thin"/>
      <bottom>
        <color indexed="63"/>
      </bottom>
    </border>
    <border>
      <left>
        <color indexed="63"/>
      </left>
      <right style="hair"/>
      <top style="thin"/>
      <bottom>
        <color indexed="63"/>
      </bottom>
    </border>
    <border>
      <left style="hair"/>
      <right style="thin"/>
      <top style="thin"/>
      <bottom>
        <color indexed="63"/>
      </bottom>
    </border>
    <border>
      <left style="hair"/>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style="hair"/>
      <right style="medium"/>
      <top style="thin"/>
      <bottom style="medium"/>
    </border>
    <border>
      <left style="hair"/>
      <right style="thin"/>
      <top style="thin"/>
      <bottom style="medium"/>
    </border>
    <border>
      <left style="thin"/>
      <right style="hair"/>
      <top>
        <color indexed="63"/>
      </top>
      <bottom style="thin"/>
    </border>
    <border>
      <left style="hair"/>
      <right style="hair"/>
      <top>
        <color indexed="63"/>
      </top>
      <bottom style="thin"/>
    </border>
    <border>
      <left style="medium"/>
      <right style="hair"/>
      <top>
        <color indexed="63"/>
      </top>
      <bottom style="thin"/>
    </border>
    <border>
      <left>
        <color indexed="63"/>
      </left>
      <right style="medium"/>
      <top style="thin"/>
      <bottom>
        <color indexed="63"/>
      </bottom>
    </border>
    <border>
      <left style="medium"/>
      <right>
        <color indexed="63"/>
      </right>
      <top style="medium"/>
      <bottom style="thin"/>
    </border>
    <border>
      <left style="thin"/>
      <right>
        <color indexed="63"/>
      </right>
      <top style="thin"/>
      <bottom style="medium"/>
    </border>
    <border>
      <left>
        <color indexed="63"/>
      </left>
      <right style="thin"/>
      <top style="medium"/>
      <bottom style="thin"/>
    </border>
    <border>
      <left style="thin"/>
      <right>
        <color indexed="63"/>
      </right>
      <top style="medium"/>
      <bottom style="thin"/>
    </border>
    <border>
      <left>
        <color indexed="63"/>
      </left>
      <right style="hair"/>
      <top>
        <color indexed="63"/>
      </top>
      <bottom style="thin"/>
    </border>
    <border>
      <left style="hair"/>
      <right>
        <color indexed="63"/>
      </right>
      <top>
        <color indexed="63"/>
      </top>
      <bottom style="thin"/>
    </border>
    <border>
      <left style="hair"/>
      <right style="medium"/>
      <top>
        <color indexed="63"/>
      </top>
      <bottom style="thin"/>
    </border>
    <border>
      <left style="hair"/>
      <right>
        <color indexed="63"/>
      </right>
      <top style="thin"/>
      <bottom style="thin"/>
    </border>
    <border>
      <left style="hair"/>
      <right style="thin"/>
      <top>
        <color indexed="63"/>
      </top>
      <bottom style="thin"/>
    </border>
    <border>
      <left style="thin"/>
      <right style="hair"/>
      <top style="thin"/>
      <bottom>
        <color indexed="63"/>
      </bottom>
    </border>
    <border>
      <left>
        <color indexed="63"/>
      </left>
      <right style="medium"/>
      <top>
        <color indexed="63"/>
      </top>
      <bottom style="thin"/>
    </border>
    <border>
      <left style="thin"/>
      <right style="hair"/>
      <top>
        <color indexed="63"/>
      </top>
      <bottom style="hair"/>
    </border>
    <border>
      <left style="thin"/>
      <right style="hair"/>
      <top style="hair"/>
      <bottom style="medium"/>
    </border>
    <border>
      <left style="hair"/>
      <right style="medium"/>
      <top style="hair"/>
      <bottom style="medium"/>
    </border>
    <border>
      <left style="medium"/>
      <right style="hair"/>
      <top>
        <color indexed="63"/>
      </top>
      <bottom style="hair"/>
    </border>
    <border>
      <left style="thin"/>
      <right style="medium"/>
      <top style="thin"/>
      <bottom style="thin"/>
    </border>
    <border>
      <left style="medium"/>
      <right style="hair"/>
      <top style="thin"/>
      <bottom>
        <color indexed="63"/>
      </bottom>
    </border>
    <border>
      <left style="medium"/>
      <right style="hair"/>
      <top style="hair"/>
      <bottom style="medium"/>
    </border>
    <border>
      <left style="hair"/>
      <right style="thin"/>
      <top style="hair"/>
      <bottom style="medium"/>
    </border>
  </borders>
  <cellStyleXfs count="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1">
      <alignment/>
      <protection/>
    </xf>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2" borderId="1">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9" fontId="0" fillId="0" borderId="0" applyFont="0" applyFill="0" applyBorder="0" applyAlignment="0" applyProtection="0"/>
    <xf numFmtId="0" fontId="1" fillId="0" borderId="0">
      <alignment/>
      <protection/>
    </xf>
    <xf numFmtId="0" fontId="6" fillId="0" borderId="2" applyFill="0" applyBorder="0">
      <alignment/>
      <protection/>
    </xf>
    <xf numFmtId="164" fontId="6" fillId="0" borderId="2" applyFill="0" applyBorder="0">
      <alignment/>
      <protection/>
    </xf>
    <xf numFmtId="0" fontId="6" fillId="0" borderId="2" applyFill="0" applyBorder="0">
      <alignment/>
      <protection/>
    </xf>
    <xf numFmtId="0" fontId="7" fillId="3" borderId="3">
      <alignment/>
      <protection/>
    </xf>
    <xf numFmtId="165" fontId="0" fillId="3" borderId="3">
      <alignment/>
      <protection/>
    </xf>
    <xf numFmtId="171" fontId="7" fillId="3" borderId="3">
      <alignment/>
      <protection/>
    </xf>
    <xf numFmtId="171" fontId="6" fillId="0" borderId="2" applyFill="0" applyBorder="0">
      <alignment/>
      <protection/>
    </xf>
    <xf numFmtId="0" fontId="1" fillId="0" borderId="1">
      <alignment/>
      <protection/>
    </xf>
    <xf numFmtId="0" fontId="8" fillId="4" borderId="0">
      <alignment/>
      <protection/>
    </xf>
    <xf numFmtId="0" fontId="4" fillId="0" borderId="4">
      <alignment/>
      <protection/>
    </xf>
    <xf numFmtId="0" fontId="4" fillId="0" borderId="1">
      <alignment/>
      <protection/>
    </xf>
    <xf numFmtId="44" fontId="0" fillId="0" borderId="0" applyFont="0" applyFill="0" applyBorder="0" applyAlignment="0" applyProtection="0"/>
    <xf numFmtId="42" fontId="0" fillId="0" borderId="0" applyFont="0" applyFill="0" applyBorder="0" applyAlignment="0" applyProtection="0"/>
  </cellStyleXfs>
  <cellXfs count="848">
    <xf numFmtId="0" fontId="0" fillId="0" borderId="0" xfId="0" applyAlignment="1">
      <alignment/>
    </xf>
    <xf numFmtId="0" fontId="6" fillId="0" borderId="5"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0" xfId="0" applyFont="1" applyFill="1" applyBorder="1" applyAlignment="1" applyProtection="1">
      <alignment vertical="center"/>
      <protection/>
    </xf>
    <xf numFmtId="0" fontId="6" fillId="0" borderId="6" xfId="0" applyFont="1" applyFill="1" applyBorder="1" applyAlignment="1" applyProtection="1">
      <alignment horizontal="left"/>
      <protection/>
    </xf>
    <xf numFmtId="0" fontId="0" fillId="0" borderId="0" xfId="0" applyBorder="1" applyAlignment="1" applyProtection="1">
      <alignment/>
      <protection/>
    </xf>
    <xf numFmtId="0" fontId="13" fillId="0" borderId="0" xfId="0" applyFont="1" applyAlignment="1" applyProtection="1">
      <alignment horizontal="left"/>
      <protection/>
    </xf>
    <xf numFmtId="0" fontId="0" fillId="0" borderId="0" xfId="0" applyFill="1" applyBorder="1" applyAlignment="1" applyProtection="1">
      <alignment/>
      <protection/>
    </xf>
    <xf numFmtId="167" fontId="7" fillId="0" borderId="0" xfId="0" applyNumberFormat="1" applyFont="1" applyFill="1" applyBorder="1" applyAlignment="1" applyProtection="1">
      <alignment/>
      <protection/>
    </xf>
    <xf numFmtId="0" fontId="0" fillId="0" borderId="0" xfId="0" applyFont="1" applyBorder="1" applyAlignment="1" applyProtection="1">
      <alignment vertical="center"/>
      <protection/>
    </xf>
    <xf numFmtId="0" fontId="0" fillId="0" borderId="0" xfId="0" applyFont="1" applyBorder="1" applyAlignment="1" applyProtection="1">
      <alignment/>
      <protection/>
    </xf>
    <xf numFmtId="0" fontId="0" fillId="0" borderId="0" xfId="0" applyNumberFormat="1" applyFont="1" applyBorder="1" applyAlignment="1" applyProtection="1">
      <alignment/>
      <protection/>
    </xf>
    <xf numFmtId="0" fontId="0" fillId="0" borderId="0" xfId="0" applyFont="1" applyFill="1" applyBorder="1" applyAlignment="1" applyProtection="1">
      <alignment/>
      <protection/>
    </xf>
    <xf numFmtId="0" fontId="0" fillId="0" borderId="0" xfId="0" applyNumberFormat="1" applyFont="1" applyFill="1" applyBorder="1" applyAlignment="1" applyProtection="1">
      <alignment/>
      <protection/>
    </xf>
    <xf numFmtId="4"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5" xfId="0" applyNumberFormat="1" applyFont="1" applyFill="1" applyBorder="1" applyAlignment="1" applyProtection="1">
      <alignment horizontal="lef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13" fillId="0" borderId="7" xfId="0" applyFont="1" applyBorder="1" applyAlignment="1" applyProtection="1">
      <alignment/>
      <protection/>
    </xf>
    <xf numFmtId="0" fontId="13" fillId="0" borderId="0" xfId="0" applyFont="1" applyAlignment="1" applyProtection="1">
      <alignment/>
      <protection/>
    </xf>
    <xf numFmtId="0" fontId="0" fillId="0" borderId="5" xfId="0" applyFont="1" applyBorder="1" applyAlignment="1" applyProtection="1">
      <alignment/>
      <protection/>
    </xf>
    <xf numFmtId="0" fontId="0" fillId="0" borderId="5" xfId="0" applyNumberFormat="1" applyFont="1" applyFill="1" applyBorder="1" applyAlignment="1" applyProtection="1">
      <alignment/>
      <protection/>
    </xf>
    <xf numFmtId="0" fontId="0" fillId="0" borderId="0" xfId="0" applyNumberFormat="1" applyFont="1" applyFill="1" applyBorder="1" applyAlignment="1" applyProtection="1">
      <alignment horizontal="right"/>
      <protection/>
    </xf>
    <xf numFmtId="3" fontId="0" fillId="0" borderId="0" xfId="0" applyNumberFormat="1" applyFont="1" applyFill="1" applyBorder="1" applyAlignment="1" applyProtection="1">
      <alignment/>
      <protection/>
    </xf>
    <xf numFmtId="0" fontId="13" fillId="0" borderId="0" xfId="0" applyNumberFormat="1" applyFont="1" applyFill="1" applyBorder="1" applyAlignment="1" applyProtection="1">
      <alignment/>
      <protection/>
    </xf>
    <xf numFmtId="0" fontId="11" fillId="0" borderId="0" xfId="0" applyFont="1" applyBorder="1" applyAlignment="1" applyProtection="1">
      <alignment vertical="top" wrapText="1"/>
      <protection/>
    </xf>
    <xf numFmtId="0" fontId="0" fillId="0" borderId="8" xfId="0" applyFont="1" applyBorder="1" applyAlignment="1" applyProtection="1">
      <alignment/>
      <protection/>
    </xf>
    <xf numFmtId="0" fontId="13" fillId="0" borderId="0" xfId="0" applyFont="1" applyBorder="1" applyAlignment="1" applyProtection="1">
      <alignment horizontal="left"/>
      <protection/>
    </xf>
    <xf numFmtId="166" fontId="0" fillId="0" borderId="0" xfId="0" applyNumberFormat="1" applyFont="1" applyBorder="1" applyAlignment="1" applyProtection="1">
      <alignment/>
      <protection/>
    </xf>
    <xf numFmtId="0" fontId="0" fillId="0" borderId="0" xfId="0" applyNumberFormat="1" applyFont="1" applyFill="1" applyBorder="1" applyAlignment="1" applyProtection="1">
      <alignment horizontal="left"/>
      <protection/>
    </xf>
    <xf numFmtId="0" fontId="13" fillId="0" borderId="0" xfId="0" applyNumberFormat="1" applyFont="1" applyFill="1" applyBorder="1" applyAlignment="1" applyProtection="1">
      <alignment horizontal="left"/>
      <protection/>
    </xf>
    <xf numFmtId="0" fontId="0" fillId="0" borderId="8" xfId="0" applyNumberFormat="1" applyFont="1" applyFill="1" applyBorder="1" applyAlignment="1" applyProtection="1">
      <alignment/>
      <protection/>
    </xf>
    <xf numFmtId="0" fontId="13" fillId="0" borderId="0" xfId="0" applyNumberFormat="1" applyFont="1" applyFill="1" applyBorder="1" applyAlignment="1" applyProtection="1">
      <alignment horizontal="right"/>
      <protection/>
    </xf>
    <xf numFmtId="3" fontId="0" fillId="0" borderId="0" xfId="0" applyNumberFormat="1" applyFont="1" applyFill="1" applyBorder="1" applyAlignment="1" applyProtection="1">
      <alignment horizontal="right"/>
      <protection/>
    </xf>
    <xf numFmtId="0" fontId="13" fillId="0" borderId="0" xfId="0" applyNumberFormat="1" applyFont="1" applyBorder="1" applyAlignment="1" applyProtection="1">
      <alignment/>
      <protection/>
    </xf>
    <xf numFmtId="3" fontId="0" fillId="0" borderId="0" xfId="0" applyNumberFormat="1" applyFont="1" applyBorder="1" applyAlignment="1" applyProtection="1">
      <alignment/>
      <protection/>
    </xf>
    <xf numFmtId="0" fontId="13" fillId="0" borderId="5" xfId="0" applyNumberFormat="1" applyFont="1" applyFill="1" applyBorder="1" applyAlignment="1" applyProtection="1">
      <alignment/>
      <protection/>
    </xf>
    <xf numFmtId="0" fontId="0" fillId="0" borderId="5" xfId="0" applyNumberFormat="1" applyFont="1" applyBorder="1" applyAlignment="1" applyProtection="1">
      <alignment/>
      <protection/>
    </xf>
    <xf numFmtId="0" fontId="0" fillId="0" borderId="5" xfId="0" applyNumberFormat="1" applyFont="1" applyFill="1" applyBorder="1" applyAlignment="1" applyProtection="1">
      <alignment/>
      <protection/>
    </xf>
    <xf numFmtId="0" fontId="13" fillId="0" borderId="0" xfId="0" applyNumberFormat="1" applyFont="1" applyFill="1" applyBorder="1" applyAlignment="1" applyProtection="1">
      <alignment/>
      <protection/>
    </xf>
    <xf numFmtId="3" fontId="0" fillId="0" borderId="5" xfId="0" applyNumberFormat="1" applyFont="1" applyFill="1" applyBorder="1" applyAlignment="1" applyProtection="1">
      <alignment horizontal="right"/>
      <protection/>
    </xf>
    <xf numFmtId="0" fontId="0" fillId="0" borderId="0" xfId="0" applyNumberFormat="1" applyFont="1" applyBorder="1" applyAlignment="1" applyProtection="1">
      <alignment horizontal="left"/>
      <protection/>
    </xf>
    <xf numFmtId="0" fontId="0" fillId="0" borderId="9" xfId="0" applyNumberFormat="1" applyFont="1" applyFill="1" applyBorder="1" applyAlignment="1" applyProtection="1">
      <alignment/>
      <protection/>
    </xf>
    <xf numFmtId="0" fontId="0" fillId="0" borderId="3" xfId="0" applyNumberFormat="1" applyFont="1" applyBorder="1" applyAlignment="1" applyProtection="1">
      <alignment/>
      <protection/>
    </xf>
    <xf numFmtId="0" fontId="0" fillId="0" borderId="3" xfId="0" applyNumberFormat="1" applyFont="1" applyFill="1" applyBorder="1" applyAlignment="1" applyProtection="1">
      <alignment/>
      <protection/>
    </xf>
    <xf numFmtId="3" fontId="0" fillId="0" borderId="3" xfId="0" applyNumberFormat="1" applyFont="1" applyFill="1" applyBorder="1" applyAlignment="1" applyProtection="1">
      <alignment/>
      <protection locked="0"/>
    </xf>
    <xf numFmtId="0" fontId="13" fillId="0" borderId="3" xfId="0" applyNumberFormat="1" applyFont="1" applyFill="1" applyBorder="1" applyAlignment="1" applyProtection="1">
      <alignment horizontal="left"/>
      <protection/>
    </xf>
    <xf numFmtId="0" fontId="0" fillId="0" borderId="3" xfId="0" applyNumberFormat="1" applyFont="1" applyFill="1" applyBorder="1" applyAlignment="1" applyProtection="1">
      <alignment horizontal="left"/>
      <protection/>
    </xf>
    <xf numFmtId="0" fontId="0" fillId="0" borderId="8" xfId="0" applyNumberFormat="1" applyFont="1" applyFill="1" applyBorder="1" applyAlignment="1" applyProtection="1">
      <alignment horizontal="left"/>
      <protection/>
    </xf>
    <xf numFmtId="3" fontId="0" fillId="0" borderId="10" xfId="0" applyNumberFormat="1" applyFont="1" applyFill="1" applyBorder="1" applyAlignment="1" applyProtection="1">
      <alignment/>
      <protection locked="0"/>
    </xf>
    <xf numFmtId="0" fontId="0" fillId="0" borderId="11" xfId="0" applyNumberFormat="1" applyFont="1" applyFill="1" applyBorder="1" applyAlignment="1" applyProtection="1">
      <alignment/>
      <protection/>
    </xf>
    <xf numFmtId="0" fontId="0" fillId="0" borderId="9"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0" fillId="0" borderId="7" xfId="0" applyNumberFormat="1" applyFont="1" applyBorder="1" applyAlignment="1" applyProtection="1">
      <alignment/>
      <protection/>
    </xf>
    <xf numFmtId="0" fontId="0" fillId="0" borderId="9" xfId="0" applyNumberFormat="1" applyFont="1" applyBorder="1" applyAlignment="1" applyProtection="1">
      <alignment/>
      <protection/>
    </xf>
    <xf numFmtId="0" fontId="0" fillId="0" borderId="12" xfId="0" applyNumberFormat="1" applyFont="1" applyFill="1" applyBorder="1" applyAlignment="1" applyProtection="1">
      <alignment horizontal="left"/>
      <protection/>
    </xf>
    <xf numFmtId="3" fontId="0" fillId="0" borderId="3" xfId="0" applyNumberFormat="1" applyFont="1" applyFill="1" applyBorder="1" applyAlignment="1" applyProtection="1">
      <alignment/>
      <protection/>
    </xf>
    <xf numFmtId="3" fontId="0" fillId="0" borderId="3" xfId="0" applyNumberFormat="1" applyFont="1" applyBorder="1" applyAlignment="1" applyProtection="1">
      <alignment/>
      <protection/>
    </xf>
    <xf numFmtId="0" fontId="0" fillId="0" borderId="11" xfId="0" applyNumberFormat="1" applyFont="1" applyFill="1" applyBorder="1" applyAlignment="1" applyProtection="1">
      <alignment horizontal="left"/>
      <protection/>
    </xf>
    <xf numFmtId="3" fontId="0" fillId="0" borderId="3" xfId="0" applyNumberFormat="1" applyFont="1" applyFill="1" applyBorder="1" applyAlignment="1" applyProtection="1">
      <alignment horizontal="right"/>
      <protection locked="0"/>
    </xf>
    <xf numFmtId="3" fontId="0" fillId="0" borderId="3" xfId="0" applyNumberFormat="1" applyFont="1" applyFill="1" applyBorder="1" applyAlignment="1" applyProtection="1">
      <alignment horizontal="right"/>
      <protection/>
    </xf>
    <xf numFmtId="3" fontId="0" fillId="0" borderId="3" xfId="0" applyNumberFormat="1" applyFont="1" applyBorder="1" applyAlignment="1" applyProtection="1" quotePrefix="1">
      <alignment horizontal="right"/>
      <protection/>
    </xf>
    <xf numFmtId="0" fontId="0" fillId="0" borderId="9" xfId="0" applyNumberFormat="1" applyFont="1" applyFill="1" applyBorder="1" applyAlignment="1" applyProtection="1">
      <alignment horizontal="left"/>
      <protection/>
    </xf>
    <xf numFmtId="0" fontId="0" fillId="0" borderId="13" xfId="0" applyNumberFormat="1" applyFont="1" applyFill="1" applyBorder="1" applyAlignment="1" applyProtection="1">
      <alignment horizontal="left"/>
      <protection/>
    </xf>
    <xf numFmtId="0" fontId="0" fillId="0" borderId="7" xfId="0" applyNumberFormat="1" applyFont="1" applyFill="1" applyBorder="1" applyAlignment="1" applyProtection="1">
      <alignment horizontal="left"/>
      <protection/>
    </xf>
    <xf numFmtId="0" fontId="0" fillId="0" borderId="14" xfId="0" applyNumberFormat="1" applyFont="1" applyFill="1" applyBorder="1" applyAlignment="1" applyProtection="1">
      <alignment/>
      <protection/>
    </xf>
    <xf numFmtId="0" fontId="0" fillId="0" borderId="11" xfId="0" applyNumberFormat="1" applyFont="1" applyFill="1" applyBorder="1" applyAlignment="1" applyProtection="1">
      <alignment/>
      <protection locked="0"/>
    </xf>
    <xf numFmtId="0" fontId="0" fillId="0" borderId="15" xfId="0" applyNumberFormat="1" applyFont="1" applyFill="1" applyBorder="1" applyAlignment="1" applyProtection="1">
      <alignment/>
      <protection locked="0"/>
    </xf>
    <xf numFmtId="0" fontId="0" fillId="0" borderId="16" xfId="0" applyNumberFormat="1" applyFont="1" applyFill="1" applyBorder="1" applyAlignment="1" applyProtection="1">
      <alignment/>
      <protection locked="0"/>
    </xf>
    <xf numFmtId="14" fontId="0" fillId="0" borderId="15" xfId="0" applyNumberFormat="1" applyFont="1" applyFill="1" applyBorder="1" applyAlignment="1" applyProtection="1">
      <alignment/>
      <protection locked="0"/>
    </xf>
    <xf numFmtId="0" fontId="0" fillId="0" borderId="8" xfId="0" applyNumberFormat="1" applyFont="1" applyFill="1" applyBorder="1" applyAlignment="1" applyProtection="1">
      <alignment/>
      <protection locked="0"/>
    </xf>
    <xf numFmtId="0" fontId="0" fillId="0" borderId="17" xfId="0" applyNumberFormat="1" applyFont="1" applyFill="1" applyBorder="1" applyAlignment="1" applyProtection="1">
      <alignment/>
      <protection locked="0"/>
    </xf>
    <xf numFmtId="0" fontId="0" fillId="0" borderId="3" xfId="0" applyNumberFormat="1" applyFont="1" applyFill="1" applyBorder="1" applyAlignment="1" applyProtection="1">
      <alignment/>
      <protection locked="0"/>
    </xf>
    <xf numFmtId="14" fontId="0" fillId="0" borderId="17" xfId="0" applyNumberFormat="1" applyFont="1" applyFill="1" applyBorder="1" applyAlignment="1" applyProtection="1">
      <alignment/>
      <protection locked="0"/>
    </xf>
    <xf numFmtId="0" fontId="0" fillId="0" borderId="12" xfId="0" applyNumberFormat="1" applyFont="1" applyFill="1" applyBorder="1" applyAlignment="1" applyProtection="1">
      <alignment/>
      <protection locked="0"/>
    </xf>
    <xf numFmtId="0" fontId="0" fillId="0" borderId="18" xfId="0" applyNumberFormat="1" applyFont="1" applyFill="1" applyBorder="1" applyAlignment="1" applyProtection="1">
      <alignment/>
      <protection locked="0"/>
    </xf>
    <xf numFmtId="0" fontId="0" fillId="0" borderId="2" xfId="0" applyNumberFormat="1" applyFont="1" applyFill="1" applyBorder="1" applyAlignment="1" applyProtection="1">
      <alignment/>
      <protection locked="0"/>
    </xf>
    <xf numFmtId="14" fontId="0" fillId="0" borderId="18" xfId="0" applyNumberFormat="1" applyFont="1" applyFill="1" applyBorder="1" applyAlignment="1" applyProtection="1">
      <alignment/>
      <protection locked="0"/>
    </xf>
    <xf numFmtId="0" fontId="0" fillId="0" borderId="3" xfId="0" applyNumberFormat="1" applyFont="1" applyFill="1" applyBorder="1" applyAlignment="1" applyProtection="1">
      <alignment horizontal="left"/>
      <protection locked="0"/>
    </xf>
    <xf numFmtId="3" fontId="13" fillId="0" borderId="0" xfId="0" applyNumberFormat="1" applyFont="1" applyFill="1" applyBorder="1" applyAlignment="1" applyProtection="1">
      <alignment horizontal="left"/>
      <protection/>
    </xf>
    <xf numFmtId="0" fontId="13" fillId="0" borderId="14" xfId="0" applyNumberFormat="1" applyFont="1" applyFill="1" applyBorder="1" applyAlignment="1" applyProtection="1">
      <alignment horizontal="left"/>
      <protection/>
    </xf>
    <xf numFmtId="0" fontId="13" fillId="0" borderId="5" xfId="0" applyNumberFormat="1" applyFont="1" applyFill="1" applyBorder="1" applyAlignment="1" applyProtection="1">
      <alignment horizontal="left"/>
      <protection/>
    </xf>
    <xf numFmtId="0" fontId="13" fillId="0" borderId="19" xfId="0" applyNumberFormat="1" applyFont="1" applyFill="1" applyBorder="1" applyAlignment="1" applyProtection="1">
      <alignment horizontal="left"/>
      <protection/>
    </xf>
    <xf numFmtId="0" fontId="13" fillId="0" borderId="8" xfId="0" applyNumberFormat="1" applyFont="1" applyFill="1" applyBorder="1" applyAlignment="1" applyProtection="1">
      <alignment horizontal="left"/>
      <protection/>
    </xf>
    <xf numFmtId="0" fontId="0" fillId="0" borderId="7" xfId="0" applyNumberFormat="1" applyFont="1" applyFill="1" applyBorder="1" applyAlignment="1" applyProtection="1">
      <alignment/>
      <protection/>
    </xf>
    <xf numFmtId="4" fontId="0" fillId="0" borderId="0" xfId="0" applyNumberFormat="1" applyFont="1" applyBorder="1" applyAlignment="1" applyProtection="1">
      <alignment/>
      <protection/>
    </xf>
    <xf numFmtId="0" fontId="0" fillId="3" borderId="16"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16"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20"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0" fillId="0" borderId="18" xfId="0" applyNumberFormat="1" applyFont="1" applyFill="1" applyBorder="1" applyAlignment="1" applyProtection="1">
      <alignment/>
      <protection/>
    </xf>
    <xf numFmtId="0" fontId="0" fillId="0" borderId="0" xfId="0" applyNumberFormat="1" applyFont="1" applyBorder="1" applyAlignment="1" applyProtection="1">
      <alignment/>
      <protection/>
    </xf>
    <xf numFmtId="3" fontId="7" fillId="0" borderId="0" xfId="0" applyNumberFormat="1" applyFont="1" applyFill="1" applyBorder="1" applyAlignment="1" applyProtection="1">
      <alignment horizontal="center"/>
      <protection/>
    </xf>
    <xf numFmtId="0" fontId="7" fillId="0" borderId="0" xfId="0" applyFont="1" applyFill="1" applyBorder="1" applyAlignment="1" applyProtection="1">
      <alignment horizontal="left" wrapText="1"/>
      <protection/>
    </xf>
    <xf numFmtId="0" fontId="6" fillId="0" borderId="0" xfId="0" applyFont="1" applyFill="1" applyBorder="1" applyAlignment="1" applyProtection="1">
      <alignment horizontal="center" wrapText="1"/>
      <protection/>
    </xf>
    <xf numFmtId="3" fontId="7" fillId="0" borderId="0" xfId="0" applyNumberFormat="1" applyFont="1" applyFill="1" applyBorder="1" applyAlignment="1" applyProtection="1">
      <alignment horizontal="center" wrapText="1"/>
      <protection/>
    </xf>
    <xf numFmtId="0" fontId="7" fillId="0" borderId="0" xfId="0" applyNumberFormat="1" applyFont="1" applyFill="1" applyBorder="1" applyAlignment="1" applyProtection="1">
      <alignment horizontal="center" wrapText="1"/>
      <protection/>
    </xf>
    <xf numFmtId="3" fontId="6" fillId="0" borderId="0" xfId="0" applyNumberFormat="1" applyFont="1" applyFill="1" applyBorder="1" applyAlignment="1" applyProtection="1">
      <alignment horizontal="center"/>
      <protection/>
    </xf>
    <xf numFmtId="3" fontId="6" fillId="0" borderId="0" xfId="0" applyNumberFormat="1" applyFont="1" applyFill="1" applyBorder="1" applyAlignment="1" applyProtection="1">
      <alignment/>
      <protection/>
    </xf>
    <xf numFmtId="0" fontId="6" fillId="0" borderId="0" xfId="0" applyFont="1" applyFill="1" applyBorder="1" applyAlignment="1" applyProtection="1">
      <alignment/>
      <protection/>
    </xf>
    <xf numFmtId="0" fontId="6" fillId="0" borderId="0" xfId="0" applyFont="1" applyAlignment="1" applyProtection="1">
      <alignment vertical="center"/>
      <protection/>
    </xf>
    <xf numFmtId="3" fontId="6" fillId="0" borderId="0" xfId="0" applyNumberFormat="1" applyFont="1" applyBorder="1" applyAlignment="1" applyProtection="1">
      <alignment vertical="center"/>
      <protection/>
    </xf>
    <xf numFmtId="0" fontId="6" fillId="0" borderId="5" xfId="0" applyNumberFormat="1" applyFont="1" applyBorder="1" applyAlignment="1" applyProtection="1">
      <alignment vertical="center"/>
      <protection/>
    </xf>
    <xf numFmtId="0" fontId="0" fillId="0" borderId="0" xfId="0" applyAlignment="1" applyProtection="1">
      <alignment/>
      <protection/>
    </xf>
    <xf numFmtId="3" fontId="6" fillId="0" borderId="0" xfId="0" applyNumberFormat="1" applyFont="1" applyAlignment="1" applyProtection="1">
      <alignment/>
      <protection/>
    </xf>
    <xf numFmtId="0" fontId="6" fillId="0" borderId="0" xfId="0" applyFont="1" applyBorder="1" applyAlignment="1" applyProtection="1">
      <alignment/>
      <protection/>
    </xf>
    <xf numFmtId="3" fontId="6" fillId="0" borderId="0" xfId="0" applyNumberFormat="1" applyFont="1" applyBorder="1" applyAlignment="1" applyProtection="1">
      <alignment/>
      <protection/>
    </xf>
    <xf numFmtId="0" fontId="6" fillId="0" borderId="3" xfId="0" applyFont="1" applyBorder="1" applyAlignment="1" applyProtection="1">
      <alignment horizontal="left"/>
      <protection/>
    </xf>
    <xf numFmtId="0" fontId="0" fillId="0" borderId="17" xfId="0" applyFont="1" applyBorder="1" applyAlignment="1" applyProtection="1">
      <alignment/>
      <protection/>
    </xf>
    <xf numFmtId="3" fontId="6" fillId="0" borderId="0" xfId="0" applyNumberFormat="1" applyFont="1" applyAlignment="1" applyProtection="1">
      <alignment/>
      <protection/>
    </xf>
    <xf numFmtId="0" fontId="6" fillId="0" borderId="0" xfId="0" applyFont="1" applyBorder="1" applyAlignment="1" applyProtection="1">
      <alignment/>
      <protection/>
    </xf>
    <xf numFmtId="3" fontId="6" fillId="0" borderId="0" xfId="0" applyNumberFormat="1" applyFont="1" applyBorder="1" applyAlignment="1" applyProtection="1">
      <alignment/>
      <protection/>
    </xf>
    <xf numFmtId="0" fontId="6"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0" fillId="0" borderId="6" xfId="0" applyBorder="1" applyAlignment="1" applyProtection="1">
      <alignment/>
      <protection/>
    </xf>
    <xf numFmtId="3" fontId="6" fillId="0" borderId="6" xfId="0" applyNumberFormat="1" applyFont="1" applyBorder="1" applyAlignment="1" applyProtection="1">
      <alignment/>
      <protection/>
    </xf>
    <xf numFmtId="4" fontId="6" fillId="0" borderId="6" xfId="0" applyNumberFormat="1" applyFont="1" applyBorder="1" applyAlignment="1" applyProtection="1">
      <alignment/>
      <protection/>
    </xf>
    <xf numFmtId="3" fontId="6" fillId="0" borderId="0" xfId="0" applyNumberFormat="1" applyFont="1" applyBorder="1" applyAlignment="1" applyProtection="1">
      <alignment horizontal="center"/>
      <protection/>
    </xf>
    <xf numFmtId="3" fontId="6" fillId="0" borderId="0" xfId="0" applyNumberFormat="1" applyFont="1" applyBorder="1" applyAlignment="1" applyProtection="1">
      <alignment horizontal="left"/>
      <protection/>
    </xf>
    <xf numFmtId="0" fontId="7" fillId="0" borderId="0" xfId="0" applyFont="1" applyFill="1" applyBorder="1" applyAlignment="1" applyProtection="1">
      <alignment/>
      <protection/>
    </xf>
    <xf numFmtId="3" fontId="6" fillId="0" borderId="0" xfId="0" applyNumberFormat="1" applyFont="1" applyBorder="1" applyAlignment="1" applyProtection="1">
      <alignment/>
      <protection/>
    </xf>
    <xf numFmtId="0" fontId="6" fillId="0" borderId="0" xfId="0" applyFont="1" applyBorder="1" applyAlignment="1" applyProtection="1">
      <alignment horizontal="left" wrapText="1"/>
      <protection/>
    </xf>
    <xf numFmtId="0" fontId="6" fillId="0" borderId="0" xfId="0" applyFont="1" applyFill="1" applyBorder="1" applyAlignment="1" applyProtection="1">
      <alignment horizontal="left"/>
      <protection/>
    </xf>
    <xf numFmtId="37" fontId="6" fillId="0" borderId="0" xfId="0" applyNumberFormat="1" applyFont="1" applyFill="1" applyBorder="1" applyAlignment="1" applyProtection="1">
      <alignment horizontal="left"/>
      <protection/>
    </xf>
    <xf numFmtId="0" fontId="0" fillId="0" borderId="0" xfId="0" applyBorder="1" applyAlignment="1" applyProtection="1">
      <alignment wrapText="1"/>
      <protection/>
    </xf>
    <xf numFmtId="3" fontId="6" fillId="0" borderId="0" xfId="0" applyNumberFormat="1" applyFont="1" applyBorder="1" applyAlignment="1" applyProtection="1">
      <alignment wrapText="1"/>
      <protection/>
    </xf>
    <xf numFmtId="0" fontId="7" fillId="0" borderId="0" xfId="0" applyFont="1" applyBorder="1" applyAlignment="1" applyProtection="1">
      <alignment horizontal="center"/>
      <protection/>
    </xf>
    <xf numFmtId="0" fontId="0" fillId="0" borderId="6" xfId="0" applyBorder="1" applyAlignment="1" applyProtection="1">
      <alignment horizontal="left" wrapText="1"/>
      <protection/>
    </xf>
    <xf numFmtId="0" fontId="7" fillId="0" borderId="0" xfId="0" applyFont="1" applyFill="1" applyBorder="1" applyAlignment="1" applyProtection="1">
      <alignment horizontal="left"/>
      <protection/>
    </xf>
    <xf numFmtId="0" fontId="0" fillId="0" borderId="0" xfId="0" applyBorder="1" applyAlignment="1" applyProtection="1">
      <alignment horizontal="left" wrapText="1"/>
      <protection/>
    </xf>
    <xf numFmtId="4" fontId="6" fillId="0" borderId="0" xfId="0" applyNumberFormat="1" applyFont="1" applyBorder="1" applyAlignment="1" applyProtection="1">
      <alignment/>
      <protection/>
    </xf>
    <xf numFmtId="3" fontId="6" fillId="0" borderId="0" xfId="0" applyNumberFormat="1" applyFont="1" applyBorder="1" applyAlignment="1" applyProtection="1">
      <alignment horizontal="left" wrapText="1"/>
      <protection/>
    </xf>
    <xf numFmtId="167" fontId="13" fillId="0" borderId="0" xfId="0" applyNumberFormat="1" applyFont="1" applyFill="1" applyBorder="1" applyAlignment="1" applyProtection="1">
      <alignment/>
      <protection/>
    </xf>
    <xf numFmtId="3" fontId="7" fillId="0" borderId="0" xfId="0" applyNumberFormat="1" applyFont="1" applyFill="1" applyBorder="1" applyAlignment="1" applyProtection="1">
      <alignment/>
      <protection/>
    </xf>
    <xf numFmtId="4" fontId="7" fillId="0" borderId="0" xfId="0" applyNumberFormat="1" applyFont="1" applyFill="1" applyBorder="1" applyAlignment="1" applyProtection="1">
      <alignment/>
      <protection/>
    </xf>
    <xf numFmtId="0" fontId="14" fillId="0" borderId="0" xfId="0" applyFont="1" applyBorder="1" applyAlignment="1" applyProtection="1">
      <alignment horizontal="left"/>
      <protection/>
    </xf>
    <xf numFmtId="3" fontId="6" fillId="0" borderId="0" xfId="0" applyNumberFormat="1" applyFont="1" applyBorder="1" applyAlignment="1" applyProtection="1">
      <alignment horizontal="left"/>
      <protection/>
    </xf>
    <xf numFmtId="4" fontId="6" fillId="0" borderId="0" xfId="0" applyNumberFormat="1" applyFont="1" applyBorder="1" applyAlignment="1" applyProtection="1">
      <alignment horizontal="left"/>
      <protection/>
    </xf>
    <xf numFmtId="3" fontId="6" fillId="0" borderId="0" xfId="0" applyNumberFormat="1" applyFont="1" applyFill="1" applyBorder="1" applyAlignment="1" applyProtection="1">
      <alignment horizontal="center"/>
      <protection/>
    </xf>
    <xf numFmtId="170" fontId="6" fillId="0" borderId="0" xfId="0" applyNumberFormat="1" applyFont="1" applyFill="1" applyBorder="1" applyAlignment="1" applyProtection="1">
      <alignment/>
      <protection/>
    </xf>
    <xf numFmtId="170" fontId="6" fillId="0" borderId="0" xfId="0" applyNumberFormat="1"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Alignment="1" applyProtection="1">
      <alignment horizontal="center"/>
      <protection/>
    </xf>
    <xf numFmtId="3" fontId="6" fillId="0" borderId="0" xfId="0" applyNumberFormat="1" applyFont="1" applyAlignment="1" applyProtection="1">
      <alignment vertical="center"/>
      <protection/>
    </xf>
    <xf numFmtId="0" fontId="6" fillId="0" borderId="3" xfId="0" applyFont="1" applyFill="1" applyBorder="1" applyAlignment="1" applyProtection="1">
      <alignment horizontal="left"/>
      <protection/>
    </xf>
    <xf numFmtId="37" fontId="6" fillId="0" borderId="3" xfId="0" applyNumberFormat="1" applyFont="1" applyFill="1" applyBorder="1" applyAlignment="1" applyProtection="1">
      <alignment horizontal="left"/>
      <protection/>
    </xf>
    <xf numFmtId="0" fontId="7" fillId="0" borderId="3" xfId="0" applyFont="1" applyBorder="1" applyAlignment="1" applyProtection="1">
      <alignment horizontal="center"/>
      <protection/>
    </xf>
    <xf numFmtId="3" fontId="6" fillId="0" borderId="3" xfId="0" applyNumberFormat="1" applyFont="1" applyFill="1" applyBorder="1" applyAlignment="1" applyProtection="1">
      <alignment/>
      <protection locked="0"/>
    </xf>
    <xf numFmtId="170" fontId="6" fillId="0" borderId="3" xfId="0" applyNumberFormat="1" applyFont="1" applyFill="1" applyBorder="1" applyAlignment="1" applyProtection="1">
      <alignment/>
      <protection locked="0"/>
    </xf>
    <xf numFmtId="0" fontId="7" fillId="0" borderId="0" xfId="0" applyFont="1" applyFill="1" applyBorder="1" applyAlignment="1" applyProtection="1">
      <alignment horizontal="center"/>
      <protection/>
    </xf>
    <xf numFmtId="0" fontId="7" fillId="0" borderId="3" xfId="0" applyFont="1" applyBorder="1" applyAlignment="1" applyProtection="1">
      <alignment horizontal="center"/>
      <protection locked="0"/>
    </xf>
    <xf numFmtId="3" fontId="6" fillId="0" borderId="3" xfId="0" applyNumberFormat="1" applyFont="1" applyFill="1" applyBorder="1" applyAlignment="1" applyProtection="1">
      <alignment/>
      <protection locked="0"/>
    </xf>
    <xf numFmtId="0" fontId="0" fillId="0" borderId="3" xfId="0" applyBorder="1" applyAlignment="1" applyProtection="1">
      <alignment horizontal="left"/>
      <protection/>
    </xf>
    <xf numFmtId="3" fontId="6" fillId="0" borderId="3" xfId="0" applyNumberFormat="1" applyFont="1" applyBorder="1" applyAlignment="1" applyProtection="1">
      <alignment horizontal="left"/>
      <protection/>
    </xf>
    <xf numFmtId="0" fontId="6" fillId="0" borderId="3" xfId="0" applyFont="1" applyBorder="1" applyAlignment="1" applyProtection="1">
      <alignment horizontal="left" wrapText="1"/>
      <protection/>
    </xf>
    <xf numFmtId="0" fontId="7" fillId="0" borderId="0" xfId="0" applyFont="1" applyFill="1" applyBorder="1" applyAlignment="1" applyProtection="1">
      <alignment/>
      <protection/>
    </xf>
    <xf numFmtId="3" fontId="7" fillId="0" borderId="0" xfId="0" applyNumberFormat="1" applyFont="1" applyFill="1" applyBorder="1" applyAlignment="1" applyProtection="1">
      <alignment/>
      <protection/>
    </xf>
    <xf numFmtId="0" fontId="0" fillId="0" borderId="0" xfId="0" applyBorder="1" applyAlignment="1" applyProtection="1">
      <alignment/>
      <protection/>
    </xf>
    <xf numFmtId="3" fontId="7" fillId="0" borderId="3" xfId="0" applyNumberFormat="1" applyFont="1" applyFill="1" applyBorder="1" applyAlignment="1" applyProtection="1">
      <alignment/>
      <protection/>
    </xf>
    <xf numFmtId="0" fontId="6" fillId="0" borderId="8" xfId="0" applyFont="1" applyBorder="1" applyAlignment="1" applyProtection="1">
      <alignment horizontal="left" wrapText="1"/>
      <protection/>
    </xf>
    <xf numFmtId="0" fontId="6" fillId="0" borderId="5" xfId="0" applyFont="1" applyFill="1" applyBorder="1" applyAlignment="1" applyProtection="1">
      <alignment horizontal="left"/>
      <protection/>
    </xf>
    <xf numFmtId="0" fontId="7" fillId="0" borderId="5" xfId="0" applyFont="1" applyFill="1" applyBorder="1" applyAlignment="1" applyProtection="1">
      <alignment horizontal="left"/>
      <protection/>
    </xf>
    <xf numFmtId="167" fontId="13" fillId="0" borderId="5" xfId="0" applyNumberFormat="1" applyFont="1" applyFill="1" applyBorder="1" applyAlignment="1" applyProtection="1">
      <alignment/>
      <protection/>
    </xf>
    <xf numFmtId="3" fontId="7" fillId="0" borderId="5" xfId="0" applyNumberFormat="1" applyFont="1" applyFill="1" applyBorder="1" applyAlignment="1" applyProtection="1">
      <alignment/>
      <protection/>
    </xf>
    <xf numFmtId="3" fontId="7" fillId="0" borderId="17" xfId="0" applyNumberFormat="1" applyFont="1" applyFill="1" applyBorder="1" applyAlignment="1" applyProtection="1">
      <alignment/>
      <protection/>
    </xf>
    <xf numFmtId="0" fontId="6" fillId="0" borderId="16" xfId="0" applyFont="1" applyBorder="1" applyAlignment="1" applyProtection="1">
      <alignment horizontal="left"/>
      <protection/>
    </xf>
    <xf numFmtId="0" fontId="6" fillId="0" borderId="16" xfId="0" applyFont="1" applyFill="1" applyBorder="1" applyAlignment="1" applyProtection="1">
      <alignment horizontal="left"/>
      <protection/>
    </xf>
    <xf numFmtId="37" fontId="6" fillId="0" borderId="16" xfId="0" applyNumberFormat="1" applyFont="1" applyFill="1" applyBorder="1" applyAlignment="1" applyProtection="1">
      <alignment horizontal="left"/>
      <protection/>
    </xf>
    <xf numFmtId="0" fontId="7" fillId="0" borderId="16" xfId="0" applyFont="1" applyBorder="1" applyAlignment="1" applyProtection="1">
      <alignment horizontal="center"/>
      <protection/>
    </xf>
    <xf numFmtId="3" fontId="6" fillId="0" borderId="16" xfId="0" applyNumberFormat="1" applyFont="1" applyFill="1" applyBorder="1" applyAlignment="1" applyProtection="1">
      <alignment/>
      <protection locked="0"/>
    </xf>
    <xf numFmtId="3" fontId="6" fillId="0" borderId="16" xfId="0" applyNumberFormat="1" applyFont="1" applyFill="1" applyBorder="1" applyAlignment="1" applyProtection="1">
      <alignment/>
      <protection locked="0"/>
    </xf>
    <xf numFmtId="170" fontId="6" fillId="0" borderId="16" xfId="0" applyNumberFormat="1" applyFont="1" applyFill="1" applyBorder="1" applyAlignment="1" applyProtection="1">
      <alignment/>
      <protection locked="0"/>
    </xf>
    <xf numFmtId="0" fontId="7" fillId="0" borderId="8" xfId="0" applyFont="1" applyFill="1" applyBorder="1" applyAlignment="1" applyProtection="1">
      <alignment horizontal="left"/>
      <protection/>
    </xf>
    <xf numFmtId="4" fontId="7" fillId="0" borderId="0" xfId="0" applyNumberFormat="1" applyFont="1" applyFill="1" applyBorder="1" applyAlignment="1" applyProtection="1">
      <alignment horizontal="center" wrapText="1"/>
      <protection/>
    </xf>
    <xf numFmtId="0" fontId="7" fillId="0" borderId="0" xfId="0" applyFont="1" applyFill="1" applyBorder="1" applyAlignment="1" applyProtection="1">
      <alignment horizontal="center" wrapText="1"/>
      <protection/>
    </xf>
    <xf numFmtId="1" fontId="7" fillId="0" borderId="0" xfId="0" applyNumberFormat="1" applyFont="1" applyFill="1" applyBorder="1" applyAlignment="1" applyProtection="1">
      <alignment horizontal="center" wrapText="1"/>
      <protection/>
    </xf>
    <xf numFmtId="0" fontId="0" fillId="0" borderId="0" xfId="0" applyBorder="1" applyAlignment="1" applyProtection="1">
      <alignment horizontal="left"/>
      <protection/>
    </xf>
    <xf numFmtId="0" fontId="6" fillId="0" borderId="8" xfId="0" applyFont="1" applyFill="1" applyBorder="1" applyAlignment="1" applyProtection="1">
      <alignment horizontal="left"/>
      <protection/>
    </xf>
    <xf numFmtId="0" fontId="6" fillId="0" borderId="16" xfId="0" applyFont="1" applyBorder="1" applyAlignment="1" applyProtection="1">
      <alignment horizontal="left" wrapText="1"/>
      <protection/>
    </xf>
    <xf numFmtId="0" fontId="0" fillId="0" borderId="16" xfId="0" applyBorder="1" applyAlignment="1" applyProtection="1">
      <alignment horizontal="left"/>
      <protection/>
    </xf>
    <xf numFmtId="3" fontId="6" fillId="0" borderId="16" xfId="0" applyNumberFormat="1" applyFont="1" applyBorder="1" applyAlignment="1" applyProtection="1">
      <alignment horizontal="left"/>
      <protection/>
    </xf>
    <xf numFmtId="4" fontId="7" fillId="0" borderId="17" xfId="0" applyNumberFormat="1" applyFont="1" applyFill="1" applyBorder="1" applyAlignment="1" applyProtection="1">
      <alignment/>
      <protection/>
    </xf>
    <xf numFmtId="0" fontId="13" fillId="0" borderId="3" xfId="0" applyFont="1" applyBorder="1" applyAlignment="1" applyProtection="1">
      <alignment horizontal="center" vertical="top"/>
      <protection locked="0"/>
    </xf>
    <xf numFmtId="0" fontId="0" fillId="0" borderId="3" xfId="0" applyFont="1" applyBorder="1" applyAlignment="1" applyProtection="1">
      <alignment horizontal="center"/>
      <protection/>
    </xf>
    <xf numFmtId="3" fontId="13" fillId="0" borderId="5" xfId="0" applyNumberFormat="1" applyFont="1" applyBorder="1" applyAlignment="1" applyProtection="1">
      <alignment horizontal="center"/>
      <protection/>
    </xf>
    <xf numFmtId="0" fontId="0" fillId="0" borderId="12" xfId="0" applyFont="1" applyBorder="1" applyAlignment="1" applyProtection="1">
      <alignment/>
      <protection/>
    </xf>
    <xf numFmtId="49" fontId="13" fillId="0" borderId="0" xfId="0" applyNumberFormat="1" applyFont="1" applyBorder="1" applyAlignment="1" applyProtection="1">
      <alignment horizontal="center"/>
      <protection/>
    </xf>
    <xf numFmtId="0" fontId="0" fillId="0" borderId="18" xfId="0" applyFont="1" applyBorder="1" applyAlignment="1" applyProtection="1">
      <alignment/>
      <protection/>
    </xf>
    <xf numFmtId="3" fontId="13" fillId="0" borderId="0" xfId="0" applyNumberFormat="1" applyFont="1" applyBorder="1" applyAlignment="1" applyProtection="1">
      <alignment horizontal="center"/>
      <protection/>
    </xf>
    <xf numFmtId="0" fontId="13" fillId="0" borderId="16" xfId="0" applyFont="1" applyBorder="1" applyAlignment="1" applyProtection="1">
      <alignment horizontal="center" vertical="top"/>
      <protection locked="0"/>
    </xf>
    <xf numFmtId="0" fontId="13" fillId="0" borderId="10" xfId="0" applyFont="1" applyBorder="1" applyAlignment="1" applyProtection="1">
      <alignment horizontal="center" vertical="top"/>
      <protection locked="0"/>
    </xf>
    <xf numFmtId="0" fontId="0" fillId="3" borderId="10" xfId="0" applyNumberFormat="1" applyFont="1" applyFill="1" applyBorder="1" applyAlignment="1" applyProtection="1">
      <alignment/>
      <protection/>
    </xf>
    <xf numFmtId="0" fontId="0" fillId="0" borderId="5" xfId="0" applyNumberFormat="1" applyFont="1" applyFill="1" applyBorder="1" applyAlignment="1" applyProtection="1">
      <alignment wrapText="1"/>
      <protection/>
    </xf>
    <xf numFmtId="0" fontId="0" fillId="0" borderId="17" xfId="0" applyNumberFormat="1" applyFont="1" applyFill="1" applyBorder="1" applyAlignment="1" applyProtection="1">
      <alignment wrapText="1"/>
      <protection/>
    </xf>
    <xf numFmtId="0" fontId="0" fillId="0" borderId="0" xfId="0" applyNumberFormat="1" applyFont="1" applyFill="1" applyBorder="1" applyAlignment="1" applyProtection="1">
      <alignment wrapText="1"/>
      <protection/>
    </xf>
    <xf numFmtId="0" fontId="0" fillId="0" borderId="18" xfId="0" applyNumberFormat="1" applyFont="1" applyFill="1" applyBorder="1" applyAlignment="1" applyProtection="1">
      <alignment wrapText="1"/>
      <protection/>
    </xf>
    <xf numFmtId="3" fontId="0" fillId="3" borderId="16" xfId="0" applyNumberFormat="1" applyFont="1" applyFill="1" applyBorder="1" applyAlignment="1" applyProtection="1">
      <alignment horizontal="center"/>
      <protection/>
    </xf>
    <xf numFmtId="0" fontId="0" fillId="3" borderId="16" xfId="0" applyNumberFormat="1" applyFont="1" applyFill="1" applyBorder="1" applyAlignment="1" applyProtection="1">
      <alignment horizontal="center"/>
      <protection/>
    </xf>
    <xf numFmtId="0" fontId="0" fillId="3" borderId="9" xfId="0" applyNumberFormat="1" applyFont="1" applyFill="1" applyBorder="1" applyAlignment="1" applyProtection="1">
      <alignment horizontal="center"/>
      <protection/>
    </xf>
    <xf numFmtId="0" fontId="0" fillId="3" borderId="10" xfId="0" applyNumberFormat="1" applyFont="1" applyFill="1" applyBorder="1" applyAlignment="1" applyProtection="1">
      <alignment horizontal="center"/>
      <protection/>
    </xf>
    <xf numFmtId="0" fontId="0" fillId="3" borderId="11" xfId="0" applyNumberFormat="1" applyFont="1" applyFill="1" applyBorder="1" applyAlignment="1" applyProtection="1">
      <alignment horizontal="center"/>
      <protection/>
    </xf>
    <xf numFmtId="0" fontId="0" fillId="3" borderId="15" xfId="0" applyNumberFormat="1" applyFont="1" applyFill="1" applyBorder="1" applyAlignment="1" applyProtection="1">
      <alignment horizontal="center"/>
      <protection/>
    </xf>
    <xf numFmtId="0" fontId="0" fillId="3" borderId="13" xfId="0" applyNumberFormat="1" applyFont="1" applyFill="1" applyBorder="1" applyAlignment="1" applyProtection="1">
      <alignment horizontal="center"/>
      <protection/>
    </xf>
    <xf numFmtId="0" fontId="7" fillId="3" borderId="16" xfId="0" applyFont="1" applyFill="1" applyBorder="1" applyAlignment="1" applyProtection="1">
      <alignment horizontal="center"/>
      <protection/>
    </xf>
    <xf numFmtId="3" fontId="7" fillId="3" borderId="16" xfId="0" applyNumberFormat="1" applyFont="1" applyFill="1" applyBorder="1" applyAlignment="1" applyProtection="1">
      <alignment horizontal="center"/>
      <protection/>
    </xf>
    <xf numFmtId="4" fontId="7" fillId="3" borderId="16" xfId="0" applyNumberFormat="1" applyFont="1" applyFill="1" applyBorder="1" applyAlignment="1" applyProtection="1">
      <alignment horizontal="center"/>
      <protection/>
    </xf>
    <xf numFmtId="0" fontId="7" fillId="3" borderId="2" xfId="0" applyFont="1" applyFill="1" applyBorder="1" applyAlignment="1" applyProtection="1">
      <alignment horizontal="left" wrapText="1"/>
      <protection/>
    </xf>
    <xf numFmtId="0" fontId="7" fillId="3" borderId="2" xfId="0" applyFont="1" applyFill="1" applyBorder="1" applyAlignment="1" applyProtection="1">
      <alignment horizontal="center"/>
      <protection/>
    </xf>
    <xf numFmtId="3" fontId="7" fillId="3" borderId="2" xfId="0" applyNumberFormat="1" applyFont="1" applyFill="1" applyBorder="1" applyAlignment="1" applyProtection="1">
      <alignment horizontal="center" wrapText="1"/>
      <protection/>
    </xf>
    <xf numFmtId="4" fontId="7" fillId="3" borderId="2" xfId="0" applyNumberFormat="1" applyFont="1" applyFill="1" applyBorder="1" applyAlignment="1" applyProtection="1">
      <alignment horizontal="center" wrapText="1"/>
      <protection/>
    </xf>
    <xf numFmtId="0" fontId="7" fillId="3" borderId="10" xfId="0" applyFont="1" applyFill="1" applyBorder="1" applyAlignment="1" applyProtection="1">
      <alignment horizontal="left" wrapText="1"/>
      <protection/>
    </xf>
    <xf numFmtId="0" fontId="7" fillId="3" borderId="10" xfId="0" applyFont="1" applyFill="1" applyBorder="1" applyAlignment="1" applyProtection="1">
      <alignment horizontal="center" wrapText="1"/>
      <protection/>
    </xf>
    <xf numFmtId="1" fontId="7" fillId="3" borderId="10" xfId="0" applyNumberFormat="1" applyFont="1" applyFill="1" applyBorder="1" applyAlignment="1" applyProtection="1">
      <alignment horizontal="center" wrapText="1"/>
      <protection/>
    </xf>
    <xf numFmtId="0" fontId="7" fillId="3" borderId="10" xfId="0" applyNumberFormat="1" applyFont="1" applyFill="1" applyBorder="1" applyAlignment="1" applyProtection="1">
      <alignment horizontal="center" wrapText="1"/>
      <protection/>
    </xf>
    <xf numFmtId="166" fontId="13" fillId="3" borderId="17" xfId="0" applyNumberFormat="1" applyFont="1" applyFill="1" applyBorder="1" applyAlignment="1" applyProtection="1">
      <alignment horizontal="center"/>
      <protection/>
    </xf>
    <xf numFmtId="0" fontId="13" fillId="3" borderId="8" xfId="0" applyFont="1" applyFill="1" applyBorder="1" applyAlignment="1" applyProtection="1">
      <alignment/>
      <protection/>
    </xf>
    <xf numFmtId="0" fontId="13" fillId="3" borderId="5" xfId="0" applyFont="1" applyFill="1" applyBorder="1" applyAlignment="1" applyProtection="1">
      <alignment/>
      <protection/>
    </xf>
    <xf numFmtId="0" fontId="0" fillId="3" borderId="5" xfId="0" applyFont="1" applyFill="1" applyBorder="1" applyAlignment="1" applyProtection="1">
      <alignment/>
      <protection/>
    </xf>
    <xf numFmtId="0" fontId="0" fillId="3" borderId="17" xfId="0" applyFont="1" applyFill="1" applyBorder="1" applyAlignment="1" applyProtection="1">
      <alignment/>
      <protection/>
    </xf>
    <xf numFmtId="4" fontId="0" fillId="0" borderId="0" xfId="0" applyNumberFormat="1" applyFont="1" applyFill="1" applyBorder="1" applyAlignment="1" applyProtection="1">
      <alignment/>
      <protection/>
    </xf>
    <xf numFmtId="0" fontId="6" fillId="0" borderId="5" xfId="0" applyFont="1" applyBorder="1" applyAlignment="1" applyProtection="1">
      <alignment vertical="center"/>
      <protection/>
    </xf>
    <xf numFmtId="0" fontId="6" fillId="0" borderId="0" xfId="0" applyNumberFormat="1" applyFont="1" applyBorder="1" applyAlignment="1" applyProtection="1">
      <alignment vertical="center"/>
      <protection/>
    </xf>
    <xf numFmtId="0" fontId="6" fillId="0" borderId="0" xfId="0" applyNumberFormat="1"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10" fillId="5" borderId="0" xfId="0" applyFont="1" applyFill="1" applyBorder="1" applyAlignment="1" applyProtection="1">
      <alignment horizontal="left" vertical="center"/>
      <protection/>
    </xf>
    <xf numFmtId="0" fontId="7" fillId="0" borderId="0" xfId="0" applyNumberFormat="1" applyFont="1" applyBorder="1" applyAlignment="1" applyProtection="1">
      <alignment vertical="center"/>
      <protection/>
    </xf>
    <xf numFmtId="4" fontId="7" fillId="0" borderId="0" xfId="0" applyNumberFormat="1" applyFont="1" applyBorder="1" applyAlignment="1" applyProtection="1">
      <alignment vertical="center"/>
      <protection/>
    </xf>
    <xf numFmtId="0" fontId="6" fillId="0" borderId="0" xfId="0" applyNumberFormat="1" applyFont="1" applyBorder="1" applyAlignment="1" applyProtection="1">
      <alignment horizontal="center" vertical="center"/>
      <protection/>
    </xf>
    <xf numFmtId="3" fontId="6" fillId="0" borderId="0" xfId="0" applyNumberFormat="1" applyFont="1" applyFill="1" applyBorder="1" applyAlignment="1" applyProtection="1">
      <alignment horizontal="center" vertical="center"/>
      <protection/>
    </xf>
    <xf numFmtId="4" fontId="6" fillId="0" borderId="0" xfId="0" applyNumberFormat="1" applyFont="1" applyFill="1" applyBorder="1" applyAlignment="1" applyProtection="1">
      <alignment horizontal="center" vertical="center"/>
      <protection/>
    </xf>
    <xf numFmtId="172" fontId="6" fillId="0" borderId="0" xfId="0" applyNumberFormat="1" applyFont="1" applyFill="1" applyBorder="1" applyAlignment="1" applyProtection="1">
      <alignment horizontal="center" vertical="center"/>
      <protection/>
    </xf>
    <xf numFmtId="172" fontId="6" fillId="0" borderId="0" xfId="0" applyNumberFormat="1" applyFont="1" applyFill="1" applyBorder="1" applyAlignment="1" applyProtection="1">
      <alignment vertical="center"/>
      <protection/>
    </xf>
    <xf numFmtId="0" fontId="6" fillId="0" borderId="5" xfId="0" applyNumberFormat="1" applyFont="1" applyBorder="1" applyAlignment="1" applyProtection="1">
      <alignment horizontal="right" vertical="center"/>
      <protection/>
    </xf>
    <xf numFmtId="0" fontId="6" fillId="0" borderId="5" xfId="0" applyFont="1" applyBorder="1" applyAlignment="1" applyProtection="1">
      <alignment horizontal="right" vertical="center"/>
      <protection/>
    </xf>
    <xf numFmtId="0" fontId="6" fillId="0" borderId="0" xfId="0"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3" fontId="6" fillId="0" borderId="0" xfId="0" applyNumberFormat="1" applyFont="1" applyBorder="1" applyAlignment="1" applyProtection="1">
      <alignment horizontal="center" vertical="center"/>
      <protection/>
    </xf>
    <xf numFmtId="4" fontId="6" fillId="0" borderId="0" xfId="0" applyNumberFormat="1" applyFont="1" applyBorder="1" applyAlignment="1" applyProtection="1">
      <alignment horizontal="center" vertical="center"/>
      <protection/>
    </xf>
    <xf numFmtId="172" fontId="6" fillId="0" borderId="0" xfId="0" applyNumberFormat="1" applyFont="1" applyBorder="1" applyAlignment="1" applyProtection="1">
      <alignment horizontal="center" vertical="center"/>
      <protection/>
    </xf>
    <xf numFmtId="172" fontId="6" fillId="0" borderId="0" xfId="0" applyNumberFormat="1" applyFont="1" applyBorder="1" applyAlignment="1" applyProtection="1">
      <alignment vertical="center"/>
      <protection/>
    </xf>
    <xf numFmtId="14" fontId="6" fillId="0" borderId="0" xfId="0" applyNumberFormat="1" applyFont="1" applyBorder="1" applyAlignment="1" applyProtection="1">
      <alignment vertical="center"/>
      <protection/>
    </xf>
    <xf numFmtId="0" fontId="6" fillId="0" borderId="0" xfId="0" applyFont="1" applyFill="1" applyBorder="1" applyAlignment="1" applyProtection="1">
      <alignment vertical="center" wrapText="1"/>
      <protection/>
    </xf>
    <xf numFmtId="14" fontId="6" fillId="0" borderId="0" xfId="0" applyNumberFormat="1" applyFont="1" applyAlignment="1" applyProtection="1">
      <alignment vertical="center"/>
      <protection/>
    </xf>
    <xf numFmtId="0" fontId="6" fillId="0" borderId="0" xfId="0" applyFont="1" applyAlignment="1" applyProtection="1" quotePrefix="1">
      <alignment vertical="center"/>
      <protection/>
    </xf>
    <xf numFmtId="0" fontId="6" fillId="0" borderId="9" xfId="0" applyNumberFormat="1" applyFont="1" applyBorder="1" applyAlignment="1" applyProtection="1">
      <alignment horizontal="left" vertical="center"/>
      <protection/>
    </xf>
    <xf numFmtId="0" fontId="10" fillId="5" borderId="9" xfId="0" applyFont="1" applyFill="1" applyBorder="1" applyAlignment="1" applyProtection="1">
      <alignment horizontal="left" vertical="center"/>
      <protection/>
    </xf>
    <xf numFmtId="0" fontId="10" fillId="0" borderId="5" xfId="0" applyFont="1" applyBorder="1" applyAlignment="1" applyProtection="1">
      <alignment horizontal="left" vertical="center"/>
      <protection/>
    </xf>
    <xf numFmtId="0" fontId="10" fillId="0" borderId="5" xfId="0" applyFont="1" applyBorder="1" applyAlignment="1" applyProtection="1">
      <alignment vertical="center"/>
      <protection/>
    </xf>
    <xf numFmtId="0" fontId="6" fillId="0" borderId="5" xfId="0" applyFont="1" applyBorder="1" applyAlignment="1" applyProtection="1">
      <alignment horizontal="center" vertical="center"/>
      <protection/>
    </xf>
    <xf numFmtId="0" fontId="10" fillId="0" borderId="0" xfId="0" applyNumberFormat="1" applyFont="1" applyBorder="1" applyAlignment="1" applyProtection="1">
      <alignment horizontal="left" vertical="center"/>
      <protection/>
    </xf>
    <xf numFmtId="0" fontId="10" fillId="0" borderId="0" xfId="0" applyNumberFormat="1" applyFont="1" applyBorder="1" applyAlignment="1" applyProtection="1">
      <alignment horizontal="right" vertical="center"/>
      <protection/>
    </xf>
    <xf numFmtId="0" fontId="10" fillId="0" borderId="0" xfId="0" applyFont="1" applyBorder="1" applyAlignment="1" applyProtection="1">
      <alignment vertical="center"/>
      <protection/>
    </xf>
    <xf numFmtId="0" fontId="10" fillId="0" borderId="0" xfId="0" applyFont="1" applyFill="1" applyBorder="1" applyAlignment="1" applyProtection="1">
      <alignment vertical="center"/>
      <protection/>
    </xf>
    <xf numFmtId="0" fontId="0" fillId="0" borderId="17" xfId="0" applyNumberFormat="1" applyFont="1" applyBorder="1" applyAlignment="1" applyProtection="1">
      <alignment/>
      <protection/>
    </xf>
    <xf numFmtId="0" fontId="0" fillId="3" borderId="13" xfId="0" applyNumberFormat="1" applyFont="1" applyFill="1" applyBorder="1" applyAlignment="1" applyProtection="1">
      <alignment/>
      <protection/>
    </xf>
    <xf numFmtId="0" fontId="0" fillId="3" borderId="3" xfId="0" applyNumberFormat="1" applyFont="1" applyFill="1" applyBorder="1" applyAlignment="1" applyProtection="1">
      <alignment/>
      <protection/>
    </xf>
    <xf numFmtId="0" fontId="0" fillId="0" borderId="8" xfId="0" applyNumberFormat="1" applyFont="1" applyBorder="1" applyAlignment="1" applyProtection="1">
      <alignment/>
      <protection/>
    </xf>
    <xf numFmtId="0" fontId="0" fillId="0" borderId="11" xfId="0" applyNumberFormat="1" applyFont="1" applyBorder="1" applyAlignment="1" applyProtection="1">
      <alignment/>
      <protection/>
    </xf>
    <xf numFmtId="0" fontId="0" fillId="0" borderId="15" xfId="0" applyNumberFormat="1" applyFont="1" applyBorder="1" applyAlignment="1" applyProtection="1">
      <alignment/>
      <protection/>
    </xf>
    <xf numFmtId="0" fontId="0" fillId="0" borderId="13" xfId="0" applyNumberFormat="1" applyFont="1" applyBorder="1" applyAlignment="1" applyProtection="1">
      <alignment/>
      <protection/>
    </xf>
    <xf numFmtId="0" fontId="0" fillId="0" borderId="16" xfId="0" applyNumberFormat="1" applyFont="1" applyBorder="1" applyAlignment="1" applyProtection="1">
      <alignment/>
      <protection/>
    </xf>
    <xf numFmtId="3" fontId="6" fillId="0" borderId="3" xfId="0" applyNumberFormat="1" applyFont="1" applyBorder="1" applyAlignment="1" applyProtection="1">
      <alignment horizontal="left"/>
      <protection/>
    </xf>
    <xf numFmtId="0" fontId="0" fillId="0" borderId="5" xfId="0" applyFill="1" applyBorder="1" applyAlignment="1" applyProtection="1">
      <alignment/>
      <protection/>
    </xf>
    <xf numFmtId="3" fontId="6" fillId="0" borderId="5" xfId="0" applyNumberFormat="1" applyFont="1" applyBorder="1" applyAlignment="1" applyProtection="1">
      <alignment horizontal="left"/>
      <protection/>
    </xf>
    <xf numFmtId="3" fontId="6" fillId="0" borderId="5" xfId="0" applyNumberFormat="1" applyFont="1" applyBorder="1" applyAlignment="1" applyProtection="1">
      <alignment horizontal="left"/>
      <protection/>
    </xf>
    <xf numFmtId="4" fontId="6" fillId="0" borderId="17" xfId="0" applyNumberFormat="1" applyFont="1" applyBorder="1" applyAlignment="1" applyProtection="1">
      <alignment horizontal="left"/>
      <protection/>
    </xf>
    <xf numFmtId="3" fontId="7" fillId="0" borderId="5" xfId="0" applyNumberFormat="1" applyFont="1" applyBorder="1" applyAlignment="1" applyProtection="1">
      <alignment horizontal="left"/>
      <protection/>
    </xf>
    <xf numFmtId="2" fontId="0" fillId="0" borderId="3" xfId="0" applyNumberFormat="1" applyFont="1" applyFill="1" applyBorder="1" applyAlignment="1" applyProtection="1">
      <alignment/>
      <protection locked="0"/>
    </xf>
    <xf numFmtId="3" fontId="6" fillId="0" borderId="3" xfId="0" applyNumberFormat="1" applyFont="1" applyFill="1" applyBorder="1" applyAlignment="1" applyProtection="1">
      <alignment/>
      <protection/>
    </xf>
    <xf numFmtId="3" fontId="6" fillId="0" borderId="16" xfId="0" applyNumberFormat="1" applyFont="1" applyFill="1" applyBorder="1" applyAlignment="1" applyProtection="1">
      <alignment/>
      <protection/>
    </xf>
    <xf numFmtId="3" fontId="6" fillId="0" borderId="0" xfId="0" applyNumberFormat="1" applyFont="1" applyFill="1" applyBorder="1" applyAlignment="1" applyProtection="1">
      <alignment/>
      <protection/>
    </xf>
    <xf numFmtId="3" fontId="0" fillId="0" borderId="0" xfId="0" applyNumberFormat="1" applyAlignment="1" applyProtection="1">
      <alignment/>
      <protection/>
    </xf>
    <xf numFmtId="0" fontId="0" fillId="0" borderId="0" xfId="0" applyAlignment="1" applyProtection="1">
      <alignment horizontal="left"/>
      <protection/>
    </xf>
    <xf numFmtId="0" fontId="18" fillId="0" borderId="0" xfId="0" applyFont="1" applyFill="1" applyBorder="1" applyAlignment="1" applyProtection="1">
      <alignment horizontal="left"/>
      <protection/>
    </xf>
    <xf numFmtId="0" fontId="0" fillId="0" borderId="3" xfId="0" applyNumberFormat="1" applyFont="1" applyBorder="1" applyAlignment="1" applyProtection="1">
      <alignment/>
      <protection locked="0"/>
    </xf>
    <xf numFmtId="3" fontId="0" fillId="0" borderId="3" xfId="0" applyNumberFormat="1" applyFont="1" applyBorder="1" applyAlignment="1" applyProtection="1">
      <alignment/>
      <protection locked="0"/>
    </xf>
    <xf numFmtId="0" fontId="6" fillId="0" borderId="0" xfId="0" applyFont="1" applyFill="1" applyBorder="1" applyAlignment="1" applyProtection="1">
      <alignment horizontal="left" vertical="center"/>
      <protection/>
    </xf>
    <xf numFmtId="0" fontId="6" fillId="0" borderId="5" xfId="0" applyNumberFormat="1" applyFont="1" applyBorder="1" applyAlignment="1" applyProtection="1">
      <alignment horizontal="left" vertical="center"/>
      <protection/>
    </xf>
    <xf numFmtId="0" fontId="13" fillId="0" borderId="0" xfId="0" applyFont="1" applyFill="1" applyBorder="1" applyAlignment="1" applyProtection="1">
      <alignment horizontal="left"/>
      <protection/>
    </xf>
    <xf numFmtId="3" fontId="0" fillId="0" borderId="17" xfId="0" applyNumberFormat="1" applyFont="1" applyBorder="1" applyAlignment="1" applyProtection="1">
      <alignment/>
      <protection/>
    </xf>
    <xf numFmtId="0" fontId="13" fillId="0" borderId="0" xfId="0" applyNumberFormat="1" applyFont="1" applyBorder="1" applyAlignment="1" applyProtection="1">
      <alignment horizontal="left"/>
      <protection/>
    </xf>
    <xf numFmtId="0" fontId="0" fillId="0" borderId="0" xfId="0" applyNumberFormat="1" applyFont="1" applyFill="1" applyBorder="1" applyAlignment="1" applyProtection="1">
      <alignment vertical="justify"/>
      <protection/>
    </xf>
    <xf numFmtId="0" fontId="0" fillId="0" borderId="0" xfId="0" applyFill="1" applyBorder="1" applyAlignment="1" applyProtection="1">
      <alignment vertical="justify"/>
      <protection/>
    </xf>
    <xf numFmtId="170" fontId="0" fillId="0" borderId="3" xfId="0" applyNumberFormat="1" applyFont="1" applyFill="1" applyBorder="1" applyAlignment="1" applyProtection="1">
      <alignment horizontal="right"/>
      <protection locked="0"/>
    </xf>
    <xf numFmtId="170" fontId="0" fillId="0" borderId="3" xfId="0" applyNumberFormat="1" applyFont="1" applyBorder="1" applyAlignment="1" applyProtection="1">
      <alignment/>
      <protection locked="0"/>
    </xf>
    <xf numFmtId="3" fontId="0" fillId="0" borderId="10" xfId="0" applyNumberFormat="1" applyFont="1" applyBorder="1" applyAlignment="1" applyProtection="1">
      <alignment/>
      <protection/>
    </xf>
    <xf numFmtId="0" fontId="0" fillId="0" borderId="0" xfId="0" applyNumberFormat="1" applyFont="1" applyBorder="1" applyAlignment="1" applyProtection="1">
      <alignment horizontal="center"/>
      <protection/>
    </xf>
    <xf numFmtId="1" fontId="0" fillId="0" borderId="3" xfId="0" applyNumberFormat="1" applyFont="1" applyBorder="1" applyAlignment="1" applyProtection="1">
      <alignment/>
      <protection locked="0"/>
    </xf>
    <xf numFmtId="0" fontId="12" fillId="0" borderId="0" xfId="0" applyFont="1" applyBorder="1" applyAlignment="1" applyProtection="1">
      <alignment/>
      <protection/>
    </xf>
    <xf numFmtId="0" fontId="12" fillId="0" borderId="0" xfId="0" applyNumberFormat="1" applyFont="1" applyFill="1" applyBorder="1" applyAlignment="1" applyProtection="1">
      <alignment horizontal="left"/>
      <protection/>
    </xf>
    <xf numFmtId="0" fontId="12" fillId="0" borderId="0"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12" fillId="0" borderId="0" xfId="0" applyNumberFormat="1" applyFont="1" applyBorder="1" applyAlignment="1" applyProtection="1">
      <alignment horizontal="left"/>
      <protection/>
    </xf>
    <xf numFmtId="0" fontId="12" fillId="0" borderId="0" xfId="0" applyNumberFormat="1" applyFont="1" applyFill="1" applyBorder="1" applyAlignment="1" applyProtection="1">
      <alignment/>
      <protection/>
    </xf>
    <xf numFmtId="0" fontId="12" fillId="0" borderId="0" xfId="0" applyFont="1" applyAlignment="1" applyProtection="1">
      <alignment/>
      <protection/>
    </xf>
    <xf numFmtId="0" fontId="6" fillId="0" borderId="8" xfId="0" applyFont="1" applyBorder="1" applyAlignment="1" applyProtection="1">
      <alignment/>
      <protection/>
    </xf>
    <xf numFmtId="0" fontId="10" fillId="0" borderId="5" xfId="0" applyFont="1" applyBorder="1" applyAlignment="1" applyProtection="1">
      <alignment vertical="top" wrapText="1"/>
      <protection/>
    </xf>
    <xf numFmtId="0" fontId="6" fillId="0" borderId="5" xfId="0" applyFont="1" applyBorder="1" applyAlignment="1" applyProtection="1">
      <alignment/>
      <protection/>
    </xf>
    <xf numFmtId="0" fontId="6" fillId="0" borderId="17" xfId="0" applyFont="1" applyBorder="1" applyAlignment="1" applyProtection="1">
      <alignment/>
      <protection/>
    </xf>
    <xf numFmtId="0" fontId="6" fillId="0" borderId="3" xfId="0" applyFont="1" applyBorder="1" applyAlignment="1" applyProtection="1">
      <alignment/>
      <protection locked="0"/>
    </xf>
    <xf numFmtId="0" fontId="6" fillId="0" borderId="0" xfId="0" applyFont="1" applyAlignment="1" applyProtection="1">
      <alignment/>
      <protection/>
    </xf>
    <xf numFmtId="3" fontId="6" fillId="0" borderId="0" xfId="0" applyNumberFormat="1" applyFont="1" applyFill="1" applyBorder="1" applyAlignment="1" applyProtection="1">
      <alignment vertical="center"/>
      <protection/>
    </xf>
    <xf numFmtId="3" fontId="7" fillId="0" borderId="0" xfId="0" applyNumberFormat="1" applyFont="1" applyBorder="1" applyAlignment="1" applyProtection="1">
      <alignment vertical="center"/>
      <protection/>
    </xf>
    <xf numFmtId="3" fontId="0" fillId="3" borderId="15" xfId="0" applyNumberFormat="1" applyFont="1" applyFill="1" applyBorder="1" applyAlignment="1" applyProtection="1">
      <alignment horizontal="center"/>
      <protection/>
    </xf>
    <xf numFmtId="3" fontId="0" fillId="3" borderId="20" xfId="0" applyNumberFormat="1" applyFont="1" applyFill="1" applyBorder="1" applyAlignment="1" applyProtection="1">
      <alignment horizontal="center"/>
      <protection/>
    </xf>
    <xf numFmtId="3" fontId="0" fillId="3" borderId="10" xfId="0" applyNumberFormat="1" applyFont="1" applyFill="1" applyBorder="1" applyAlignment="1" applyProtection="1">
      <alignment horizontal="center"/>
      <protection/>
    </xf>
    <xf numFmtId="3" fontId="0" fillId="3" borderId="2" xfId="0" applyNumberFormat="1" applyFont="1" applyFill="1" applyBorder="1" applyAlignment="1" applyProtection="1">
      <alignment horizontal="center"/>
      <protection/>
    </xf>
    <xf numFmtId="0" fontId="9" fillId="0" borderId="0" xfId="0" applyFont="1" applyAlignment="1" applyProtection="1">
      <alignment/>
      <protection/>
    </xf>
    <xf numFmtId="3" fontId="9" fillId="0" borderId="0" xfId="0" applyNumberFormat="1" applyFont="1" applyAlignment="1" applyProtection="1">
      <alignment/>
      <protection/>
    </xf>
    <xf numFmtId="4" fontId="9" fillId="0" borderId="0" xfId="0" applyNumberFormat="1" applyFont="1" applyAlignment="1" applyProtection="1">
      <alignment/>
      <protection/>
    </xf>
    <xf numFmtId="0" fontId="9" fillId="0" borderId="21" xfId="0" applyFont="1" applyBorder="1" applyAlignment="1" applyProtection="1">
      <alignment/>
      <protection/>
    </xf>
    <xf numFmtId="0" fontId="9" fillId="0" borderId="22" xfId="0" applyFont="1" applyBorder="1" applyAlignment="1" applyProtection="1">
      <alignment/>
      <protection/>
    </xf>
    <xf numFmtId="3" fontId="9" fillId="0" borderId="23" xfId="0" applyNumberFormat="1" applyFont="1" applyBorder="1" applyAlignment="1" applyProtection="1">
      <alignment/>
      <protection/>
    </xf>
    <xf numFmtId="0" fontId="9" fillId="0" borderId="24" xfId="0" applyFont="1" applyBorder="1" applyAlignment="1" applyProtection="1">
      <alignment/>
      <protection/>
    </xf>
    <xf numFmtId="0" fontId="9" fillId="0" borderId="0" xfId="0" applyFont="1" applyBorder="1" applyAlignment="1" applyProtection="1">
      <alignment/>
      <protection/>
    </xf>
    <xf numFmtId="3" fontId="9" fillId="0" borderId="0" xfId="0" applyNumberFormat="1" applyFont="1" applyBorder="1" applyAlignment="1" applyProtection="1">
      <alignment/>
      <protection/>
    </xf>
    <xf numFmtId="3" fontId="9" fillId="0" borderId="25" xfId="0" applyNumberFormat="1" applyFont="1" applyBorder="1" applyAlignment="1" applyProtection="1">
      <alignment/>
      <protection/>
    </xf>
    <xf numFmtId="0" fontId="9" fillId="0" borderId="26" xfId="0" applyFont="1" applyBorder="1" applyAlignment="1" applyProtection="1">
      <alignment/>
      <protection/>
    </xf>
    <xf numFmtId="3" fontId="9" fillId="0" borderId="27" xfId="0" applyNumberFormat="1" applyFont="1" applyBorder="1" applyAlignment="1" applyProtection="1">
      <alignment/>
      <protection/>
    </xf>
    <xf numFmtId="0" fontId="0" fillId="0" borderId="5" xfId="0" applyNumberFormat="1" applyFont="1" applyFill="1" applyBorder="1" applyAlignment="1" applyProtection="1">
      <alignment horizontal="right"/>
      <protection/>
    </xf>
    <xf numFmtId="0" fontId="19" fillId="0" borderId="0" xfId="0" applyFont="1" applyBorder="1" applyAlignment="1" applyProtection="1">
      <alignment/>
      <protection/>
    </xf>
    <xf numFmtId="0" fontId="19" fillId="0" borderId="0" xfId="0" applyFont="1" applyBorder="1" applyAlignment="1" applyProtection="1" quotePrefix="1">
      <alignment/>
      <protection/>
    </xf>
    <xf numFmtId="0" fontId="11" fillId="0" borderId="0" xfId="0" applyNumberFormat="1" applyFont="1" applyBorder="1" applyAlignment="1" applyProtection="1">
      <alignment/>
      <protection/>
    </xf>
    <xf numFmtId="0" fontId="12" fillId="0" borderId="8" xfId="0" applyNumberFormat="1" applyFont="1" applyFill="1" applyBorder="1" applyAlignment="1" applyProtection="1">
      <alignment horizontal="left"/>
      <protection/>
    </xf>
    <xf numFmtId="0" fontId="11" fillId="0" borderId="5" xfId="0" applyNumberFormat="1" applyFont="1" applyBorder="1" applyAlignment="1" applyProtection="1">
      <alignment/>
      <protection/>
    </xf>
    <xf numFmtId="4" fontId="9" fillId="0" borderId="0" xfId="0" applyNumberFormat="1" applyFont="1" applyBorder="1" applyAlignment="1" applyProtection="1">
      <alignment/>
      <protection/>
    </xf>
    <xf numFmtId="3" fontId="9" fillId="0" borderId="22" xfId="0" applyNumberFormat="1" applyFont="1" applyBorder="1" applyAlignment="1" applyProtection="1">
      <alignment/>
      <protection/>
    </xf>
    <xf numFmtId="4" fontId="9" fillId="0" borderId="22" xfId="0" applyNumberFormat="1" applyFont="1" applyBorder="1" applyAlignment="1" applyProtection="1">
      <alignment/>
      <protection/>
    </xf>
    <xf numFmtId="4" fontId="9" fillId="0" borderId="26" xfId="0" applyNumberFormat="1" applyFont="1" applyBorder="1" applyAlignment="1" applyProtection="1">
      <alignment/>
      <protection/>
    </xf>
    <xf numFmtId="3" fontId="9" fillId="0" borderId="0" xfId="0" applyNumberFormat="1" applyFont="1" applyFill="1" applyBorder="1" applyAlignment="1" applyProtection="1">
      <alignment/>
      <protection/>
    </xf>
    <xf numFmtId="3" fontId="9" fillId="0" borderId="26" xfId="0" applyNumberFormat="1" applyFont="1" applyBorder="1" applyAlignment="1" applyProtection="1">
      <alignment/>
      <protection/>
    </xf>
    <xf numFmtId="0" fontId="9" fillId="0" borderId="0" xfId="0" applyFont="1" applyFill="1" applyBorder="1" applyAlignment="1" applyProtection="1">
      <alignment/>
      <protection/>
    </xf>
    <xf numFmtId="0" fontId="6" fillId="0" borderId="0" xfId="0" applyNumberFormat="1" applyFont="1" applyFill="1" applyBorder="1" applyAlignment="1" applyProtection="1">
      <alignment vertical="center"/>
      <protection/>
    </xf>
    <xf numFmtId="4" fontId="6" fillId="0" borderId="0" xfId="0" applyNumberFormat="1" applyFont="1" applyFill="1" applyBorder="1" applyAlignment="1" applyProtection="1">
      <alignment vertical="center"/>
      <protection/>
    </xf>
    <xf numFmtId="4" fontId="6" fillId="0" borderId="5" xfId="0" applyNumberFormat="1" applyFont="1" applyBorder="1" applyAlignment="1" applyProtection="1">
      <alignment vertical="center"/>
      <protection/>
    </xf>
    <xf numFmtId="0" fontId="0" fillId="0" borderId="28" xfId="0" applyNumberFormat="1" applyFont="1" applyFill="1" applyBorder="1" applyAlignment="1" applyProtection="1">
      <alignment horizontal="left"/>
      <protection locked="0"/>
    </xf>
    <xf numFmtId="0" fontId="9" fillId="0" borderId="29" xfId="0" applyFont="1" applyBorder="1" applyAlignment="1" applyProtection="1">
      <alignment/>
      <protection/>
    </xf>
    <xf numFmtId="0" fontId="9" fillId="0" borderId="5" xfId="0" applyFont="1" applyBorder="1" applyAlignment="1" applyProtection="1">
      <alignment/>
      <protection/>
    </xf>
    <xf numFmtId="0" fontId="9" fillId="0" borderId="30" xfId="0" applyFont="1" applyBorder="1" applyAlignment="1" applyProtection="1">
      <alignment/>
      <protection/>
    </xf>
    <xf numFmtId="0" fontId="9" fillId="0" borderId="31" xfId="0" applyFont="1" applyBorder="1" applyAlignment="1" applyProtection="1">
      <alignment/>
      <protection/>
    </xf>
    <xf numFmtId="0" fontId="9" fillId="0" borderId="32" xfId="0" applyFont="1" applyBorder="1" applyAlignment="1" applyProtection="1">
      <alignment/>
      <protection/>
    </xf>
    <xf numFmtId="3" fontId="19" fillId="0" borderId="0" xfId="0" applyNumberFormat="1" applyFont="1" applyBorder="1" applyAlignment="1" applyProtection="1">
      <alignment/>
      <protection/>
    </xf>
    <xf numFmtId="3" fontId="9" fillId="0" borderId="33" xfId="0" applyNumberFormat="1" applyFont="1" applyBorder="1" applyAlignment="1" applyProtection="1">
      <alignment/>
      <protection/>
    </xf>
    <xf numFmtId="3" fontId="9" fillId="0" borderId="34" xfId="0" applyNumberFormat="1" applyFont="1" applyBorder="1" applyAlignment="1" applyProtection="1">
      <alignment/>
      <protection/>
    </xf>
    <xf numFmtId="0" fontId="9" fillId="0" borderId="35" xfId="0" applyFont="1" applyBorder="1" applyAlignment="1" applyProtection="1">
      <alignment/>
      <protection/>
    </xf>
    <xf numFmtId="3" fontId="9" fillId="0" borderId="34" xfId="0" applyNumberFormat="1" applyFont="1" applyFill="1" applyBorder="1" applyAlignment="1" applyProtection="1">
      <alignment/>
      <protection/>
    </xf>
    <xf numFmtId="0" fontId="9" fillId="0" borderId="36" xfId="0" applyFont="1" applyBorder="1" applyAlignment="1" applyProtection="1">
      <alignment/>
      <protection/>
    </xf>
    <xf numFmtId="0" fontId="9" fillId="0" borderId="37" xfId="0" applyFont="1" applyBorder="1" applyAlignment="1" applyProtection="1">
      <alignment/>
      <protection/>
    </xf>
    <xf numFmtId="3" fontId="9" fillId="0" borderId="38" xfId="0" applyNumberFormat="1" applyFont="1" applyBorder="1" applyAlignment="1" applyProtection="1">
      <alignment/>
      <protection/>
    </xf>
    <xf numFmtId="0" fontId="9" fillId="0" borderId="39" xfId="0" applyFont="1" applyBorder="1" applyAlignment="1" applyProtection="1">
      <alignment/>
      <protection/>
    </xf>
    <xf numFmtId="3" fontId="9" fillId="0" borderId="40" xfId="0" applyNumberFormat="1" applyFont="1" applyBorder="1" applyAlignment="1" applyProtection="1">
      <alignment/>
      <protection/>
    </xf>
    <xf numFmtId="0" fontId="9" fillId="0" borderId="41" xfId="0" applyFont="1" applyBorder="1" applyAlignment="1" applyProtection="1">
      <alignment/>
      <protection/>
    </xf>
    <xf numFmtId="0" fontId="9" fillId="0" borderId="37" xfId="0" applyFont="1" applyFill="1" applyBorder="1" applyAlignment="1" applyProtection="1">
      <alignment/>
      <protection/>
    </xf>
    <xf numFmtId="3" fontId="9" fillId="0" borderId="42" xfId="0" applyNumberFormat="1" applyFont="1" applyFill="1" applyBorder="1" applyAlignment="1" applyProtection="1">
      <alignment/>
      <protection/>
    </xf>
    <xf numFmtId="0" fontId="9" fillId="0" borderId="25" xfId="0" applyFont="1" applyBorder="1" applyAlignment="1" applyProtection="1">
      <alignment/>
      <protection/>
    </xf>
    <xf numFmtId="0" fontId="0" fillId="3" borderId="20" xfId="0" applyNumberFormat="1" applyFont="1" applyFill="1" applyBorder="1" applyAlignment="1" applyProtection="1">
      <alignment horizontal="center"/>
      <protection/>
    </xf>
    <xf numFmtId="0" fontId="9" fillId="0" borderId="33" xfId="0" applyNumberFormat="1" applyFont="1" applyFill="1" applyBorder="1" applyAlignment="1" applyProtection="1">
      <alignment horizontal="right"/>
      <protection/>
    </xf>
    <xf numFmtId="0" fontId="9" fillId="0" borderId="43" xfId="0" applyFont="1" applyBorder="1" applyAlignment="1" applyProtection="1">
      <alignment/>
      <protection/>
    </xf>
    <xf numFmtId="3" fontId="9" fillId="0" borderId="33" xfId="0" applyNumberFormat="1" applyFont="1" applyFill="1" applyBorder="1" applyAlignment="1" applyProtection="1">
      <alignment/>
      <protection/>
    </xf>
    <xf numFmtId="3" fontId="9" fillId="0" borderId="38" xfId="0" applyNumberFormat="1" applyFont="1" applyFill="1" applyBorder="1" applyAlignment="1" applyProtection="1">
      <alignment/>
      <protection/>
    </xf>
    <xf numFmtId="3" fontId="9" fillId="0" borderId="31" xfId="0" applyNumberFormat="1" applyFont="1" applyFill="1" applyBorder="1" applyAlignment="1" applyProtection="1">
      <alignment/>
      <protection/>
    </xf>
    <xf numFmtId="0" fontId="13" fillId="0" borderId="0" xfId="0" applyFont="1" applyBorder="1" applyAlignment="1" applyProtection="1">
      <alignment vertical="center"/>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horizontal="justify" wrapText="1"/>
      <protection/>
    </xf>
    <xf numFmtId="0" fontId="0" fillId="0" borderId="21" xfId="0" applyFont="1" applyBorder="1" applyAlignment="1" applyProtection="1">
      <alignment/>
      <protection/>
    </xf>
    <xf numFmtId="0" fontId="13" fillId="0" borderId="22" xfId="0" applyFont="1" applyBorder="1" applyAlignment="1" applyProtection="1">
      <alignment/>
      <protection/>
    </xf>
    <xf numFmtId="0" fontId="0" fillId="0" borderId="22" xfId="0" applyFont="1" applyBorder="1" applyAlignment="1" applyProtection="1">
      <alignment/>
      <protection/>
    </xf>
    <xf numFmtId="0" fontId="0" fillId="0" borderId="22" xfId="0" applyFont="1" applyBorder="1" applyAlignment="1" applyProtection="1">
      <alignment/>
      <protection/>
    </xf>
    <xf numFmtId="0" fontId="0" fillId="0" borderId="23" xfId="0" applyFont="1" applyBorder="1" applyAlignment="1" applyProtection="1">
      <alignment/>
      <protection/>
    </xf>
    <xf numFmtId="0" fontId="0" fillId="0" borderId="24" xfId="0" applyFont="1" applyBorder="1" applyAlignment="1" applyProtection="1">
      <alignment/>
      <protection/>
    </xf>
    <xf numFmtId="0" fontId="0" fillId="0" borderId="25" xfId="0" applyFont="1" applyBorder="1" applyAlignment="1" applyProtection="1">
      <alignment/>
      <protection/>
    </xf>
    <xf numFmtId="0" fontId="0" fillId="0" borderId="0" xfId="0" applyFont="1" applyBorder="1" applyAlignment="1" applyProtection="1">
      <alignment horizontal="left"/>
      <protection/>
    </xf>
    <xf numFmtId="0" fontId="21" fillId="0" borderId="0" xfId="0" applyFont="1" applyAlignment="1" applyProtection="1" quotePrefix="1">
      <alignment/>
      <protection/>
    </xf>
    <xf numFmtId="0" fontId="0" fillId="0" borderId="25" xfId="0" applyFont="1" applyBorder="1" applyAlignment="1" applyProtection="1">
      <alignment/>
      <protection/>
    </xf>
    <xf numFmtId="0" fontId="0" fillId="0" borderId="0" xfId="0" applyFont="1" applyFill="1" applyAlignment="1" applyProtection="1">
      <alignment/>
      <protection/>
    </xf>
    <xf numFmtId="0" fontId="0" fillId="0" borderId="44" xfId="0" applyFont="1" applyFill="1" applyBorder="1" applyAlignment="1" applyProtection="1">
      <alignment/>
      <protection/>
    </xf>
    <xf numFmtId="0" fontId="0" fillId="0" borderId="26" xfId="0" applyFont="1" applyFill="1" applyBorder="1" applyAlignment="1" applyProtection="1">
      <alignment/>
      <protection/>
    </xf>
    <xf numFmtId="0" fontId="11" fillId="0" borderId="26" xfId="0" applyFont="1" applyBorder="1" applyAlignment="1" applyProtection="1">
      <alignment vertical="top" wrapText="1"/>
      <protection locked="0"/>
    </xf>
    <xf numFmtId="0" fontId="0" fillId="0" borderId="26" xfId="0" applyFont="1" applyFill="1" applyBorder="1" applyAlignment="1" applyProtection="1">
      <alignment vertical="top" wrapText="1"/>
      <protection/>
    </xf>
    <xf numFmtId="0" fontId="11" fillId="0" borderId="26" xfId="0" applyFont="1" applyBorder="1" applyAlignment="1" applyProtection="1">
      <alignment vertical="top" wrapText="1"/>
      <protection/>
    </xf>
    <xf numFmtId="0" fontId="0" fillId="0" borderId="26" xfId="0" applyFont="1" applyFill="1" applyBorder="1" applyAlignment="1" applyProtection="1">
      <alignment vertical="top"/>
      <protection/>
    </xf>
    <xf numFmtId="0" fontId="0" fillId="0" borderId="27" xfId="0" applyFont="1" applyFill="1" applyBorder="1" applyAlignment="1" applyProtection="1">
      <alignment/>
      <protection/>
    </xf>
    <xf numFmtId="0" fontId="0" fillId="0" borderId="0" xfId="0" applyFont="1" applyFill="1" applyBorder="1" applyAlignment="1" applyProtection="1">
      <alignment vertical="top" wrapText="1"/>
      <protection/>
    </xf>
    <xf numFmtId="0" fontId="0" fillId="0" borderId="0" xfId="0" applyFont="1" applyFill="1" applyBorder="1" applyAlignment="1" applyProtection="1">
      <alignment vertical="top"/>
      <protection/>
    </xf>
    <xf numFmtId="0" fontId="13" fillId="0" borderId="7" xfId="0" applyFont="1" applyBorder="1" applyAlignment="1" applyProtection="1">
      <alignment vertical="center"/>
      <protection/>
    </xf>
    <xf numFmtId="0" fontId="13" fillId="0" borderId="0" xfId="0" applyFont="1" applyBorder="1" applyAlignment="1" applyProtection="1">
      <alignment/>
      <protection/>
    </xf>
    <xf numFmtId="0" fontId="13" fillId="0" borderId="0" xfId="0" applyFont="1" applyAlignment="1" applyProtection="1">
      <alignment/>
      <protection/>
    </xf>
    <xf numFmtId="0" fontId="13" fillId="0" borderId="5" xfId="0" applyFont="1" applyBorder="1" applyAlignment="1" applyProtection="1">
      <alignment vertical="center"/>
      <protection/>
    </xf>
    <xf numFmtId="0" fontId="0" fillId="0" borderId="5" xfId="0" applyFont="1" applyBorder="1" applyAlignment="1" applyProtection="1">
      <alignment/>
      <protection/>
    </xf>
    <xf numFmtId="37" fontId="0" fillId="0" borderId="0" xfId="0" applyNumberFormat="1" applyFont="1" applyBorder="1" applyAlignment="1" applyProtection="1">
      <alignment/>
      <protection/>
    </xf>
    <xf numFmtId="0" fontId="11" fillId="0" borderId="0" xfId="0" applyFont="1" applyBorder="1" applyAlignment="1" applyProtection="1">
      <alignment/>
      <protection/>
    </xf>
    <xf numFmtId="0" fontId="22" fillId="0" borderId="0" xfId="0" applyFont="1" applyAlignment="1" applyProtection="1">
      <alignment/>
      <protection/>
    </xf>
    <xf numFmtId="0" fontId="23" fillId="0" borderId="8" xfId="0" applyFont="1" applyBorder="1" applyAlignment="1" applyProtection="1">
      <alignment/>
      <protection/>
    </xf>
    <xf numFmtId="0" fontId="23" fillId="0" borderId="5" xfId="0" applyFont="1" applyBorder="1" applyAlignment="1" applyProtection="1">
      <alignment/>
      <protection/>
    </xf>
    <xf numFmtId="0" fontId="23" fillId="0" borderId="5" xfId="0" applyFont="1" applyBorder="1" applyAlignment="1" applyProtection="1">
      <alignment horizontal="left"/>
      <protection/>
    </xf>
    <xf numFmtId="0" fontId="23" fillId="0" borderId="5" xfId="0" applyFont="1" applyBorder="1" applyAlignment="1" applyProtection="1">
      <alignment/>
      <protection/>
    </xf>
    <xf numFmtId="0" fontId="23" fillId="0" borderId="5" xfId="0" applyFont="1" applyBorder="1" applyAlignment="1" applyProtection="1">
      <alignment vertical="center"/>
      <protection/>
    </xf>
    <xf numFmtId="0" fontId="23" fillId="0" borderId="17" xfId="0" applyFont="1" applyBorder="1" applyAlignment="1" applyProtection="1">
      <alignment/>
      <protection/>
    </xf>
    <xf numFmtId="0" fontId="23" fillId="0" borderId="0" xfId="0" applyFont="1" applyAlignment="1" applyProtection="1">
      <alignment/>
      <protection/>
    </xf>
    <xf numFmtId="37" fontId="0" fillId="3" borderId="3" xfId="0" applyNumberFormat="1" applyFont="1" applyFill="1" applyBorder="1" applyAlignment="1" applyProtection="1">
      <alignment vertical="center"/>
      <protection/>
    </xf>
    <xf numFmtId="0" fontId="13" fillId="0" borderId="36" xfId="0" applyFont="1" applyBorder="1" applyAlignment="1" applyProtection="1">
      <alignment/>
      <protection/>
    </xf>
    <xf numFmtId="0" fontId="0" fillId="0" borderId="15" xfId="0" applyFont="1" applyBorder="1" applyAlignment="1" applyProtection="1">
      <alignment/>
      <protection/>
    </xf>
    <xf numFmtId="14" fontId="13" fillId="0" borderId="36" xfId="0" applyNumberFormat="1" applyFont="1" applyBorder="1" applyAlignment="1" applyProtection="1" quotePrefix="1">
      <alignment horizontal="center"/>
      <protection/>
    </xf>
    <xf numFmtId="0" fontId="13" fillId="0" borderId="45" xfId="0" applyFont="1" applyBorder="1" applyAlignment="1" applyProtection="1">
      <alignment horizontal="center"/>
      <protection/>
    </xf>
    <xf numFmtId="0" fontId="13" fillId="0" borderId="46" xfId="0" applyFont="1" applyBorder="1" applyAlignment="1" applyProtection="1">
      <alignment horizontal="center"/>
      <protection/>
    </xf>
    <xf numFmtId="0" fontId="13" fillId="0" borderId="8" xfId="0" applyFont="1" applyBorder="1" applyAlignment="1" applyProtection="1">
      <alignment vertical="center"/>
      <protection/>
    </xf>
    <xf numFmtId="0" fontId="0" fillId="0" borderId="5" xfId="0" applyFont="1" applyBorder="1" applyAlignment="1" applyProtection="1">
      <alignment vertical="center"/>
      <protection/>
    </xf>
    <xf numFmtId="0" fontId="0" fillId="0" borderId="17" xfId="0" applyFont="1" applyBorder="1" applyAlignment="1" applyProtection="1">
      <alignment vertical="center"/>
      <protection/>
    </xf>
    <xf numFmtId="0" fontId="0" fillId="0" borderId="3" xfId="0" applyFont="1" applyBorder="1" applyAlignment="1" applyProtection="1">
      <alignment vertical="top"/>
      <protection/>
    </xf>
    <xf numFmtId="0" fontId="13" fillId="0" borderId="47" xfId="0" applyFont="1" applyBorder="1" applyAlignment="1" applyProtection="1">
      <alignment horizontal="center"/>
      <protection/>
    </xf>
    <xf numFmtId="0" fontId="13" fillId="0" borderId="6" xfId="0" applyFont="1" applyBorder="1" applyAlignment="1" applyProtection="1">
      <alignment horizontal="center"/>
      <protection/>
    </xf>
    <xf numFmtId="0" fontId="13" fillId="0" borderId="48" xfId="0" applyFont="1" applyBorder="1" applyAlignment="1" applyProtection="1">
      <alignment horizontal="center"/>
      <protection/>
    </xf>
    <xf numFmtId="0" fontId="0" fillId="0" borderId="0" xfId="0" applyFont="1" applyBorder="1" applyAlignment="1" applyProtection="1">
      <alignment vertical="top"/>
      <protection/>
    </xf>
    <xf numFmtId="0" fontId="13" fillId="0" borderId="8" xfId="0" applyFont="1" applyBorder="1" applyAlignment="1" applyProtection="1">
      <alignment/>
      <protection/>
    </xf>
    <xf numFmtId="0" fontId="13" fillId="0" borderId="8" xfId="0" applyFont="1" applyBorder="1" applyAlignment="1" applyProtection="1">
      <alignment horizontal="center"/>
      <protection/>
    </xf>
    <xf numFmtId="0" fontId="13" fillId="0" borderId="5" xfId="0" applyFont="1" applyBorder="1" applyAlignment="1" applyProtection="1">
      <alignment horizontal="center"/>
      <protection/>
    </xf>
    <xf numFmtId="0" fontId="13" fillId="0" borderId="17" xfId="0" applyFont="1" applyBorder="1" applyAlignment="1" applyProtection="1">
      <alignment horizontal="center"/>
      <protection/>
    </xf>
    <xf numFmtId="0" fontId="13" fillId="0" borderId="0" xfId="0" applyFont="1" applyBorder="1" applyAlignment="1" applyProtection="1">
      <alignment/>
      <protection/>
    </xf>
    <xf numFmtId="0" fontId="13" fillId="0" borderId="0" xfId="0" applyFont="1" applyBorder="1" applyAlignment="1" applyProtection="1">
      <alignment horizontal="center"/>
      <protection/>
    </xf>
    <xf numFmtId="0" fontId="0" fillId="0" borderId="0" xfId="0" applyFont="1" applyBorder="1" applyAlignment="1" applyProtection="1">
      <alignment horizontal="left" vertical="center"/>
      <protection/>
    </xf>
    <xf numFmtId="0" fontId="13" fillId="0" borderId="0" xfId="0" applyFont="1" applyBorder="1" applyAlignment="1" applyProtection="1">
      <alignment horizontal="center" wrapText="1"/>
      <protection/>
    </xf>
    <xf numFmtId="0" fontId="0" fillId="0" borderId="8" xfId="0" applyFont="1" applyBorder="1" applyAlignment="1" applyProtection="1">
      <alignment vertical="center"/>
      <protection/>
    </xf>
    <xf numFmtId="0" fontId="0" fillId="0" borderId="5" xfId="0" applyFont="1" applyBorder="1" applyAlignment="1" applyProtection="1">
      <alignment vertical="top"/>
      <protection/>
    </xf>
    <xf numFmtId="0" fontId="0" fillId="0" borderId="17" xfId="0" applyFont="1" applyBorder="1" applyAlignment="1" applyProtection="1">
      <alignment vertical="top"/>
      <protection/>
    </xf>
    <xf numFmtId="0" fontId="14" fillId="0" borderId="3" xfId="0" applyFont="1" applyBorder="1" applyAlignment="1" applyProtection="1">
      <alignment horizontal="center" vertical="top"/>
      <protection locked="0"/>
    </xf>
    <xf numFmtId="0" fontId="13" fillId="0" borderId="11" xfId="0" applyFont="1" applyBorder="1" applyAlignment="1" applyProtection="1">
      <alignment vertical="center"/>
      <protection/>
    </xf>
    <xf numFmtId="0" fontId="13" fillId="0" borderId="9" xfId="0" applyFont="1" applyBorder="1" applyAlignment="1" applyProtection="1">
      <alignment vertical="center"/>
      <protection/>
    </xf>
    <xf numFmtId="0" fontId="0" fillId="0" borderId="11" xfId="0" applyFont="1" applyBorder="1" applyAlignment="1" applyProtection="1">
      <alignment vertical="top"/>
      <protection locked="0"/>
    </xf>
    <xf numFmtId="0" fontId="0" fillId="0" borderId="9" xfId="0" applyFont="1" applyBorder="1" applyAlignment="1" applyProtection="1">
      <alignment vertical="top"/>
      <protection locked="0"/>
    </xf>
    <xf numFmtId="0" fontId="0" fillId="0" borderId="15" xfId="0" applyFont="1" applyBorder="1" applyAlignment="1" applyProtection="1">
      <alignment vertical="top"/>
      <protection locked="0"/>
    </xf>
    <xf numFmtId="0" fontId="0" fillId="0" borderId="8" xfId="0" applyFont="1" applyBorder="1" applyAlignment="1" applyProtection="1">
      <alignment vertical="top"/>
      <protection locked="0"/>
    </xf>
    <xf numFmtId="0" fontId="0" fillId="0" borderId="5" xfId="0" applyFont="1" applyBorder="1" applyAlignment="1" applyProtection="1">
      <alignment vertical="top"/>
      <protection locked="0"/>
    </xf>
    <xf numFmtId="0" fontId="0" fillId="0" borderId="17" xfId="0" applyFont="1" applyBorder="1" applyAlignment="1" applyProtection="1">
      <alignment vertical="top"/>
      <protection locked="0"/>
    </xf>
    <xf numFmtId="0" fontId="0" fillId="0" borderId="9" xfId="0" applyFont="1" applyBorder="1" applyAlignment="1" applyProtection="1">
      <alignment vertical="center"/>
      <protection/>
    </xf>
    <xf numFmtId="0" fontId="0" fillId="0" borderId="12" xfId="0" applyFont="1" applyBorder="1" applyAlignment="1" applyProtection="1">
      <alignment vertical="top"/>
      <protection locked="0"/>
    </xf>
    <xf numFmtId="0" fontId="0" fillId="0" borderId="0" xfId="0" applyFont="1" applyBorder="1" applyAlignment="1" applyProtection="1">
      <alignment vertical="top"/>
      <protection locked="0"/>
    </xf>
    <xf numFmtId="0" fontId="0" fillId="0" borderId="18" xfId="0" applyFont="1" applyBorder="1" applyAlignment="1" applyProtection="1">
      <alignment vertical="top"/>
      <protection locked="0"/>
    </xf>
    <xf numFmtId="0" fontId="0" fillId="0" borderId="12" xfId="0" applyFont="1" applyBorder="1" applyAlignment="1" applyProtection="1">
      <alignment vertical="center"/>
      <protection/>
    </xf>
    <xf numFmtId="0" fontId="0" fillId="0" borderId="0" xfId="0" applyFont="1" applyAlignment="1" applyProtection="1">
      <alignment vertical="center"/>
      <protection/>
    </xf>
    <xf numFmtId="0" fontId="0" fillId="0" borderId="15" xfId="0" applyFont="1" applyBorder="1" applyAlignment="1" applyProtection="1">
      <alignment vertical="center"/>
      <protection/>
    </xf>
    <xf numFmtId="37" fontId="0" fillId="0" borderId="11" xfId="0" applyNumberFormat="1" applyFont="1" applyFill="1" applyBorder="1" applyAlignment="1" applyProtection="1">
      <alignment vertical="center"/>
      <protection/>
    </xf>
    <xf numFmtId="37" fontId="0" fillId="0" borderId="9" xfId="0" applyNumberFormat="1" applyFont="1" applyFill="1" applyBorder="1" applyAlignment="1" applyProtection="1">
      <alignment vertical="center"/>
      <protection/>
    </xf>
    <xf numFmtId="37" fontId="0" fillId="0" borderId="15" xfId="0" applyNumberFormat="1" applyFont="1" applyFill="1" applyBorder="1" applyAlignment="1" applyProtection="1">
      <alignment vertical="center"/>
      <protection/>
    </xf>
    <xf numFmtId="0" fontId="0" fillId="0" borderId="11" xfId="0" applyFont="1" applyBorder="1" applyAlignment="1" applyProtection="1">
      <alignment/>
      <protection/>
    </xf>
    <xf numFmtId="0" fontId="0" fillId="0" borderId="9" xfId="0" applyFont="1" applyBorder="1" applyAlignment="1" applyProtection="1">
      <alignment/>
      <protection/>
    </xf>
    <xf numFmtId="37" fontId="0" fillId="0" borderId="12"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37" fontId="0" fillId="0" borderId="18" xfId="0" applyNumberFormat="1" applyFont="1" applyFill="1" applyBorder="1" applyAlignment="1" applyProtection="1">
      <alignment vertical="center"/>
      <protection/>
    </xf>
    <xf numFmtId="37" fontId="0" fillId="0" borderId="13" xfId="0" applyNumberFormat="1" applyFont="1" applyFill="1" applyBorder="1" applyAlignment="1" applyProtection="1">
      <alignment vertical="center"/>
      <protection/>
    </xf>
    <xf numFmtId="37" fontId="0" fillId="0" borderId="7" xfId="0" applyNumberFormat="1" applyFont="1" applyFill="1" applyBorder="1" applyAlignment="1" applyProtection="1">
      <alignment vertical="center"/>
      <protection/>
    </xf>
    <xf numFmtId="37" fontId="0" fillId="0" borderId="20" xfId="0" applyNumberFormat="1" applyFont="1" applyFill="1" applyBorder="1" applyAlignment="1" applyProtection="1">
      <alignment horizontal="right" vertical="center"/>
      <protection/>
    </xf>
    <xf numFmtId="37" fontId="0" fillId="0" borderId="20" xfId="0" applyNumberFormat="1" applyFont="1" applyFill="1" applyBorder="1" applyAlignment="1" applyProtection="1">
      <alignment vertical="center"/>
      <protection/>
    </xf>
    <xf numFmtId="37" fontId="0" fillId="0" borderId="3" xfId="0" applyNumberFormat="1" applyFont="1" applyFill="1" applyBorder="1" applyAlignment="1" applyProtection="1">
      <alignment vertical="center"/>
      <protection/>
    </xf>
    <xf numFmtId="0" fontId="0" fillId="0" borderId="0" xfId="0" applyFont="1" applyAlignment="1" applyProtection="1">
      <alignment vertical="top"/>
      <protection/>
    </xf>
    <xf numFmtId="0" fontId="0" fillId="0" borderId="0" xfId="0" applyFont="1" applyAlignment="1" applyProtection="1">
      <alignment vertical="top" wrapText="1"/>
      <protection/>
    </xf>
    <xf numFmtId="0" fontId="0" fillId="0" borderId="8" xfId="0" applyFont="1" applyFill="1" applyBorder="1" applyAlignment="1" applyProtection="1">
      <alignment vertical="top"/>
      <protection/>
    </xf>
    <xf numFmtId="3" fontId="0" fillId="0" borderId="17" xfId="0" applyNumberFormat="1" applyFont="1" applyFill="1" applyBorder="1" applyAlignment="1" applyProtection="1">
      <alignment horizontal="right"/>
      <protection locked="0"/>
    </xf>
    <xf numFmtId="3" fontId="0" fillId="0" borderId="7" xfId="0" applyNumberFormat="1" applyFont="1" applyFill="1" applyBorder="1" applyAlignment="1" applyProtection="1">
      <alignment horizontal="right"/>
      <protection/>
    </xf>
    <xf numFmtId="1" fontId="0" fillId="0" borderId="3" xfId="0" applyNumberFormat="1" applyFont="1" applyFill="1" applyBorder="1" applyAlignment="1" applyProtection="1">
      <alignment/>
      <protection locked="0"/>
    </xf>
    <xf numFmtId="14" fontId="6" fillId="0" borderId="5" xfId="0" applyNumberFormat="1" applyFont="1" applyBorder="1" applyAlignment="1" applyProtection="1">
      <alignment horizontal="right" vertical="center"/>
      <protection/>
    </xf>
    <xf numFmtId="0" fontId="13" fillId="0" borderId="0" xfId="0" applyFont="1" applyBorder="1" applyAlignment="1" applyProtection="1">
      <alignment horizontal="left" wrapText="1"/>
      <protection/>
    </xf>
    <xf numFmtId="16" fontId="0" fillId="0" borderId="0" xfId="0" applyNumberFormat="1" applyFont="1" applyBorder="1" applyAlignment="1" applyProtection="1" quotePrefix="1">
      <alignment horizontal="left"/>
      <protection/>
    </xf>
    <xf numFmtId="0" fontId="0" fillId="0" borderId="0" xfId="0" applyFont="1" applyBorder="1" applyAlignment="1" applyProtection="1" quotePrefix="1">
      <alignment horizontal="left"/>
      <protection/>
    </xf>
    <xf numFmtId="0" fontId="0" fillId="0" borderId="0" xfId="0" applyFont="1" applyAlignment="1" applyProtection="1">
      <alignment horizontal="left"/>
      <protection/>
    </xf>
    <xf numFmtId="0" fontId="0" fillId="0" borderId="0" xfId="0" applyFont="1" applyAlignment="1" applyProtection="1" quotePrefix="1">
      <alignment horizontal="left"/>
      <protection/>
    </xf>
    <xf numFmtId="0" fontId="0" fillId="3" borderId="2" xfId="0" applyNumberFormat="1" applyFont="1" applyFill="1" applyBorder="1" applyAlignment="1" applyProtection="1">
      <alignment horizontal="center"/>
      <protection/>
    </xf>
    <xf numFmtId="0" fontId="13" fillId="0" borderId="3" xfId="0" applyFont="1" applyFill="1" applyBorder="1" applyAlignment="1" applyProtection="1">
      <alignment horizontal="left" wrapText="1"/>
      <protection/>
    </xf>
    <xf numFmtId="0" fontId="13" fillId="0" borderId="0" xfId="0" applyFont="1" applyFill="1" applyBorder="1" applyAlignment="1" applyProtection="1">
      <alignment horizontal="left" wrapText="1"/>
      <protection/>
    </xf>
    <xf numFmtId="37" fontId="24" fillId="2" borderId="0" xfId="0" applyNumberFormat="1" applyFont="1" applyFill="1" applyAlignment="1" applyProtection="1">
      <alignment horizontal="left" vertical="center"/>
      <protection/>
    </xf>
    <xf numFmtId="0" fontId="13" fillId="0" borderId="0" xfId="0" applyFont="1" applyFill="1" applyBorder="1" applyAlignment="1" applyProtection="1">
      <alignment horizontal="left" vertical="center"/>
      <protection/>
    </xf>
    <xf numFmtId="0" fontId="13" fillId="0" borderId="5" xfId="0" applyNumberFormat="1" applyFont="1" applyBorder="1" applyAlignment="1" applyProtection="1">
      <alignment horizontal="left" vertical="center"/>
      <protection/>
    </xf>
    <xf numFmtId="0" fontId="13" fillId="0" borderId="0" xfId="0" applyNumberFormat="1" applyFont="1" applyBorder="1" applyAlignment="1" applyProtection="1">
      <alignment horizontal="left" vertical="center"/>
      <protection/>
    </xf>
    <xf numFmtId="0" fontId="13" fillId="0" borderId="3" xfId="0" applyFont="1" applyBorder="1" applyAlignment="1" applyProtection="1">
      <alignment horizontal="left"/>
      <protection/>
    </xf>
    <xf numFmtId="0" fontId="25" fillId="0" borderId="0" xfId="0" applyFont="1" applyFill="1" applyBorder="1" applyAlignment="1" applyProtection="1" quotePrefix="1">
      <alignment horizontal="left"/>
      <protection/>
    </xf>
    <xf numFmtId="0" fontId="13" fillId="0" borderId="6" xfId="0" applyFont="1" applyBorder="1" applyAlignment="1" applyProtection="1">
      <alignment horizontal="left" wrapText="1"/>
      <protection/>
    </xf>
    <xf numFmtId="0" fontId="25" fillId="0" borderId="0" xfId="0" applyFont="1" applyFill="1" applyBorder="1" applyAlignment="1" applyProtection="1">
      <alignment horizontal="left"/>
      <protection/>
    </xf>
    <xf numFmtId="0" fontId="26" fillId="0" borderId="0" xfId="0" applyFont="1" applyFill="1" applyAlignment="1" applyProtection="1">
      <alignment horizontal="left" vertical="center"/>
      <protection/>
    </xf>
    <xf numFmtId="0" fontId="13" fillId="0" borderId="0" xfId="0" applyFont="1" applyFill="1" applyBorder="1" applyAlignment="1" applyProtection="1">
      <alignment horizontal="left" vertical="center" wrapText="1"/>
      <protection/>
    </xf>
    <xf numFmtId="0" fontId="13" fillId="0" borderId="3" xfId="0" applyFont="1" applyFill="1" applyBorder="1" applyAlignment="1" applyProtection="1">
      <alignment horizontal="left"/>
      <protection/>
    </xf>
    <xf numFmtId="3" fontId="0" fillId="3" borderId="16" xfId="0" applyNumberFormat="1" applyFont="1" applyFill="1" applyBorder="1" applyAlignment="1" applyProtection="1">
      <alignment horizontal="center" vertical="center"/>
      <protection/>
    </xf>
    <xf numFmtId="3" fontId="0" fillId="3" borderId="2" xfId="0" applyNumberFormat="1" applyFont="1" applyFill="1" applyBorder="1" applyAlignment="1" applyProtection="1">
      <alignment horizontal="center" vertical="center"/>
      <protection/>
    </xf>
    <xf numFmtId="3" fontId="0" fillId="3" borderId="10" xfId="0" applyNumberFormat="1" applyFont="1" applyFill="1" applyBorder="1" applyAlignment="1" applyProtection="1">
      <alignment horizontal="center" vertical="center"/>
      <protection/>
    </xf>
    <xf numFmtId="0" fontId="13" fillId="0" borderId="3" xfId="0" applyNumberFormat="1" applyFont="1" applyFill="1" applyBorder="1" applyAlignment="1" applyProtection="1">
      <alignment/>
      <protection/>
    </xf>
    <xf numFmtId="1" fontId="13" fillId="0" borderId="3" xfId="0" applyNumberFormat="1" applyFont="1" applyFill="1" applyBorder="1" applyAlignment="1" applyProtection="1">
      <alignment horizontal="left"/>
      <protection/>
    </xf>
    <xf numFmtId="0" fontId="13" fillId="0" borderId="3" xfId="0" applyNumberFormat="1" applyFont="1" applyFill="1" applyBorder="1" applyAlignment="1" applyProtection="1">
      <alignment/>
      <protection/>
    </xf>
    <xf numFmtId="0" fontId="13" fillId="0" borderId="3" xfId="0" applyNumberFormat="1" applyFont="1" applyBorder="1" applyAlignment="1" applyProtection="1">
      <alignment horizontal="left"/>
      <protection/>
    </xf>
    <xf numFmtId="0" fontId="13" fillId="0" borderId="16" xfId="0" applyNumberFormat="1" applyFont="1" applyBorder="1" applyAlignment="1" applyProtection="1">
      <alignment horizontal="left"/>
      <protection/>
    </xf>
    <xf numFmtId="17" fontId="0" fillId="0" borderId="0" xfId="0" applyNumberFormat="1" applyFont="1" applyBorder="1" applyAlignment="1" applyProtection="1" quotePrefix="1">
      <alignment horizontal="left"/>
      <protection/>
    </xf>
    <xf numFmtId="3" fontId="0" fillId="5" borderId="3" xfId="0" applyNumberFormat="1" applyFont="1" applyFill="1" applyBorder="1" applyAlignment="1" applyProtection="1">
      <alignment/>
      <protection locked="0"/>
    </xf>
    <xf numFmtId="0" fontId="0" fillId="5" borderId="0" xfId="0" applyNumberFormat="1" applyFont="1" applyFill="1" applyBorder="1" applyAlignment="1" applyProtection="1">
      <alignment horizontal="left"/>
      <protection/>
    </xf>
    <xf numFmtId="0" fontId="27" fillId="0" borderId="0" xfId="0" applyFont="1" applyFill="1" applyBorder="1" applyAlignment="1" applyProtection="1">
      <alignment horizontal="left"/>
      <protection/>
    </xf>
    <xf numFmtId="0" fontId="14" fillId="0" borderId="0" xfId="0" applyFont="1" applyAlignment="1" applyProtection="1">
      <alignment vertical="center"/>
      <protection/>
    </xf>
    <xf numFmtId="0" fontId="14" fillId="0" borderId="0" xfId="0" applyFont="1" applyAlignment="1" applyProtection="1">
      <alignment horizontal="left"/>
      <protection/>
    </xf>
    <xf numFmtId="0" fontId="14" fillId="5" borderId="0" xfId="0" applyFont="1" applyFill="1" applyBorder="1" applyAlignment="1" applyProtection="1">
      <alignment horizontal="left" vertical="center"/>
      <protection/>
    </xf>
    <xf numFmtId="0" fontId="13" fillId="0" borderId="15" xfId="0" applyFont="1" applyBorder="1" applyAlignment="1" applyProtection="1">
      <alignment/>
      <protection/>
    </xf>
    <xf numFmtId="0" fontId="13" fillId="0" borderId="47" xfId="0" applyFont="1" applyBorder="1" applyAlignment="1" applyProtection="1">
      <alignment/>
      <protection/>
    </xf>
    <xf numFmtId="0" fontId="13" fillId="0" borderId="49" xfId="0" applyFont="1" applyBorder="1" applyAlignment="1" applyProtection="1">
      <alignment/>
      <protection/>
    </xf>
    <xf numFmtId="0" fontId="13" fillId="0" borderId="20" xfId="0" applyFont="1" applyBorder="1" applyAlignment="1" applyProtection="1">
      <alignment/>
      <protection/>
    </xf>
    <xf numFmtId="0" fontId="13" fillId="0" borderId="8" xfId="0" applyFont="1" applyBorder="1" applyAlignment="1" applyProtection="1">
      <alignment/>
      <protection/>
    </xf>
    <xf numFmtId="0" fontId="13" fillId="0" borderId="17" xfId="0" applyFont="1" applyBorder="1" applyAlignment="1" applyProtection="1">
      <alignment/>
      <protection/>
    </xf>
    <xf numFmtId="0" fontId="0" fillId="0" borderId="0" xfId="0" applyNumberFormat="1" applyFont="1" applyFill="1" applyBorder="1" applyAlignment="1" applyProtection="1">
      <alignment horizontal="center"/>
      <protection/>
    </xf>
    <xf numFmtId="0" fontId="0" fillId="3" borderId="3" xfId="0" applyNumberFormat="1" applyFont="1" applyFill="1" applyBorder="1" applyAlignment="1" applyProtection="1">
      <alignment horizontal="center"/>
      <protection/>
    </xf>
    <xf numFmtId="4" fontId="0" fillId="3" borderId="16" xfId="0" applyNumberFormat="1" applyFont="1" applyFill="1" applyBorder="1" applyAlignment="1" applyProtection="1">
      <alignment horizontal="center"/>
      <protection/>
    </xf>
    <xf numFmtId="0" fontId="0" fillId="3" borderId="12" xfId="0" applyNumberFormat="1" applyFont="1" applyFill="1" applyBorder="1" applyAlignment="1" applyProtection="1">
      <alignment horizontal="center" vertical="justify"/>
      <protection/>
    </xf>
    <xf numFmtId="0" fontId="0" fillId="3" borderId="2" xfId="0" applyNumberFormat="1" applyFont="1" applyFill="1" applyBorder="1" applyAlignment="1" applyProtection="1">
      <alignment horizontal="center" vertical="center"/>
      <protection/>
    </xf>
    <xf numFmtId="0" fontId="0" fillId="3" borderId="12" xfId="0" applyFill="1" applyBorder="1" applyAlignment="1" applyProtection="1">
      <alignment horizontal="center" vertical="justify"/>
      <protection/>
    </xf>
    <xf numFmtId="0" fontId="0" fillId="3" borderId="14" xfId="0" applyNumberFormat="1" applyFont="1" applyFill="1" applyBorder="1" applyAlignment="1" applyProtection="1">
      <alignment horizontal="center"/>
      <protection/>
    </xf>
    <xf numFmtId="0" fontId="0" fillId="3" borderId="8" xfId="0" applyNumberFormat="1" applyFont="1" applyFill="1" applyBorder="1" applyAlignment="1" applyProtection="1">
      <alignment horizontal="center"/>
      <protection/>
    </xf>
    <xf numFmtId="0" fontId="0" fillId="3" borderId="17" xfId="0" applyNumberFormat="1" applyFont="1" applyFill="1" applyBorder="1" applyAlignment="1" applyProtection="1">
      <alignment horizontal="center"/>
      <protection/>
    </xf>
    <xf numFmtId="0" fontId="0" fillId="3" borderId="5" xfId="0" applyNumberFormat="1" applyFont="1" applyFill="1" applyBorder="1" applyAlignment="1" applyProtection="1">
      <alignment horizontal="center"/>
      <protection/>
    </xf>
    <xf numFmtId="0" fontId="0" fillId="3" borderId="7" xfId="0" applyNumberFormat="1" applyFont="1" applyFill="1" applyBorder="1" applyAlignment="1" applyProtection="1">
      <alignment horizontal="center"/>
      <protection/>
    </xf>
    <xf numFmtId="0" fontId="0" fillId="0" borderId="0" xfId="0" applyFont="1" applyFill="1" applyBorder="1" applyAlignment="1" applyProtection="1">
      <alignment/>
      <protection/>
    </xf>
    <xf numFmtId="0" fontId="6" fillId="0" borderId="0" xfId="0" applyFont="1" applyFill="1" applyBorder="1" applyAlignment="1" applyProtection="1">
      <alignment vertical="center"/>
      <protection/>
    </xf>
    <xf numFmtId="0" fontId="6" fillId="0" borderId="0" xfId="0" applyFont="1" applyAlignment="1" applyProtection="1">
      <alignment vertical="center"/>
      <protection/>
    </xf>
    <xf numFmtId="0" fontId="6" fillId="0" borderId="0" xfId="0" applyNumberFormat="1" applyFont="1" applyBorder="1" applyAlignment="1" applyProtection="1">
      <alignment vertical="center"/>
      <protection/>
    </xf>
    <xf numFmtId="0" fontId="0" fillId="0" borderId="0" xfId="0" applyFont="1" applyAlignment="1" applyProtection="1">
      <alignment/>
      <protection/>
    </xf>
    <xf numFmtId="0" fontId="6" fillId="0" borderId="0" xfId="0" applyFont="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13" fillId="0" borderId="50" xfId="0" applyFont="1" applyFill="1" applyBorder="1" applyAlignment="1" applyProtection="1">
      <alignment horizontal="center" wrapText="1"/>
      <protection/>
    </xf>
    <xf numFmtId="40" fontId="0" fillId="0" borderId="43" xfId="19" applyNumberFormat="1" applyFont="1" applyFill="1" applyBorder="1" applyAlignment="1" applyProtection="1">
      <alignment vertical="center" wrapText="1"/>
      <protection/>
    </xf>
    <xf numFmtId="0" fontId="0" fillId="0" borderId="0" xfId="0" applyFont="1" applyFill="1" applyBorder="1" applyAlignment="1" applyProtection="1">
      <alignment/>
      <protection/>
    </xf>
    <xf numFmtId="40" fontId="0" fillId="0" borderId="43" xfId="19" applyNumberFormat="1" applyFont="1" applyFill="1" applyBorder="1" applyAlignment="1" applyProtection="1">
      <alignment horizontal="right" vertical="center" wrapText="1"/>
      <protection/>
    </xf>
    <xf numFmtId="40" fontId="0" fillId="0" borderId="0" xfId="19" applyNumberFormat="1" applyFont="1" applyFill="1" applyBorder="1" applyAlignment="1" applyProtection="1">
      <alignment vertical="center" wrapText="1"/>
      <protection/>
    </xf>
    <xf numFmtId="4" fontId="0" fillId="0" borderId="0" xfId="0" applyNumberFormat="1" applyFont="1" applyFill="1" applyBorder="1" applyAlignment="1" applyProtection="1">
      <alignment/>
      <protection/>
    </xf>
    <xf numFmtId="4" fontId="0" fillId="0" borderId="43" xfId="0" applyNumberFormat="1" applyFont="1" applyFill="1" applyBorder="1" applyAlignment="1" applyProtection="1">
      <alignment/>
      <protection/>
    </xf>
    <xf numFmtId="0" fontId="0" fillId="0" borderId="6" xfId="0" applyFont="1" applyFill="1" applyBorder="1" applyAlignment="1" applyProtection="1">
      <alignment/>
      <protection/>
    </xf>
    <xf numFmtId="40" fontId="0" fillId="0" borderId="6" xfId="19" applyNumberFormat="1" applyFont="1" applyFill="1" applyBorder="1" applyAlignment="1" applyProtection="1">
      <alignment vertical="center" wrapText="1"/>
      <protection/>
    </xf>
    <xf numFmtId="4" fontId="0" fillId="0" borderId="6" xfId="0" applyNumberFormat="1" applyFont="1" applyFill="1" applyBorder="1" applyAlignment="1" applyProtection="1">
      <alignment/>
      <protection/>
    </xf>
    <xf numFmtId="4" fontId="0" fillId="0" borderId="0" xfId="0" applyNumberFormat="1" applyFont="1" applyFill="1" applyBorder="1" applyAlignment="1" applyProtection="1">
      <alignment/>
      <protection/>
    </xf>
    <xf numFmtId="3" fontId="0" fillId="0" borderId="6" xfId="0" applyNumberFormat="1" applyFont="1" applyFill="1" applyBorder="1" applyAlignment="1" applyProtection="1">
      <alignment/>
      <protection/>
    </xf>
    <xf numFmtId="168" fontId="13" fillId="0" borderId="0" xfId="0" applyNumberFormat="1" applyFont="1" applyFill="1" applyBorder="1" applyAlignment="1" applyProtection="1">
      <alignment/>
      <protection/>
    </xf>
    <xf numFmtId="3" fontId="0" fillId="0" borderId="0" xfId="0" applyNumberFormat="1" applyFont="1" applyFill="1" applyBorder="1" applyAlignment="1" applyProtection="1">
      <alignment/>
      <protection/>
    </xf>
    <xf numFmtId="3" fontId="6" fillId="0" borderId="0" xfId="0" applyNumberFormat="1" applyFont="1" applyFill="1" applyBorder="1" applyAlignment="1" applyProtection="1">
      <alignment horizontal="center" vertical="center"/>
      <protection/>
    </xf>
    <xf numFmtId="4" fontId="6" fillId="0" borderId="0" xfId="0" applyNumberFormat="1" applyFont="1" applyFill="1" applyBorder="1" applyAlignment="1" applyProtection="1">
      <alignment horizontal="center" vertical="center"/>
      <protection/>
    </xf>
    <xf numFmtId="3" fontId="6" fillId="0" borderId="0" xfId="0" applyNumberFormat="1" applyFont="1" applyBorder="1" applyAlignment="1" applyProtection="1">
      <alignment horizontal="center" vertical="center"/>
      <protection/>
    </xf>
    <xf numFmtId="172" fontId="6" fillId="0" borderId="0" xfId="0" applyNumberFormat="1" applyFont="1" applyBorder="1" applyAlignment="1" applyProtection="1">
      <alignment horizontal="center" vertical="center"/>
      <protection/>
    </xf>
    <xf numFmtId="172"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43" fontId="29" fillId="0" borderId="31" xfId="19" applyFont="1" applyBorder="1" applyAlignment="1" applyProtection="1">
      <alignment/>
      <protection/>
    </xf>
    <xf numFmtId="43" fontId="29" fillId="0" borderId="37" xfId="19" applyFont="1" applyBorder="1" applyAlignment="1" applyProtection="1">
      <alignment/>
      <protection/>
    </xf>
    <xf numFmtId="4" fontId="29" fillId="0" borderId="0" xfId="0" applyNumberFormat="1" applyFont="1" applyBorder="1" applyAlignment="1" applyProtection="1">
      <alignment/>
      <protection/>
    </xf>
    <xf numFmtId="0" fontId="29" fillId="0" borderId="0" xfId="0" applyFont="1" applyBorder="1" applyAlignment="1" applyProtection="1">
      <alignment/>
      <protection/>
    </xf>
    <xf numFmtId="0" fontId="19" fillId="0" borderId="22" xfId="0" applyFont="1" applyBorder="1" applyAlignment="1" applyProtection="1">
      <alignment/>
      <protection/>
    </xf>
    <xf numFmtId="0" fontId="9" fillId="0" borderId="51" xfId="0" applyFont="1" applyBorder="1" applyAlignment="1" applyProtection="1">
      <alignment/>
      <protection/>
    </xf>
    <xf numFmtId="0" fontId="9" fillId="0" borderId="52" xfId="0" applyFont="1" applyBorder="1" applyAlignment="1" applyProtection="1">
      <alignment/>
      <protection/>
    </xf>
    <xf numFmtId="0" fontId="9" fillId="0" borderId="0" xfId="0" applyFont="1" applyBorder="1" applyAlignment="1" applyProtection="1">
      <alignment horizontal="right"/>
      <protection/>
    </xf>
    <xf numFmtId="0" fontId="9" fillId="0" borderId="53" xfId="0" applyFont="1" applyBorder="1" applyAlignment="1" applyProtection="1">
      <alignment/>
      <protection/>
    </xf>
    <xf numFmtId="0" fontId="9" fillId="0" borderId="54" xfId="0" applyFont="1" applyBorder="1" applyAlignment="1" applyProtection="1">
      <alignment/>
      <protection/>
    </xf>
    <xf numFmtId="43" fontId="9" fillId="0" borderId="0" xfId="19" applyFont="1" applyBorder="1" applyAlignment="1" applyProtection="1">
      <alignment/>
      <protection/>
    </xf>
    <xf numFmtId="43" fontId="29" fillId="0" borderId="0" xfId="19" applyFont="1" applyBorder="1" applyAlignment="1" applyProtection="1">
      <alignment/>
      <protection/>
    </xf>
    <xf numFmtId="43" fontId="9" fillId="0" borderId="0" xfId="19" applyFont="1" applyBorder="1" applyAlignment="1" applyProtection="1">
      <alignment horizontal="right"/>
      <protection/>
    </xf>
    <xf numFmtId="3" fontId="0" fillId="0" borderId="5" xfId="0" applyNumberFormat="1" applyFont="1" applyFill="1" applyBorder="1" applyAlignment="1" applyProtection="1">
      <alignment horizontal="right"/>
      <protection locked="0"/>
    </xf>
    <xf numFmtId="3" fontId="19" fillId="0" borderId="22" xfId="0" applyNumberFormat="1" applyFont="1" applyBorder="1" applyAlignment="1" applyProtection="1">
      <alignment/>
      <protection/>
    </xf>
    <xf numFmtId="3" fontId="0" fillId="0" borderId="17" xfId="0" applyNumberFormat="1" applyFont="1" applyFill="1" applyBorder="1" applyAlignment="1" applyProtection="1">
      <alignment horizontal="right"/>
      <protection/>
    </xf>
    <xf numFmtId="1" fontId="0" fillId="0" borderId="17" xfId="0" applyNumberFormat="1" applyFont="1" applyFill="1" applyBorder="1" applyAlignment="1" applyProtection="1">
      <alignment horizontal="right"/>
      <protection locked="0"/>
    </xf>
    <xf numFmtId="3" fontId="0" fillId="0" borderId="0" xfId="0" applyNumberFormat="1" applyBorder="1" applyAlignment="1" applyProtection="1">
      <alignment/>
      <protection/>
    </xf>
    <xf numFmtId="3" fontId="0" fillId="0" borderId="0" xfId="0" applyNumberFormat="1" applyFill="1" applyBorder="1" applyAlignment="1" applyProtection="1">
      <alignment/>
      <protection locked="0"/>
    </xf>
    <xf numFmtId="169" fontId="0" fillId="0" borderId="0" xfId="0" applyNumberFormat="1" applyFont="1" applyFill="1" applyBorder="1" applyAlignment="1" applyProtection="1">
      <alignment horizontal="right"/>
      <protection locked="0"/>
    </xf>
    <xf numFmtId="3" fontId="0" fillId="0" borderId="17" xfId="0" applyNumberFormat="1" applyFont="1" applyFill="1" applyBorder="1" applyAlignment="1" applyProtection="1">
      <alignment/>
      <protection locked="0"/>
    </xf>
    <xf numFmtId="2" fontId="0" fillId="0" borderId="17" xfId="0" applyNumberFormat="1" applyFont="1" applyFill="1" applyBorder="1" applyAlignment="1" applyProtection="1">
      <alignment/>
      <protection locked="0"/>
    </xf>
    <xf numFmtId="0" fontId="0" fillId="0" borderId="5" xfId="0" applyBorder="1" applyAlignment="1" applyProtection="1">
      <alignment/>
      <protection/>
    </xf>
    <xf numFmtId="3" fontId="0" fillId="0" borderId="5" xfId="0" applyNumberFormat="1" applyFont="1" applyFill="1" applyBorder="1" applyAlignment="1" applyProtection="1">
      <alignment/>
      <protection/>
    </xf>
    <xf numFmtId="0" fontId="0" fillId="0" borderId="9" xfId="0" applyBorder="1" applyAlignment="1" applyProtection="1">
      <alignment horizontal="left"/>
      <protection/>
    </xf>
    <xf numFmtId="0" fontId="0" fillId="0" borderId="9" xfId="0" applyBorder="1" applyAlignment="1" applyProtection="1">
      <alignment/>
      <protection/>
    </xf>
    <xf numFmtId="0" fontId="6" fillId="0" borderId="7" xfId="0" applyFont="1" applyFill="1" applyBorder="1" applyAlignment="1" applyProtection="1">
      <alignment vertical="center"/>
      <protection/>
    </xf>
    <xf numFmtId="0" fontId="6" fillId="0" borderId="5" xfId="0" applyFont="1" applyFill="1" applyBorder="1" applyAlignment="1" applyProtection="1">
      <alignment vertical="center"/>
      <protection/>
    </xf>
    <xf numFmtId="0" fontId="0" fillId="0" borderId="7" xfId="0" applyBorder="1" applyAlignment="1" applyProtection="1">
      <alignment/>
      <protection/>
    </xf>
    <xf numFmtId="0" fontId="0" fillId="0" borderId="18" xfId="0" applyBorder="1" applyAlignment="1" applyProtection="1">
      <alignment/>
      <protection/>
    </xf>
    <xf numFmtId="0" fontId="0" fillId="0" borderId="17" xfId="0" applyBorder="1" applyAlignment="1" applyProtection="1">
      <alignment/>
      <protection/>
    </xf>
    <xf numFmtId="0" fontId="0" fillId="0" borderId="20" xfId="0" applyBorder="1" applyAlignment="1" applyProtection="1">
      <alignment/>
      <protection/>
    </xf>
    <xf numFmtId="0" fontId="6" fillId="0" borderId="9" xfId="0" applyFont="1" applyFill="1" applyBorder="1" applyAlignment="1" applyProtection="1">
      <alignment vertical="center"/>
      <protection/>
    </xf>
    <xf numFmtId="3" fontId="0" fillId="0" borderId="5" xfId="0" applyNumberFormat="1" applyFont="1" applyFill="1" applyBorder="1" applyAlignment="1" applyProtection="1">
      <alignment/>
      <protection/>
    </xf>
    <xf numFmtId="3" fontId="0" fillId="0" borderId="5" xfId="0" applyNumberFormat="1" applyFont="1" applyBorder="1" applyAlignment="1" applyProtection="1">
      <alignment/>
      <protection/>
    </xf>
    <xf numFmtId="0" fontId="0" fillId="0" borderId="5" xfId="0" applyNumberFormat="1" applyFont="1" applyBorder="1" applyAlignment="1" applyProtection="1">
      <alignment horizontal="right"/>
      <protection/>
    </xf>
    <xf numFmtId="0" fontId="0" fillId="0" borderId="0" xfId="0" applyFont="1" applyAlignment="1" applyProtection="1">
      <alignment/>
      <protection hidden="1"/>
    </xf>
    <xf numFmtId="0" fontId="22" fillId="0" borderId="0" xfId="0" applyFont="1" applyAlignment="1" applyProtection="1">
      <alignment/>
      <protection hidden="1"/>
    </xf>
    <xf numFmtId="0" fontId="23" fillId="0" borderId="0" xfId="0" applyFont="1" applyAlignment="1" applyProtection="1">
      <alignment/>
      <protection hidden="1"/>
    </xf>
    <xf numFmtId="0" fontId="11" fillId="0" borderId="0" xfId="0" applyFont="1" applyFill="1" applyAlignment="1" applyProtection="1">
      <alignment/>
      <protection hidden="1"/>
    </xf>
    <xf numFmtId="3" fontId="0" fillId="5" borderId="3" xfId="0" applyNumberFormat="1" applyFont="1" applyFill="1" applyBorder="1" applyAlignment="1" applyProtection="1">
      <alignment/>
      <protection/>
    </xf>
    <xf numFmtId="3" fontId="0" fillId="5" borderId="17" xfId="0" applyNumberFormat="1" applyFont="1" applyFill="1" applyBorder="1" applyAlignment="1" applyProtection="1">
      <alignment/>
      <protection/>
    </xf>
    <xf numFmtId="0" fontId="0" fillId="0" borderId="0" xfId="0" applyFont="1" applyFill="1" applyBorder="1" applyAlignment="1" applyProtection="1">
      <alignment vertical="center"/>
      <protection/>
    </xf>
    <xf numFmtId="0" fontId="11" fillId="0" borderId="0" xfId="0" applyFont="1" applyFill="1" applyBorder="1" applyAlignment="1" applyProtection="1">
      <alignment/>
      <protection hidden="1"/>
    </xf>
    <xf numFmtId="0" fontId="7" fillId="0" borderId="3" xfId="0" applyFont="1" applyBorder="1" applyAlignment="1" applyProtection="1">
      <alignment horizontal="center" wrapText="1"/>
      <protection/>
    </xf>
    <xf numFmtId="1" fontId="0" fillId="0" borderId="3" xfId="0" applyNumberFormat="1" applyFont="1" applyBorder="1" applyAlignment="1" applyProtection="1">
      <alignment/>
      <protection/>
    </xf>
    <xf numFmtId="0" fontId="0" fillId="0" borderId="17" xfId="0" applyNumberFormat="1" applyFont="1" applyBorder="1" applyAlignment="1" applyProtection="1">
      <alignment/>
      <protection locked="0"/>
    </xf>
    <xf numFmtId="0" fontId="0" fillId="0" borderId="0" xfId="0" applyFont="1" applyFill="1" applyAlignment="1" applyProtection="1">
      <alignment/>
      <protection hidden="1"/>
    </xf>
    <xf numFmtId="0" fontId="0" fillId="0" borderId="0" xfId="0" applyFont="1" applyFill="1" applyAlignment="1" applyProtection="1" quotePrefix="1">
      <alignment/>
      <protection hidden="1"/>
    </xf>
    <xf numFmtId="0" fontId="0" fillId="0" borderId="0" xfId="0" applyFont="1" applyFill="1" applyBorder="1" applyAlignment="1" applyProtection="1">
      <alignment/>
      <protection hidden="1"/>
    </xf>
    <xf numFmtId="0" fontId="27" fillId="0" borderId="0" xfId="0" applyFont="1" applyFill="1" applyBorder="1" applyAlignment="1" applyProtection="1">
      <alignment vertical="top"/>
      <protection/>
    </xf>
    <xf numFmtId="0" fontId="0" fillId="3" borderId="11" xfId="0" applyNumberFormat="1" applyFont="1" applyFill="1" applyBorder="1" applyAlignment="1" applyProtection="1">
      <alignment/>
      <protection/>
    </xf>
    <xf numFmtId="0" fontId="0" fillId="3" borderId="12" xfId="0" applyNumberFormat="1" applyFont="1" applyFill="1" applyBorder="1" applyAlignment="1" applyProtection="1">
      <alignment/>
      <protection/>
    </xf>
    <xf numFmtId="0" fontId="0" fillId="3" borderId="2" xfId="0" applyNumberFormat="1" applyFont="1" applyFill="1" applyBorder="1" applyAlignment="1" applyProtection="1">
      <alignment/>
      <protection/>
    </xf>
    <xf numFmtId="0" fontId="16" fillId="0" borderId="0" xfId="0" applyNumberFormat="1" applyFont="1" applyBorder="1" applyAlignment="1" applyProtection="1">
      <alignment horizontal="left"/>
      <protection/>
    </xf>
    <xf numFmtId="0" fontId="9" fillId="0" borderId="55" xfId="0" applyFont="1" applyBorder="1" applyAlignment="1" applyProtection="1">
      <alignment/>
      <protection/>
    </xf>
    <xf numFmtId="0" fontId="9" fillId="0" borderId="56" xfId="0" applyFont="1" applyBorder="1" applyAlignment="1" applyProtection="1">
      <alignment/>
      <protection/>
    </xf>
    <xf numFmtId="0" fontId="9" fillId="0" borderId="57" xfId="0" applyFont="1" applyBorder="1" applyAlignment="1" applyProtection="1">
      <alignment/>
      <protection/>
    </xf>
    <xf numFmtId="0" fontId="9" fillId="0" borderId="58" xfId="0" applyFont="1" applyBorder="1" applyAlignment="1" applyProtection="1">
      <alignment/>
      <protection/>
    </xf>
    <xf numFmtId="14" fontId="13" fillId="0" borderId="8" xfId="0" applyNumberFormat="1" applyFont="1" applyBorder="1" applyAlignment="1" applyProtection="1">
      <alignment horizontal="left"/>
      <protection/>
    </xf>
    <xf numFmtId="0" fontId="0" fillId="0" borderId="17" xfId="0" applyFill="1" applyBorder="1" applyAlignment="1" applyProtection="1">
      <alignment/>
      <protection locked="0"/>
    </xf>
    <xf numFmtId="3" fontId="9" fillId="0" borderId="59" xfId="0" applyNumberFormat="1" applyFont="1" applyBorder="1" applyAlignment="1" applyProtection="1">
      <alignment/>
      <protection/>
    </xf>
    <xf numFmtId="3" fontId="9" fillId="0" borderId="60" xfId="0" applyNumberFormat="1" applyFont="1" applyBorder="1" applyAlignment="1" applyProtection="1">
      <alignment/>
      <protection/>
    </xf>
    <xf numFmtId="4" fontId="0" fillId="0" borderId="8" xfId="0" applyNumberFormat="1" applyFont="1" applyFill="1" applyBorder="1" applyAlignment="1" applyProtection="1">
      <alignment horizontal="right"/>
      <protection/>
    </xf>
    <xf numFmtId="0" fontId="9" fillId="0" borderId="61" xfId="0" applyFont="1" applyBorder="1" applyAlignment="1" applyProtection="1">
      <alignment/>
      <protection/>
    </xf>
    <xf numFmtId="173" fontId="9" fillId="0" borderId="0" xfId="0" applyNumberFormat="1" applyFont="1" applyBorder="1" applyAlignment="1" applyProtection="1">
      <alignment/>
      <protection/>
    </xf>
    <xf numFmtId="0" fontId="19" fillId="0" borderId="8" xfId="0" applyFont="1" applyBorder="1" applyAlignment="1" applyProtection="1">
      <alignment/>
      <protection/>
    </xf>
    <xf numFmtId="4" fontId="9" fillId="0" borderId="5" xfId="0" applyNumberFormat="1" applyFont="1" applyBorder="1" applyAlignment="1" applyProtection="1">
      <alignment/>
      <protection/>
    </xf>
    <xf numFmtId="3" fontId="9" fillId="0" borderId="5" xfId="0" applyNumberFormat="1" applyFont="1" applyBorder="1" applyAlignment="1" applyProtection="1">
      <alignment/>
      <protection/>
    </xf>
    <xf numFmtId="3" fontId="9" fillId="0" borderId="17" xfId="0" applyNumberFormat="1" applyFont="1" applyBorder="1" applyAlignment="1" applyProtection="1">
      <alignment/>
      <protection/>
    </xf>
    <xf numFmtId="0" fontId="9" fillId="0" borderId="8" xfId="0" applyFont="1" applyBorder="1" applyAlignment="1" applyProtection="1">
      <alignment/>
      <protection/>
    </xf>
    <xf numFmtId="3" fontId="9" fillId="0" borderId="30" xfId="0" applyNumberFormat="1" applyFont="1" applyFill="1" applyBorder="1" applyAlignment="1" applyProtection="1">
      <alignment/>
      <protection/>
    </xf>
    <xf numFmtId="4" fontId="9" fillId="0" borderId="31" xfId="0" applyNumberFormat="1" applyFont="1" applyBorder="1" applyAlignment="1" applyProtection="1">
      <alignment/>
      <protection/>
    </xf>
    <xf numFmtId="3" fontId="9" fillId="0" borderId="31" xfId="0" applyNumberFormat="1" applyFont="1" applyBorder="1" applyAlignment="1" applyProtection="1">
      <alignment/>
      <protection/>
    </xf>
    <xf numFmtId="4" fontId="29" fillId="0" borderId="31" xfId="0" applyNumberFormat="1" applyFont="1" applyBorder="1" applyAlignment="1" applyProtection="1">
      <alignment/>
      <protection/>
    </xf>
    <xf numFmtId="4" fontId="29" fillId="0" borderId="32" xfId="0" applyNumberFormat="1" applyFont="1" applyBorder="1" applyAlignment="1" applyProtection="1">
      <alignment/>
      <protection/>
    </xf>
    <xf numFmtId="3" fontId="9" fillId="0" borderId="32" xfId="0" applyNumberFormat="1" applyFont="1" applyBorder="1" applyAlignment="1" applyProtection="1">
      <alignment/>
      <protection/>
    </xf>
    <xf numFmtId="0" fontId="29" fillId="0" borderId="31" xfId="0" applyFont="1" applyBorder="1" applyAlignment="1" applyProtection="1">
      <alignment/>
      <protection/>
    </xf>
    <xf numFmtId="3" fontId="9" fillId="0" borderId="30" xfId="0" applyNumberFormat="1" applyFont="1" applyBorder="1" applyAlignment="1" applyProtection="1">
      <alignment/>
      <protection/>
    </xf>
    <xf numFmtId="4" fontId="9" fillId="0" borderId="32" xfId="0" applyNumberFormat="1" applyFont="1" applyBorder="1" applyAlignment="1" applyProtection="1">
      <alignment/>
      <protection/>
    </xf>
    <xf numFmtId="4" fontId="29" fillId="0" borderId="30" xfId="0" applyNumberFormat="1" applyFont="1" applyBorder="1" applyAlignment="1" applyProtection="1">
      <alignment/>
      <protection/>
    </xf>
    <xf numFmtId="0" fontId="9" fillId="0" borderId="62" xfId="0" applyFont="1" applyBorder="1" applyAlignment="1" applyProtection="1">
      <alignment/>
      <protection/>
    </xf>
    <xf numFmtId="0" fontId="9" fillId="0" borderId="63" xfId="0" applyFont="1" applyBorder="1" applyAlignment="1" applyProtection="1">
      <alignment/>
      <protection/>
    </xf>
    <xf numFmtId="0" fontId="9" fillId="0" borderId="45" xfId="0" applyFont="1" applyBorder="1" applyAlignment="1" applyProtection="1">
      <alignment/>
      <protection/>
    </xf>
    <xf numFmtId="0" fontId="9" fillId="0" borderId="31" xfId="0" applyFont="1" applyBorder="1" applyAlignment="1" applyProtection="1">
      <alignment horizontal="right"/>
      <protection/>
    </xf>
    <xf numFmtId="4" fontId="9" fillId="0" borderId="37" xfId="0" applyNumberFormat="1" applyFont="1" applyBorder="1" applyAlignment="1" applyProtection="1">
      <alignment/>
      <protection/>
    </xf>
    <xf numFmtId="0" fontId="9" fillId="0" borderId="64" xfId="0" applyFont="1" applyBorder="1" applyAlignment="1" applyProtection="1">
      <alignment/>
      <protection/>
    </xf>
    <xf numFmtId="0" fontId="9" fillId="0" borderId="31" xfId="0" applyFont="1" applyFill="1" applyBorder="1" applyAlignment="1" applyProtection="1">
      <alignment/>
      <protection/>
    </xf>
    <xf numFmtId="2" fontId="29" fillId="0" borderId="31" xfId="0" applyNumberFormat="1" applyFont="1" applyBorder="1" applyAlignment="1" applyProtection="1">
      <alignment/>
      <protection/>
    </xf>
    <xf numFmtId="0" fontId="29" fillId="0" borderId="30" xfId="0" applyFont="1" applyBorder="1" applyAlignment="1" applyProtection="1">
      <alignment/>
      <protection/>
    </xf>
    <xf numFmtId="0" fontId="29" fillId="0" borderId="32" xfId="0" applyFont="1" applyBorder="1" applyAlignment="1" applyProtection="1">
      <alignment/>
      <protection/>
    </xf>
    <xf numFmtId="3" fontId="9" fillId="0" borderId="32" xfId="0" applyNumberFormat="1" applyFont="1" applyFill="1" applyBorder="1" applyAlignment="1" applyProtection="1">
      <alignment/>
      <protection/>
    </xf>
    <xf numFmtId="3" fontId="9" fillId="0" borderId="42" xfId="0" applyNumberFormat="1" applyFont="1" applyBorder="1" applyAlignment="1" applyProtection="1">
      <alignment/>
      <protection/>
    </xf>
    <xf numFmtId="0" fontId="9" fillId="0" borderId="65" xfId="0" applyFont="1" applyBorder="1" applyAlignment="1" applyProtection="1">
      <alignment/>
      <protection/>
    </xf>
    <xf numFmtId="0" fontId="9" fillId="0" borderId="66" xfId="0" applyFont="1" applyBorder="1" applyAlignment="1" applyProtection="1">
      <alignment/>
      <protection/>
    </xf>
    <xf numFmtId="4" fontId="9" fillId="0" borderId="67" xfId="0" applyNumberFormat="1" applyFont="1" applyBorder="1" applyAlignment="1" applyProtection="1">
      <alignment/>
      <protection/>
    </xf>
    <xf numFmtId="3" fontId="9" fillId="0" borderId="68" xfId="0" applyNumberFormat="1" applyFont="1" applyBorder="1" applyAlignment="1" applyProtection="1">
      <alignment/>
      <protection/>
    </xf>
    <xf numFmtId="0" fontId="9" fillId="0" borderId="69" xfId="0" applyFont="1" applyBorder="1" applyAlignment="1" applyProtection="1">
      <alignment/>
      <protection/>
    </xf>
    <xf numFmtId="3" fontId="9" fillId="0" borderId="70" xfId="0" applyNumberFormat="1" applyFont="1" applyBorder="1" applyAlignment="1" applyProtection="1">
      <alignment/>
      <protection/>
    </xf>
    <xf numFmtId="0" fontId="9" fillId="0" borderId="71" xfId="0" applyFont="1" applyBorder="1" applyAlignment="1" applyProtection="1">
      <alignment/>
      <protection/>
    </xf>
    <xf numFmtId="3" fontId="9" fillId="0" borderId="72" xfId="0" applyNumberFormat="1" applyFont="1" applyBorder="1" applyAlignment="1" applyProtection="1">
      <alignment/>
      <protection/>
    </xf>
    <xf numFmtId="3" fontId="9" fillId="0" borderId="73" xfId="0" applyNumberFormat="1" applyFont="1" applyBorder="1" applyAlignment="1" applyProtection="1">
      <alignment/>
      <protection/>
    </xf>
    <xf numFmtId="3" fontId="9" fillId="0" borderId="37" xfId="0" applyNumberFormat="1" applyFont="1" applyBorder="1" applyAlignment="1" applyProtection="1">
      <alignment/>
      <protection/>
    </xf>
    <xf numFmtId="0" fontId="9" fillId="0" borderId="74" xfId="0" applyFont="1" applyBorder="1" applyAlignment="1" applyProtection="1">
      <alignment/>
      <protection/>
    </xf>
    <xf numFmtId="0" fontId="9" fillId="0" borderId="75" xfId="0" applyFont="1" applyBorder="1" applyAlignment="1" applyProtection="1">
      <alignment/>
      <protection/>
    </xf>
    <xf numFmtId="3" fontId="9" fillId="0" borderId="67" xfId="0" applyNumberFormat="1" applyFont="1" applyBorder="1" applyAlignment="1" applyProtection="1">
      <alignment/>
      <protection/>
    </xf>
    <xf numFmtId="4" fontId="9" fillId="0" borderId="41" xfId="0" applyNumberFormat="1" applyFont="1" applyBorder="1" applyAlignment="1" applyProtection="1">
      <alignment/>
      <protection/>
    </xf>
    <xf numFmtId="4" fontId="9" fillId="0" borderId="39" xfId="0" applyNumberFormat="1" applyFont="1" applyBorder="1" applyAlignment="1" applyProtection="1">
      <alignment/>
      <protection/>
    </xf>
    <xf numFmtId="0" fontId="9" fillId="0" borderId="76" xfId="0" applyFont="1" applyBorder="1" applyAlignment="1" applyProtection="1">
      <alignment/>
      <protection/>
    </xf>
    <xf numFmtId="3" fontId="9" fillId="0" borderId="77" xfId="0" applyNumberFormat="1" applyFont="1" applyFill="1" applyBorder="1" applyAlignment="1" applyProtection="1">
      <alignment/>
      <protection/>
    </xf>
    <xf numFmtId="43" fontId="9" fillId="0" borderId="43" xfId="19" applyFont="1" applyBorder="1" applyAlignment="1" applyProtection="1">
      <alignment/>
      <protection/>
    </xf>
    <xf numFmtId="0" fontId="9" fillId="0" borderId="67" xfId="0" applyFont="1" applyBorder="1" applyAlignment="1" applyProtection="1">
      <alignment/>
      <protection/>
    </xf>
    <xf numFmtId="3" fontId="9" fillId="0" borderId="78" xfId="0" applyNumberFormat="1" applyFont="1" applyFill="1" applyBorder="1" applyAlignment="1" applyProtection="1">
      <alignment/>
      <protection/>
    </xf>
    <xf numFmtId="3" fontId="9" fillId="0" borderId="59" xfId="0" applyNumberFormat="1" applyFont="1" applyFill="1" applyBorder="1" applyAlignment="1" applyProtection="1">
      <alignment/>
      <protection/>
    </xf>
    <xf numFmtId="3" fontId="9" fillId="0" borderId="70" xfId="0" applyNumberFormat="1" applyFont="1" applyFill="1" applyBorder="1" applyAlignment="1" applyProtection="1">
      <alignment/>
      <protection/>
    </xf>
    <xf numFmtId="3" fontId="9" fillId="0" borderId="60" xfId="0" applyNumberFormat="1" applyFont="1" applyFill="1" applyBorder="1" applyAlignment="1" applyProtection="1">
      <alignment/>
      <protection/>
    </xf>
    <xf numFmtId="0" fontId="9" fillId="0" borderId="79" xfId="0" applyFont="1" applyBorder="1" applyAlignment="1" applyProtection="1">
      <alignment/>
      <protection/>
    </xf>
    <xf numFmtId="0" fontId="9" fillId="0" borderId="80" xfId="0" applyFont="1" applyBorder="1" applyAlignment="1" applyProtection="1">
      <alignment/>
      <protection/>
    </xf>
    <xf numFmtId="3" fontId="9" fillId="0" borderId="41" xfId="0" applyNumberFormat="1" applyFont="1" applyBorder="1" applyAlignment="1" applyProtection="1">
      <alignment/>
      <protection/>
    </xf>
    <xf numFmtId="1" fontId="9" fillId="0" borderId="38" xfId="0" applyNumberFormat="1" applyFont="1" applyBorder="1" applyAlignment="1" applyProtection="1">
      <alignment/>
      <protection/>
    </xf>
    <xf numFmtId="0" fontId="9" fillId="0" borderId="0" xfId="0" applyFont="1" applyBorder="1" applyAlignment="1" applyProtection="1" quotePrefix="1">
      <alignment/>
      <protection/>
    </xf>
    <xf numFmtId="0" fontId="9" fillId="0" borderId="81" xfId="0" applyFont="1" applyBorder="1" applyAlignment="1" applyProtection="1">
      <alignment/>
      <protection/>
    </xf>
    <xf numFmtId="0" fontId="9" fillId="0" borderId="82" xfId="0" applyFont="1" applyBorder="1" applyAlignment="1" applyProtection="1">
      <alignment/>
      <protection/>
    </xf>
    <xf numFmtId="0" fontId="0" fillId="0" borderId="0" xfId="0" applyNumberFormat="1" applyFont="1" applyBorder="1" applyAlignment="1" applyProtection="1">
      <alignment horizontal="right"/>
      <protection/>
    </xf>
    <xf numFmtId="0" fontId="19" fillId="0" borderId="83" xfId="0" applyFont="1" applyBorder="1" applyAlignment="1" applyProtection="1">
      <alignment horizontal="right"/>
      <protection/>
    </xf>
    <xf numFmtId="0" fontId="19" fillId="0" borderId="84" xfId="0" applyFont="1" applyBorder="1" applyAlignment="1" applyProtection="1">
      <alignment horizontal="right"/>
      <protection/>
    </xf>
    <xf numFmtId="3" fontId="9" fillId="0" borderId="85" xfId="0" applyNumberFormat="1" applyFont="1" applyFill="1" applyBorder="1" applyAlignment="1" applyProtection="1">
      <alignment/>
      <protection/>
    </xf>
    <xf numFmtId="4" fontId="29" fillId="0" borderId="43" xfId="0" applyNumberFormat="1" applyFont="1" applyBorder="1" applyAlignment="1" applyProtection="1">
      <alignment/>
      <protection/>
    </xf>
    <xf numFmtId="0" fontId="29" fillId="0" borderId="43" xfId="0" applyFont="1" applyBorder="1" applyAlignment="1" applyProtection="1">
      <alignment/>
      <protection/>
    </xf>
    <xf numFmtId="43" fontId="9" fillId="0" borderId="35" xfId="19" applyFont="1" applyBorder="1" applyAlignment="1" applyProtection="1">
      <alignment/>
      <protection/>
    </xf>
    <xf numFmtId="0" fontId="9" fillId="0" borderId="11" xfId="0" applyFont="1" applyBorder="1" applyAlignment="1" applyProtection="1">
      <alignment/>
      <protection/>
    </xf>
    <xf numFmtId="4" fontId="9" fillId="0" borderId="80" xfId="0" applyNumberFormat="1" applyFont="1" applyBorder="1" applyAlignment="1" applyProtection="1">
      <alignment/>
      <protection/>
    </xf>
    <xf numFmtId="0" fontId="9" fillId="0" borderId="86" xfId="0" applyFont="1" applyBorder="1" applyAlignment="1" applyProtection="1">
      <alignment/>
      <protection/>
    </xf>
    <xf numFmtId="0" fontId="9" fillId="0" borderId="6" xfId="0" applyFont="1" applyBorder="1" applyAlignment="1" applyProtection="1">
      <alignment/>
      <protection/>
    </xf>
    <xf numFmtId="0" fontId="9" fillId="0" borderId="85" xfId="0" applyFont="1" applyBorder="1" applyAlignment="1" applyProtection="1">
      <alignment/>
      <protection/>
    </xf>
    <xf numFmtId="0" fontId="9" fillId="0" borderId="44" xfId="0" applyFont="1" applyBorder="1" applyAlignment="1" applyProtection="1">
      <alignment/>
      <protection/>
    </xf>
    <xf numFmtId="3" fontId="9" fillId="0" borderId="87" xfId="0" applyNumberFormat="1" applyFont="1" applyFill="1" applyBorder="1" applyAlignment="1" applyProtection="1">
      <alignment/>
      <protection/>
    </xf>
    <xf numFmtId="3" fontId="9" fillId="0" borderId="68" xfId="0" applyNumberFormat="1" applyFont="1" applyFill="1" applyBorder="1" applyAlignment="1" applyProtection="1">
      <alignment/>
      <protection/>
    </xf>
    <xf numFmtId="0" fontId="29" fillId="0" borderId="0" xfId="0" applyFont="1" applyBorder="1" applyAlignment="1" applyProtection="1">
      <alignment horizontal="right"/>
      <protection/>
    </xf>
    <xf numFmtId="4" fontId="9" fillId="0" borderId="43" xfId="0" applyNumberFormat="1" applyFont="1" applyBorder="1" applyAlignment="1" applyProtection="1">
      <alignment/>
      <protection/>
    </xf>
    <xf numFmtId="0" fontId="9" fillId="0" borderId="88" xfId="0" applyFont="1" applyBorder="1" applyAlignment="1" applyProtection="1">
      <alignment/>
      <protection/>
    </xf>
    <xf numFmtId="0" fontId="9" fillId="0" borderId="89" xfId="0" applyFont="1" applyBorder="1" applyAlignment="1" applyProtection="1">
      <alignment/>
      <protection/>
    </xf>
    <xf numFmtId="0" fontId="9" fillId="0" borderId="80" xfId="0" applyFont="1" applyBorder="1" applyAlignment="1" applyProtection="1">
      <alignment horizontal="center"/>
      <protection/>
    </xf>
    <xf numFmtId="3" fontId="9" fillId="0" borderId="90" xfId="0" applyNumberFormat="1" applyFont="1" applyBorder="1" applyAlignment="1" applyProtection="1">
      <alignment/>
      <protection/>
    </xf>
    <xf numFmtId="43" fontId="9" fillId="0" borderId="67" xfId="19" applyFont="1" applyBorder="1" applyAlignment="1" applyProtection="1">
      <alignment/>
      <protection/>
    </xf>
    <xf numFmtId="3" fontId="9" fillId="0" borderId="85" xfId="0" applyNumberFormat="1" applyFont="1" applyBorder="1" applyAlignment="1" applyProtection="1">
      <alignment/>
      <protection/>
    </xf>
    <xf numFmtId="43" fontId="29" fillId="0" borderId="32" xfId="19" applyFont="1" applyBorder="1" applyAlignment="1" applyProtection="1">
      <alignment/>
      <protection/>
    </xf>
    <xf numFmtId="3" fontId="9" fillId="0" borderId="90" xfId="0" applyNumberFormat="1" applyFont="1" applyFill="1" applyBorder="1" applyAlignment="1" applyProtection="1">
      <alignment/>
      <protection/>
    </xf>
    <xf numFmtId="0" fontId="9" fillId="0" borderId="9" xfId="0" applyFont="1" applyBorder="1" applyAlignment="1" applyProtection="1">
      <alignment/>
      <protection/>
    </xf>
    <xf numFmtId="0" fontId="9" fillId="0" borderId="91" xfId="0" applyFont="1" applyBorder="1" applyAlignment="1" applyProtection="1">
      <alignment/>
      <protection/>
    </xf>
    <xf numFmtId="3" fontId="9" fillId="0" borderId="25" xfId="0" applyNumberFormat="1" applyFont="1" applyFill="1" applyBorder="1" applyAlignment="1" applyProtection="1">
      <alignment/>
      <protection/>
    </xf>
    <xf numFmtId="0" fontId="9" fillId="0" borderId="46" xfId="0" applyFont="1" applyBorder="1" applyAlignment="1" applyProtection="1">
      <alignment/>
      <protection/>
    </xf>
    <xf numFmtId="0" fontId="9" fillId="0" borderId="49" xfId="0" applyFont="1" applyBorder="1" applyAlignment="1" applyProtection="1">
      <alignment/>
      <protection/>
    </xf>
    <xf numFmtId="43" fontId="29" fillId="0" borderId="43" xfId="19" applyFont="1" applyBorder="1" applyAlignment="1" applyProtection="1">
      <alignment/>
      <protection/>
    </xf>
    <xf numFmtId="0" fontId="9" fillId="0" borderId="47" xfId="0" applyFont="1" applyBorder="1" applyAlignment="1" applyProtection="1">
      <alignment/>
      <protection/>
    </xf>
    <xf numFmtId="0" fontId="9" fillId="0" borderId="92" xfId="0" applyFont="1" applyBorder="1" applyAlignment="1" applyProtection="1">
      <alignment/>
      <protection/>
    </xf>
    <xf numFmtId="4" fontId="9" fillId="0" borderId="30" xfId="0" applyNumberFormat="1" applyFont="1" applyBorder="1" applyAlignment="1" applyProtection="1">
      <alignment/>
      <protection/>
    </xf>
    <xf numFmtId="0" fontId="9" fillId="0" borderId="93" xfId="0" applyFont="1" applyBorder="1" applyAlignment="1" applyProtection="1">
      <alignment/>
      <protection/>
    </xf>
    <xf numFmtId="3" fontId="9" fillId="0" borderId="94" xfId="0" applyNumberFormat="1" applyFont="1" applyBorder="1" applyAlignment="1" applyProtection="1">
      <alignment/>
      <protection/>
    </xf>
    <xf numFmtId="3" fontId="9" fillId="0" borderId="95" xfId="0" applyNumberFormat="1" applyFont="1" applyBorder="1" applyAlignment="1" applyProtection="1">
      <alignment/>
      <protection/>
    </xf>
    <xf numFmtId="3" fontId="9" fillId="0" borderId="46" xfId="0" applyNumberFormat="1" applyFont="1" applyBorder="1" applyAlignment="1" applyProtection="1">
      <alignment/>
      <protection/>
    </xf>
    <xf numFmtId="0" fontId="9" fillId="0" borderId="18" xfId="0" applyFont="1" applyBorder="1" applyAlignment="1" applyProtection="1">
      <alignment/>
      <protection/>
    </xf>
    <xf numFmtId="2" fontId="29" fillId="0" borderId="31" xfId="0" applyNumberFormat="1" applyFont="1" applyBorder="1" applyAlignment="1" applyProtection="1" quotePrefix="1">
      <alignment/>
      <protection/>
    </xf>
    <xf numFmtId="0" fontId="9" fillId="0" borderId="54" xfId="0" applyFont="1" applyBorder="1" applyAlignment="1" applyProtection="1" quotePrefix="1">
      <alignment/>
      <protection/>
    </xf>
    <xf numFmtId="0" fontId="9" fillId="0" borderId="7" xfId="0" applyFont="1" applyBorder="1" applyAlignment="1" applyProtection="1">
      <alignment/>
      <protection/>
    </xf>
    <xf numFmtId="4" fontId="9" fillId="0" borderId="0" xfId="0" applyNumberFormat="1" applyFont="1" applyFill="1" applyBorder="1" applyAlignment="1" applyProtection="1">
      <alignment/>
      <protection/>
    </xf>
    <xf numFmtId="0" fontId="9" fillId="0" borderId="96" xfId="0" applyFont="1" applyBorder="1" applyAlignment="1" applyProtection="1">
      <alignment/>
      <protection/>
    </xf>
    <xf numFmtId="0" fontId="9" fillId="0" borderId="97" xfId="0" applyFont="1" applyBorder="1" applyAlignment="1" applyProtection="1">
      <alignment/>
      <protection/>
    </xf>
    <xf numFmtId="3" fontId="9" fillId="0" borderId="75" xfId="0" applyNumberFormat="1" applyFont="1" applyBorder="1" applyAlignment="1" applyProtection="1">
      <alignment/>
      <protection/>
    </xf>
    <xf numFmtId="0" fontId="9" fillId="0" borderId="98" xfId="0" applyFont="1" applyBorder="1" applyAlignment="1" applyProtection="1">
      <alignment/>
      <protection/>
    </xf>
    <xf numFmtId="4" fontId="9" fillId="0" borderId="25" xfId="0" applyNumberFormat="1" applyFont="1" applyBorder="1" applyAlignment="1" applyProtection="1">
      <alignment/>
      <protection/>
    </xf>
    <xf numFmtId="0" fontId="19" fillId="0" borderId="29" xfId="0" applyFont="1" applyBorder="1" applyAlignment="1" applyProtection="1">
      <alignment/>
      <protection/>
    </xf>
    <xf numFmtId="3" fontId="9" fillId="0" borderId="78" xfId="0" applyNumberFormat="1" applyFont="1" applyBorder="1" applyAlignment="1" applyProtection="1">
      <alignment/>
      <protection/>
    </xf>
    <xf numFmtId="3" fontId="9" fillId="0" borderId="99" xfId="0" applyNumberFormat="1" applyFont="1" applyBorder="1" applyAlignment="1" applyProtection="1">
      <alignment/>
      <protection/>
    </xf>
    <xf numFmtId="0" fontId="9" fillId="0" borderId="100" xfId="0" applyFont="1" applyBorder="1" applyAlignment="1" applyProtection="1">
      <alignment/>
      <protection/>
    </xf>
    <xf numFmtId="3" fontId="9" fillId="0" borderId="49" xfId="0" applyNumberFormat="1" applyFont="1" applyBorder="1" applyAlignment="1" applyProtection="1">
      <alignment/>
      <protection/>
    </xf>
    <xf numFmtId="0" fontId="9" fillId="0" borderId="72" xfId="0" applyFont="1" applyBorder="1" applyAlignment="1" applyProtection="1">
      <alignment/>
      <protection/>
    </xf>
    <xf numFmtId="4" fontId="9" fillId="0" borderId="93" xfId="0" applyNumberFormat="1" applyFont="1" applyBorder="1" applyAlignment="1" applyProtection="1">
      <alignment/>
      <protection/>
    </xf>
    <xf numFmtId="0" fontId="9" fillId="0" borderId="101" xfId="0" applyFont="1" applyBorder="1" applyAlignment="1" applyProtection="1">
      <alignment/>
      <protection/>
    </xf>
    <xf numFmtId="0" fontId="9" fillId="0" borderId="102" xfId="0" applyFont="1" applyBorder="1" applyAlignment="1" applyProtection="1">
      <alignment/>
      <protection/>
    </xf>
    <xf numFmtId="3" fontId="9" fillId="0" borderId="103" xfId="0" applyNumberFormat="1" applyFont="1" applyBorder="1" applyAlignment="1" applyProtection="1">
      <alignment/>
      <protection/>
    </xf>
    <xf numFmtId="3" fontId="9" fillId="0" borderId="23" xfId="0" applyNumberFormat="1" applyFont="1" applyFill="1" applyBorder="1" applyAlignment="1" applyProtection="1">
      <alignment/>
      <protection/>
    </xf>
    <xf numFmtId="0" fontId="9" fillId="0" borderId="104" xfId="0" applyFont="1" applyBorder="1" applyAlignment="1" applyProtection="1">
      <alignment/>
      <protection/>
    </xf>
    <xf numFmtId="0" fontId="9" fillId="0" borderId="13" xfId="0" applyFont="1" applyBorder="1" applyAlignment="1" applyProtection="1">
      <alignment/>
      <protection/>
    </xf>
    <xf numFmtId="0" fontId="9" fillId="0" borderId="105" xfId="0" applyFont="1" applyBorder="1" applyAlignment="1" applyProtection="1">
      <alignment/>
      <protection/>
    </xf>
    <xf numFmtId="3" fontId="9" fillId="0" borderId="106" xfId="0" applyNumberFormat="1" applyFont="1" applyFill="1" applyBorder="1" applyAlignment="1" applyProtection="1">
      <alignment/>
      <protection/>
    </xf>
    <xf numFmtId="3" fontId="9" fillId="0" borderId="87" xfId="0" applyNumberFormat="1" applyFont="1" applyBorder="1" applyAlignment="1" applyProtection="1">
      <alignment/>
      <protection/>
    </xf>
    <xf numFmtId="0" fontId="9" fillId="0" borderId="87" xfId="0" applyFont="1" applyBorder="1" applyAlignment="1" applyProtection="1">
      <alignment/>
      <protection/>
    </xf>
    <xf numFmtId="0" fontId="9" fillId="0" borderId="106" xfId="0" applyFont="1" applyBorder="1" applyAlignment="1" applyProtection="1">
      <alignment/>
      <protection/>
    </xf>
    <xf numFmtId="0" fontId="9" fillId="0" borderId="14" xfId="0" applyFont="1" applyBorder="1" applyAlignment="1" applyProtection="1">
      <alignment/>
      <protection/>
    </xf>
    <xf numFmtId="0" fontId="9" fillId="0" borderId="107" xfId="0" applyFont="1" applyBorder="1" applyAlignment="1" applyProtection="1">
      <alignment/>
      <protection/>
    </xf>
    <xf numFmtId="0" fontId="9" fillId="0" borderId="67" xfId="0" applyFont="1" applyBorder="1" applyAlignment="1" applyProtection="1">
      <alignment horizontal="right"/>
      <protection/>
    </xf>
    <xf numFmtId="3" fontId="9" fillId="0" borderId="108" xfId="0" applyNumberFormat="1" applyFont="1" applyFill="1" applyBorder="1" applyAlignment="1" applyProtection="1">
      <alignment/>
      <protection/>
    </xf>
    <xf numFmtId="4" fontId="9" fillId="0" borderId="97" xfId="0" applyNumberFormat="1" applyFont="1" applyBorder="1" applyAlignment="1" applyProtection="1">
      <alignment/>
      <protection/>
    </xf>
    <xf numFmtId="0" fontId="9" fillId="0" borderId="76" xfId="0" applyFont="1" applyBorder="1" applyAlignment="1" applyProtection="1">
      <alignment horizontal="right"/>
      <protection/>
    </xf>
    <xf numFmtId="43" fontId="9" fillId="0" borderId="31" xfId="19" applyFont="1" applyBorder="1" applyAlignment="1" applyProtection="1">
      <alignment/>
      <protection/>
    </xf>
    <xf numFmtId="43" fontId="9" fillId="0" borderId="31" xfId="19" applyFont="1" applyBorder="1" applyAlignment="1" applyProtection="1">
      <alignment horizontal="right"/>
      <protection/>
    </xf>
    <xf numFmtId="0" fontId="9" fillId="0" borderId="56" xfId="0" applyFont="1" applyBorder="1" applyAlignment="1" applyProtection="1">
      <alignment horizontal="right"/>
      <protection/>
    </xf>
    <xf numFmtId="0" fontId="9" fillId="0" borderId="109" xfId="0" applyFont="1" applyBorder="1" applyAlignment="1" applyProtection="1">
      <alignment/>
      <protection/>
    </xf>
    <xf numFmtId="0" fontId="9" fillId="0" borderId="90" xfId="0" applyFont="1" applyBorder="1" applyAlignment="1" applyProtection="1">
      <alignment/>
      <protection/>
    </xf>
    <xf numFmtId="43" fontId="9" fillId="0" borderId="67" xfId="19" applyFont="1" applyBorder="1" applyAlignment="1" applyProtection="1">
      <alignment horizontal="right"/>
      <protection/>
    </xf>
    <xf numFmtId="3" fontId="9" fillId="0" borderId="67" xfId="0" applyNumberFormat="1" applyFont="1" applyFill="1" applyBorder="1" applyAlignment="1" applyProtection="1">
      <alignment/>
      <protection/>
    </xf>
    <xf numFmtId="3" fontId="9" fillId="0" borderId="110" xfId="0" applyNumberFormat="1" applyFont="1" applyBorder="1" applyAlignment="1" applyProtection="1">
      <alignment/>
      <protection/>
    </xf>
    <xf numFmtId="3" fontId="9" fillId="0" borderId="56" xfId="0" applyNumberFormat="1" applyFont="1" applyBorder="1" applyAlignment="1" applyProtection="1">
      <alignment/>
      <protection/>
    </xf>
    <xf numFmtId="3" fontId="9" fillId="0" borderId="111" xfId="0" applyNumberFormat="1" applyFont="1" applyBorder="1" applyAlignment="1" applyProtection="1">
      <alignment/>
      <protection/>
    </xf>
    <xf numFmtId="43" fontId="9" fillId="0" borderId="80" xfId="19" applyFont="1" applyBorder="1" applyAlignment="1" applyProtection="1">
      <alignment/>
      <protection/>
    </xf>
    <xf numFmtId="3" fontId="9" fillId="0" borderId="80" xfId="0" applyNumberFormat="1" applyFont="1" applyBorder="1" applyAlignment="1" applyProtection="1">
      <alignment/>
      <protection/>
    </xf>
    <xf numFmtId="43" fontId="9" fillId="0" borderId="97" xfId="19" applyFont="1" applyBorder="1" applyAlignment="1" applyProtection="1">
      <alignment/>
      <protection/>
    </xf>
    <xf numFmtId="3" fontId="9" fillId="0" borderId="105" xfId="0" applyNumberFormat="1" applyFont="1" applyBorder="1" applyAlignment="1" applyProtection="1">
      <alignment/>
      <protection/>
    </xf>
    <xf numFmtId="3" fontId="9" fillId="0" borderId="104" xfId="0" applyNumberFormat="1" applyFont="1" applyBorder="1" applyAlignment="1" applyProtection="1">
      <alignment/>
      <protection/>
    </xf>
    <xf numFmtId="4" fontId="29" fillId="0" borderId="32" xfId="0" applyNumberFormat="1" applyFont="1" applyFill="1" applyBorder="1" applyAlignment="1" applyProtection="1">
      <alignment/>
      <protection/>
    </xf>
    <xf numFmtId="4" fontId="29" fillId="0" borderId="3" xfId="0" applyNumberFormat="1" applyFont="1" applyBorder="1" applyAlignment="1" applyProtection="1">
      <alignment/>
      <protection/>
    </xf>
    <xf numFmtId="0" fontId="29" fillId="0" borderId="40" xfId="0" applyFont="1" applyBorder="1" applyAlignment="1" applyProtection="1">
      <alignment/>
      <protection/>
    </xf>
    <xf numFmtId="0" fontId="19" fillId="0" borderId="26" xfId="0" applyFont="1" applyBorder="1" applyAlignment="1" applyProtection="1">
      <alignment/>
      <protection/>
    </xf>
    <xf numFmtId="4" fontId="19" fillId="0" borderId="26" xfId="0" applyNumberFormat="1" applyFont="1" applyBorder="1" applyAlignment="1" applyProtection="1">
      <alignment/>
      <protection/>
    </xf>
    <xf numFmtId="3" fontId="19" fillId="0" borderId="26" xfId="0" applyNumberFormat="1" applyFont="1" applyBorder="1" applyAlignment="1" applyProtection="1">
      <alignment/>
      <protection/>
    </xf>
    <xf numFmtId="3" fontId="9" fillId="0" borderId="106" xfId="0" applyNumberFormat="1" applyFont="1" applyBorder="1" applyAlignment="1" applyProtection="1">
      <alignment/>
      <protection/>
    </xf>
    <xf numFmtId="0" fontId="9" fillId="0" borderId="58" xfId="0" applyFont="1" applyBorder="1" applyAlignment="1" applyProtection="1">
      <alignment horizontal="right"/>
      <protection/>
    </xf>
    <xf numFmtId="0" fontId="9" fillId="0" borderId="112" xfId="0" applyFont="1" applyBorder="1" applyAlignment="1" applyProtection="1">
      <alignment/>
      <protection/>
    </xf>
    <xf numFmtId="3" fontId="9" fillId="0" borderId="113" xfId="0" applyNumberFormat="1" applyFont="1" applyBorder="1" applyAlignment="1" applyProtection="1">
      <alignment/>
      <protection/>
    </xf>
    <xf numFmtId="0" fontId="9" fillId="0" borderId="114" xfId="0" applyFont="1" applyBorder="1" applyAlignment="1" applyProtection="1">
      <alignment horizontal="right"/>
      <protection/>
    </xf>
    <xf numFmtId="43" fontId="9" fillId="0" borderId="26" xfId="19" applyFont="1" applyBorder="1" applyAlignment="1" applyProtection="1">
      <alignment/>
      <protection/>
    </xf>
    <xf numFmtId="0" fontId="19" fillId="0" borderId="100" xfId="0" applyFont="1" applyBorder="1" applyAlignment="1" applyProtection="1">
      <alignment/>
      <protection/>
    </xf>
    <xf numFmtId="4" fontId="9" fillId="0" borderId="81" xfId="0" applyNumberFormat="1" applyFont="1" applyBorder="1" applyAlignment="1" applyProtection="1">
      <alignment/>
      <protection/>
    </xf>
    <xf numFmtId="3" fontId="9" fillId="0" borderId="102" xfId="0" applyNumberFormat="1" applyFont="1" applyBorder="1" applyAlignment="1" applyProtection="1">
      <alignment/>
      <protection/>
    </xf>
    <xf numFmtId="0" fontId="19" fillId="0" borderId="103" xfId="0" applyFont="1" applyBorder="1" applyAlignment="1" applyProtection="1">
      <alignment/>
      <protection/>
    </xf>
    <xf numFmtId="0" fontId="9" fillId="0" borderId="115" xfId="0" applyFont="1" applyBorder="1" applyAlignment="1" applyProtection="1">
      <alignment/>
      <protection/>
    </xf>
    <xf numFmtId="1" fontId="9" fillId="0" borderId="31" xfId="0" applyNumberFormat="1" applyFont="1" applyBorder="1" applyAlignment="1" applyProtection="1">
      <alignment/>
      <protection/>
    </xf>
    <xf numFmtId="1" fontId="9" fillId="0" borderId="30" xfId="0" applyNumberFormat="1" applyFont="1" applyBorder="1" applyAlignment="1" applyProtection="1">
      <alignment/>
      <protection/>
    </xf>
    <xf numFmtId="1" fontId="9" fillId="0" borderId="32" xfId="0" applyNumberFormat="1" applyFont="1" applyBorder="1" applyAlignment="1" applyProtection="1">
      <alignment/>
      <protection/>
    </xf>
    <xf numFmtId="0" fontId="9" fillId="0" borderId="108" xfId="0" applyFont="1" applyBorder="1" applyAlignment="1" applyProtection="1">
      <alignment/>
      <protection/>
    </xf>
    <xf numFmtId="0" fontId="9" fillId="0" borderId="34" xfId="0" applyFont="1" applyBorder="1" applyAlignment="1" applyProtection="1">
      <alignment/>
      <protection/>
    </xf>
    <xf numFmtId="4" fontId="9" fillId="0" borderId="0" xfId="0" applyNumberFormat="1" applyFont="1" applyFill="1" applyBorder="1" applyAlignment="1" applyProtection="1" quotePrefix="1">
      <alignment/>
      <protection/>
    </xf>
    <xf numFmtId="0" fontId="9" fillId="0" borderId="30" xfId="0" applyFont="1" applyBorder="1" applyAlignment="1" applyProtection="1">
      <alignment horizontal="right"/>
      <protection/>
    </xf>
    <xf numFmtId="0" fontId="9" fillId="0" borderId="116" xfId="0" applyFont="1" applyBorder="1" applyAlignment="1" applyProtection="1">
      <alignment/>
      <protection/>
    </xf>
    <xf numFmtId="0" fontId="9" fillId="0" borderId="114" xfId="0" applyFont="1" applyBorder="1" applyAlignment="1" applyProtection="1">
      <alignment/>
      <protection/>
    </xf>
    <xf numFmtId="2" fontId="29" fillId="0" borderId="31" xfId="19" applyNumberFormat="1" applyFont="1" applyBorder="1" applyAlignment="1" applyProtection="1">
      <alignment/>
      <protection/>
    </xf>
    <xf numFmtId="2" fontId="29" fillId="0" borderId="58" xfId="19" applyNumberFormat="1" applyFont="1" applyBorder="1" applyAlignment="1" applyProtection="1">
      <alignment/>
      <protection/>
    </xf>
    <xf numFmtId="2" fontId="9" fillId="0" borderId="58" xfId="0" applyNumberFormat="1" applyFont="1" applyBorder="1" applyAlignment="1" applyProtection="1">
      <alignment/>
      <protection/>
    </xf>
    <xf numFmtId="1" fontId="0" fillId="0" borderId="3" xfId="0" applyNumberFormat="1" applyFont="1" applyFill="1" applyBorder="1" applyAlignment="1" applyProtection="1">
      <alignment horizontal="right"/>
      <protection/>
    </xf>
    <xf numFmtId="14" fontId="0" fillId="0" borderId="8" xfId="0" applyNumberFormat="1" applyFont="1" applyBorder="1" applyAlignment="1" applyProtection="1">
      <alignment vertical="top"/>
      <protection locked="0"/>
    </xf>
    <xf numFmtId="0" fontId="0" fillId="0" borderId="5" xfId="0" applyFont="1" applyFill="1" applyBorder="1" applyAlignment="1" applyProtection="1">
      <alignment/>
      <protection/>
    </xf>
    <xf numFmtId="4" fontId="6" fillId="0" borderId="17" xfId="0" applyNumberFormat="1" applyFont="1" applyBorder="1" applyAlignment="1" applyProtection="1">
      <alignment horizontal="left"/>
      <protection/>
    </xf>
    <xf numFmtId="0" fontId="7" fillId="0" borderId="5" xfId="0" applyFont="1" applyFill="1" applyBorder="1" applyAlignment="1" applyProtection="1">
      <alignment horizontal="center"/>
      <protection/>
    </xf>
    <xf numFmtId="3" fontId="7" fillId="0" borderId="5" xfId="0" applyNumberFormat="1" applyFont="1" applyFill="1" applyBorder="1" applyAlignment="1" applyProtection="1">
      <alignment horizontal="center"/>
      <protection/>
    </xf>
    <xf numFmtId="4" fontId="7" fillId="0" borderId="17" xfId="0" applyNumberFormat="1" applyFont="1" applyFill="1" applyBorder="1" applyAlignment="1" applyProtection="1">
      <alignment horizontal="center"/>
      <protection/>
    </xf>
    <xf numFmtId="3" fontId="7" fillId="0" borderId="3" xfId="0" applyNumberFormat="1" applyFont="1" applyFill="1" applyBorder="1" applyAlignment="1" applyProtection="1">
      <alignment horizontal="center"/>
      <protection/>
    </xf>
    <xf numFmtId="3" fontId="0" fillId="0" borderId="0" xfId="0" applyNumberFormat="1" applyFont="1" applyFill="1" applyBorder="1" applyAlignment="1" applyProtection="1">
      <alignment/>
      <protection/>
    </xf>
    <xf numFmtId="3" fontId="6" fillId="0" borderId="0" xfId="0" applyNumberFormat="1" applyFont="1" applyFill="1" applyBorder="1" applyAlignment="1" applyProtection="1">
      <alignment vertical="center"/>
      <protection/>
    </xf>
    <xf numFmtId="3" fontId="0" fillId="0" borderId="0" xfId="0" applyNumberFormat="1" applyFont="1" applyAlignment="1" applyProtection="1">
      <alignment/>
      <protection/>
    </xf>
    <xf numFmtId="0" fontId="23" fillId="0" borderId="0" xfId="0" applyFont="1" applyBorder="1" applyAlignment="1" applyProtection="1">
      <alignment vertical="center"/>
      <protection/>
    </xf>
    <xf numFmtId="3" fontId="9" fillId="0" borderId="114" xfId="0" applyNumberFormat="1" applyFont="1" applyFill="1" applyBorder="1" applyAlignment="1" applyProtection="1">
      <alignment/>
      <protection/>
    </xf>
    <xf numFmtId="3" fontId="9" fillId="0" borderId="52" xfId="0" applyNumberFormat="1" applyFont="1" applyFill="1" applyBorder="1" applyAlignment="1" applyProtection="1">
      <alignment/>
      <protection/>
    </xf>
    <xf numFmtId="3" fontId="9" fillId="0" borderId="52" xfId="0" applyNumberFormat="1" applyFont="1" applyBorder="1" applyAlignment="1" applyProtection="1">
      <alignment/>
      <protection/>
    </xf>
    <xf numFmtId="3" fontId="9" fillId="0" borderId="117" xfId="0" applyNumberFormat="1" applyFont="1" applyBorder="1" applyAlignment="1" applyProtection="1">
      <alignment/>
      <protection/>
    </xf>
    <xf numFmtId="4" fontId="29" fillId="0" borderId="58" xfId="0" applyNumberFormat="1" applyFont="1" applyBorder="1" applyAlignment="1" applyProtection="1">
      <alignment/>
      <protection/>
    </xf>
    <xf numFmtId="0" fontId="9" fillId="0" borderId="118" xfId="0" applyFont="1" applyBorder="1" applyAlignment="1" applyProtection="1">
      <alignment/>
      <protection/>
    </xf>
    <xf numFmtId="1" fontId="0" fillId="0" borderId="17" xfId="0" applyNumberFormat="1" applyFont="1" applyBorder="1" applyAlignment="1" applyProtection="1">
      <alignment horizontal="right" vertical="top"/>
      <protection locked="0"/>
    </xf>
    <xf numFmtId="0" fontId="9" fillId="0" borderId="31" xfId="0" applyFont="1" applyFill="1" applyBorder="1" applyAlignment="1" applyProtection="1" quotePrefix="1">
      <alignment/>
      <protection/>
    </xf>
    <xf numFmtId="0" fontId="9" fillId="0" borderId="35" xfId="0" applyNumberFormat="1" applyFont="1" applyFill="1" applyBorder="1" applyAlignment="1" applyProtection="1">
      <alignment horizontal="left"/>
      <protection/>
    </xf>
    <xf numFmtId="0" fontId="9" fillId="0" borderId="32" xfId="0" applyFont="1" applyBorder="1" applyAlignment="1" applyProtection="1">
      <alignment horizontal="right"/>
      <protection/>
    </xf>
    <xf numFmtId="0" fontId="29" fillId="0" borderId="31" xfId="0" applyFont="1" applyFill="1" applyBorder="1" applyAlignment="1" applyProtection="1" quotePrefix="1">
      <alignment/>
      <protection/>
    </xf>
    <xf numFmtId="3" fontId="0" fillId="6" borderId="3" xfId="0" applyNumberFormat="1" applyFont="1" applyFill="1" applyBorder="1" applyAlignment="1" applyProtection="1">
      <alignment horizontal="right"/>
      <protection/>
    </xf>
    <xf numFmtId="3" fontId="0" fillId="6" borderId="17" xfId="0" applyNumberFormat="1" applyFont="1" applyFill="1" applyBorder="1" applyAlignment="1" applyProtection="1">
      <alignment horizontal="right"/>
      <protection/>
    </xf>
    <xf numFmtId="3" fontId="0" fillId="7" borderId="0" xfId="0" applyNumberFormat="1" applyFont="1" applyFill="1" applyBorder="1" applyAlignment="1" applyProtection="1">
      <alignment horizontal="right"/>
      <protection locked="0"/>
    </xf>
    <xf numFmtId="3" fontId="0" fillId="6" borderId="10" xfId="0" applyNumberFormat="1" applyFont="1" applyFill="1" applyBorder="1" applyAlignment="1" applyProtection="1">
      <alignment horizontal="right"/>
      <protection/>
    </xf>
    <xf numFmtId="1" fontId="0" fillId="0" borderId="0" xfId="0" applyNumberFormat="1" applyFont="1" applyFill="1" applyBorder="1" applyAlignment="1" applyProtection="1">
      <alignment horizontal="right"/>
      <protection locked="0"/>
    </xf>
    <xf numFmtId="3" fontId="0" fillId="0" borderId="0" xfId="0" applyNumberFormat="1" applyFont="1" applyFill="1" applyBorder="1" applyAlignment="1" applyProtection="1">
      <alignment/>
      <protection/>
    </xf>
    <xf numFmtId="3" fontId="0" fillId="6" borderId="3" xfId="0" applyNumberFormat="1" applyFont="1" applyFill="1" applyBorder="1" applyAlignment="1" applyProtection="1">
      <alignment/>
      <protection/>
    </xf>
    <xf numFmtId="0" fontId="0" fillId="6" borderId="3" xfId="0" applyNumberFormat="1" applyFont="1" applyFill="1" applyBorder="1" applyAlignment="1" applyProtection="1">
      <alignment/>
      <protection/>
    </xf>
    <xf numFmtId="0" fontId="0" fillId="6" borderId="3" xfId="0" applyNumberFormat="1" applyFont="1" applyFill="1" applyBorder="1" applyAlignment="1" applyProtection="1">
      <alignment/>
      <protection/>
    </xf>
    <xf numFmtId="3" fontId="0" fillId="3" borderId="16" xfId="0" applyNumberFormat="1" applyFont="1" applyFill="1" applyBorder="1" applyAlignment="1" applyProtection="1">
      <alignment/>
      <protection/>
    </xf>
    <xf numFmtId="1" fontId="0" fillId="0" borderId="3" xfId="0" applyNumberFormat="1" applyFont="1" applyBorder="1" applyAlignment="1" applyProtection="1" quotePrefix="1">
      <alignment/>
      <protection/>
    </xf>
    <xf numFmtId="3" fontId="0" fillId="5" borderId="3" xfId="0" applyNumberFormat="1" applyFont="1" applyFill="1" applyBorder="1" applyAlignment="1" applyProtection="1">
      <alignment/>
      <protection locked="0"/>
    </xf>
    <xf numFmtId="3" fontId="7" fillId="0" borderId="3" xfId="0" applyNumberFormat="1" applyFont="1" applyBorder="1" applyAlignment="1" applyProtection="1">
      <alignment horizontal="center"/>
      <protection/>
    </xf>
    <xf numFmtId="0" fontId="0" fillId="7" borderId="3" xfId="0" applyNumberFormat="1" applyFont="1" applyFill="1" applyBorder="1" applyAlignment="1" applyProtection="1">
      <alignment/>
      <protection locked="0"/>
    </xf>
    <xf numFmtId="1" fontId="0" fillId="7" borderId="3" xfId="0" applyNumberFormat="1" applyFont="1" applyFill="1" applyBorder="1" applyAlignment="1" applyProtection="1">
      <alignment/>
      <protection locked="0"/>
    </xf>
    <xf numFmtId="0" fontId="21" fillId="0" borderId="0" xfId="0" applyNumberFormat="1" applyFont="1" applyBorder="1" applyAlignment="1" applyProtection="1">
      <alignment/>
      <protection/>
    </xf>
    <xf numFmtId="0" fontId="21" fillId="0" borderId="5" xfId="0" applyFont="1" applyBorder="1" applyAlignment="1" applyProtection="1">
      <alignment/>
      <protection/>
    </xf>
    <xf numFmtId="0" fontId="21" fillId="0" borderId="0" xfId="0" applyFont="1" applyBorder="1" applyAlignment="1" applyProtection="1">
      <alignment/>
      <protection/>
    </xf>
    <xf numFmtId="3" fontId="0" fillId="0" borderId="17" xfId="0" applyNumberFormat="1" applyFill="1" applyBorder="1" applyAlignment="1" applyProtection="1">
      <alignment/>
      <protection locked="0"/>
    </xf>
    <xf numFmtId="3" fontId="0" fillId="0" borderId="3" xfId="0" applyNumberFormat="1" applyFill="1" applyBorder="1" applyAlignment="1" applyProtection="1">
      <alignment/>
      <protection locked="0"/>
    </xf>
    <xf numFmtId="3" fontId="0" fillId="0" borderId="17" xfId="0" applyNumberFormat="1" applyFont="1" applyBorder="1" applyAlignment="1" applyProtection="1">
      <alignment horizontal="right"/>
      <protection/>
    </xf>
    <xf numFmtId="3" fontId="0" fillId="0" borderId="3" xfId="0" applyNumberFormat="1" applyFont="1" applyFill="1" applyBorder="1" applyAlignment="1" applyProtection="1">
      <alignment/>
      <protection/>
    </xf>
    <xf numFmtId="3" fontId="0" fillId="0" borderId="8" xfId="0" applyNumberFormat="1" applyFont="1" applyBorder="1" applyAlignment="1" applyProtection="1">
      <alignment horizontal="right"/>
      <protection/>
    </xf>
    <xf numFmtId="3" fontId="0" fillId="0" borderId="17" xfId="0" applyNumberFormat="1" applyFont="1" applyBorder="1" applyAlignment="1" applyProtection="1">
      <alignment horizontal="right"/>
      <protection/>
    </xf>
    <xf numFmtId="3" fontId="0" fillId="0" borderId="8" xfId="0" applyNumberFormat="1" applyFont="1" applyBorder="1" applyAlignment="1" applyProtection="1">
      <alignment/>
      <protection/>
    </xf>
    <xf numFmtId="0" fontId="0" fillId="0" borderId="17" xfId="0" applyBorder="1" applyAlignment="1" applyProtection="1">
      <alignment/>
      <protection/>
    </xf>
    <xf numFmtId="167" fontId="13" fillId="0" borderId="0" xfId="0" applyNumberFormat="1" applyFont="1" applyBorder="1" applyAlignment="1" applyProtection="1">
      <alignment horizontal="right"/>
      <protection/>
    </xf>
    <xf numFmtId="0" fontId="0" fillId="0" borderId="0" xfId="0" applyFont="1" applyBorder="1" applyAlignment="1" applyProtection="1">
      <alignment horizontal="left" vertical="top" wrapText="1"/>
      <protection/>
    </xf>
    <xf numFmtId="0" fontId="0" fillId="0" borderId="0" xfId="0" applyAlignment="1" applyProtection="1">
      <alignment/>
      <protection/>
    </xf>
    <xf numFmtId="0" fontId="0" fillId="0" borderId="0" xfId="0" applyFont="1" applyBorder="1" applyAlignment="1" applyProtection="1">
      <alignment horizontal="justify" vertical="center" wrapText="1"/>
      <protection/>
    </xf>
    <xf numFmtId="0" fontId="13" fillId="0" borderId="8" xfId="0" applyFont="1" applyFill="1" applyBorder="1" applyAlignment="1" applyProtection="1">
      <alignment vertical="top"/>
      <protection/>
    </xf>
    <xf numFmtId="0" fontId="0" fillId="0" borderId="5" xfId="0" applyFont="1" applyFill="1" applyBorder="1" applyAlignment="1" applyProtection="1">
      <alignment vertical="top"/>
      <protection/>
    </xf>
    <xf numFmtId="0" fontId="0" fillId="0" borderId="17" xfId="0" applyFont="1" applyFill="1" applyBorder="1" applyAlignment="1" applyProtection="1">
      <alignment/>
      <protection/>
    </xf>
    <xf numFmtId="3" fontId="0" fillId="0" borderId="11" xfId="0" applyNumberFormat="1" applyFont="1" applyBorder="1" applyAlignment="1" applyProtection="1">
      <alignment/>
      <protection/>
    </xf>
    <xf numFmtId="0" fontId="0" fillId="0" borderId="15" xfId="0" applyBorder="1" applyAlignment="1" applyProtection="1">
      <alignment/>
      <protection/>
    </xf>
    <xf numFmtId="0" fontId="0" fillId="0" borderId="8" xfId="0" applyFont="1" applyBorder="1" applyAlignment="1" applyProtection="1">
      <alignment vertical="top"/>
      <protection locked="0"/>
    </xf>
    <xf numFmtId="0" fontId="0" fillId="0" borderId="5" xfId="0" applyBorder="1" applyAlignment="1">
      <alignment vertical="top"/>
    </xf>
    <xf numFmtId="0" fontId="0" fillId="0" borderId="17" xfId="0" applyBorder="1" applyAlignment="1">
      <alignment vertical="top"/>
    </xf>
  </cellXfs>
  <cellStyles count="31">
    <cellStyle name="Normal" xfId="0"/>
    <cellStyle name="Custom - Opmaakprofiel8" xfId="15"/>
    <cellStyle name="Data   - Opmaakprofiel2" xfId="16"/>
    <cellStyle name="Followed Hyperlink" xfId="17"/>
    <cellStyle name="Hyperlink" xfId="18"/>
    <cellStyle name="Comma" xfId="19"/>
    <cellStyle name="Comma [0]" xfId="20"/>
    <cellStyle name="Labels - Opmaakprofiel3" xfId="21"/>
    <cellStyle name="Normal - Opmaakprofiel1" xfId="22"/>
    <cellStyle name="Normal - Opmaakprofiel2" xfId="23"/>
    <cellStyle name="Normal - Opmaakprofiel3" xfId="24"/>
    <cellStyle name="Normal - Opmaakprofiel4" xfId="25"/>
    <cellStyle name="Normal - Opmaakprofiel5" xfId="26"/>
    <cellStyle name="Normal - Opmaakprofiel6" xfId="27"/>
    <cellStyle name="Normal - Opmaakprofiel7" xfId="28"/>
    <cellStyle name="Normal - Opmaakprofiel8" xfId="29"/>
    <cellStyle name="Percent" xfId="30"/>
    <cellStyle name="Reset  - Opmaakprofiel7" xfId="31"/>
    <cellStyle name="Tabelstandaard" xfId="32"/>
    <cellStyle name="Tabelstandaard financieel" xfId="33"/>
    <cellStyle name="Tabelstandaard negatief" xfId="34"/>
    <cellStyle name="Tabelstandaard Totaal" xfId="35"/>
    <cellStyle name="Tabelstandaard Totaal Negatief" xfId="36"/>
    <cellStyle name="Tabelstandaard Totaal_1077029755_GGZ-01c nacalculatieformulier ribw 2003 versie 040217(1)" xfId="37"/>
    <cellStyle name="Tabelstandaard_1077029755_GGZ-01c nacalculatieformulier ribw 2003 versie 040217(1)" xfId="38"/>
    <cellStyle name="Table  - Opmaakprofiel6" xfId="39"/>
    <cellStyle name="Title  - Opmaakprofiel1" xfId="40"/>
    <cellStyle name="TotCol - Opmaakprofiel5" xfId="41"/>
    <cellStyle name="TotRow - Opmaakprofiel4" xfId="42"/>
    <cellStyle name="Currency" xfId="43"/>
    <cellStyle name="Currency [0]" xfId="44"/>
  </cellStyles>
  <dxfs count="7">
    <dxf>
      <fill>
        <patternFill>
          <bgColor rgb="FFCCFFFF"/>
        </patternFill>
      </fill>
      <border/>
    </dxf>
    <dxf>
      <fill>
        <patternFill>
          <bgColor rgb="FFFFCC99"/>
        </patternFill>
      </fill>
      <border/>
    </dxf>
    <dxf>
      <fill>
        <patternFill>
          <bgColor rgb="FFFFFFCC"/>
        </patternFill>
      </fill>
      <border/>
    </dxf>
    <dxf>
      <fill>
        <patternFill patternType="none">
          <bgColor indexed="65"/>
        </patternFill>
      </fill>
      <border/>
    </dxf>
    <dxf>
      <fill>
        <patternFill>
          <bgColor rgb="FFFFFFFF"/>
        </patternFill>
      </fill>
      <border/>
    </dxf>
    <dxf>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file://X:\Algemeen\Clipart\Ctg\LogoKop.eps" TargetMode="Externa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file://X:\Algemeen\Clipart\Ctg\LogoKop.eps" TargetMode="External"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file://X:\Algemeen\Clipart\Ctg\LogoKop.eps" TargetMode="External"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xdr:row>
      <xdr:rowOff>0</xdr:rowOff>
    </xdr:from>
    <xdr:to>
      <xdr:col>2</xdr:col>
      <xdr:colOff>180975</xdr:colOff>
      <xdr:row>4</xdr:row>
      <xdr:rowOff>0</xdr:rowOff>
    </xdr:to>
    <xdr:sp>
      <xdr:nvSpPr>
        <xdr:cNvPr id="1" name="Rectangle 1"/>
        <xdr:cNvSpPr>
          <a:spLocks/>
        </xdr:cNvSpPr>
      </xdr:nvSpPr>
      <xdr:spPr>
        <a:xfrm>
          <a:off x="1304925" y="7143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4</xdr:row>
      <xdr:rowOff>0</xdr:rowOff>
    </xdr:from>
    <xdr:to>
      <xdr:col>2</xdr:col>
      <xdr:colOff>180975</xdr:colOff>
      <xdr:row>4</xdr:row>
      <xdr:rowOff>0</xdr:rowOff>
    </xdr:to>
    <xdr:sp>
      <xdr:nvSpPr>
        <xdr:cNvPr id="2" name="Rectangle 2"/>
        <xdr:cNvSpPr>
          <a:spLocks/>
        </xdr:cNvSpPr>
      </xdr:nvSpPr>
      <xdr:spPr>
        <a:xfrm>
          <a:off x="1304925" y="7143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4</xdr:row>
      <xdr:rowOff>0</xdr:rowOff>
    </xdr:from>
    <xdr:to>
      <xdr:col>2</xdr:col>
      <xdr:colOff>180975</xdr:colOff>
      <xdr:row>4</xdr:row>
      <xdr:rowOff>0</xdr:rowOff>
    </xdr:to>
    <xdr:sp>
      <xdr:nvSpPr>
        <xdr:cNvPr id="3" name="Rectangle 3"/>
        <xdr:cNvSpPr>
          <a:spLocks/>
        </xdr:cNvSpPr>
      </xdr:nvSpPr>
      <xdr:spPr>
        <a:xfrm>
          <a:off x="1304925" y="7143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4</xdr:row>
      <xdr:rowOff>0</xdr:rowOff>
    </xdr:from>
    <xdr:to>
      <xdr:col>2</xdr:col>
      <xdr:colOff>180975</xdr:colOff>
      <xdr:row>4</xdr:row>
      <xdr:rowOff>0</xdr:rowOff>
    </xdr:to>
    <xdr:sp>
      <xdr:nvSpPr>
        <xdr:cNvPr id="4" name="Rectangle 4"/>
        <xdr:cNvSpPr>
          <a:spLocks/>
        </xdr:cNvSpPr>
      </xdr:nvSpPr>
      <xdr:spPr>
        <a:xfrm>
          <a:off x="1304925" y="7143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4</xdr:row>
      <xdr:rowOff>0</xdr:rowOff>
    </xdr:from>
    <xdr:to>
      <xdr:col>2</xdr:col>
      <xdr:colOff>180975</xdr:colOff>
      <xdr:row>4</xdr:row>
      <xdr:rowOff>0</xdr:rowOff>
    </xdr:to>
    <xdr:sp>
      <xdr:nvSpPr>
        <xdr:cNvPr id="5" name="Rectangle 5"/>
        <xdr:cNvSpPr>
          <a:spLocks/>
        </xdr:cNvSpPr>
      </xdr:nvSpPr>
      <xdr:spPr>
        <a:xfrm>
          <a:off x="1304925" y="7143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4</xdr:row>
      <xdr:rowOff>0</xdr:rowOff>
    </xdr:from>
    <xdr:to>
      <xdr:col>2</xdr:col>
      <xdr:colOff>180975</xdr:colOff>
      <xdr:row>4</xdr:row>
      <xdr:rowOff>0</xdr:rowOff>
    </xdr:to>
    <xdr:sp>
      <xdr:nvSpPr>
        <xdr:cNvPr id="6" name="Rectangle 6"/>
        <xdr:cNvSpPr>
          <a:spLocks/>
        </xdr:cNvSpPr>
      </xdr:nvSpPr>
      <xdr:spPr>
        <a:xfrm>
          <a:off x="1304925" y="7143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4</xdr:row>
      <xdr:rowOff>0</xdr:rowOff>
    </xdr:from>
    <xdr:to>
      <xdr:col>2</xdr:col>
      <xdr:colOff>180975</xdr:colOff>
      <xdr:row>4</xdr:row>
      <xdr:rowOff>0</xdr:rowOff>
    </xdr:to>
    <xdr:sp>
      <xdr:nvSpPr>
        <xdr:cNvPr id="7" name="Rectangle 7"/>
        <xdr:cNvSpPr>
          <a:spLocks/>
        </xdr:cNvSpPr>
      </xdr:nvSpPr>
      <xdr:spPr>
        <a:xfrm>
          <a:off x="1304925" y="7143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9</xdr:row>
      <xdr:rowOff>57150</xdr:rowOff>
    </xdr:from>
    <xdr:to>
      <xdr:col>2</xdr:col>
      <xdr:colOff>200025</xdr:colOff>
      <xdr:row>9</xdr:row>
      <xdr:rowOff>133350</xdr:rowOff>
    </xdr:to>
    <xdr:sp>
      <xdr:nvSpPr>
        <xdr:cNvPr id="8" name="Rectangle 8"/>
        <xdr:cNvSpPr>
          <a:spLocks/>
        </xdr:cNvSpPr>
      </xdr:nvSpPr>
      <xdr:spPr>
        <a:xfrm>
          <a:off x="1323975" y="1724025"/>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4</xdr:row>
      <xdr:rowOff>47625</xdr:rowOff>
    </xdr:from>
    <xdr:to>
      <xdr:col>2</xdr:col>
      <xdr:colOff>180975</xdr:colOff>
      <xdr:row>4</xdr:row>
      <xdr:rowOff>123825</xdr:rowOff>
    </xdr:to>
    <xdr:sp>
      <xdr:nvSpPr>
        <xdr:cNvPr id="9" name="Rectangle 17"/>
        <xdr:cNvSpPr>
          <a:spLocks/>
        </xdr:cNvSpPr>
      </xdr:nvSpPr>
      <xdr:spPr>
        <a:xfrm>
          <a:off x="1304925" y="762000"/>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16</xdr:row>
      <xdr:rowOff>95250</xdr:rowOff>
    </xdr:from>
    <xdr:to>
      <xdr:col>15</xdr:col>
      <xdr:colOff>219075</xdr:colOff>
      <xdr:row>18</xdr:row>
      <xdr:rowOff>266700</xdr:rowOff>
    </xdr:to>
    <xdr:pic>
      <xdr:nvPicPr>
        <xdr:cNvPr id="10" name="Picture 26"/>
        <xdr:cNvPicPr preferRelativeResize="1">
          <a:picLocks noChangeAspect="1"/>
        </xdr:cNvPicPr>
      </xdr:nvPicPr>
      <xdr:blipFill>
        <a:blip r:embed="rId1"/>
        <a:stretch>
          <a:fillRect/>
        </a:stretch>
      </xdr:blipFill>
      <xdr:spPr>
        <a:xfrm>
          <a:off x="9058275" y="3095625"/>
          <a:ext cx="771525" cy="628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171450</xdr:rowOff>
    </xdr:from>
    <xdr:to>
      <xdr:col>9</xdr:col>
      <xdr:colOff>0</xdr:colOff>
      <xdr:row>2</xdr:row>
      <xdr:rowOff>0</xdr:rowOff>
    </xdr:to>
    <xdr:sp>
      <xdr:nvSpPr>
        <xdr:cNvPr id="1" name="Rectangle 2"/>
        <xdr:cNvSpPr>
          <a:spLocks/>
        </xdr:cNvSpPr>
      </xdr:nvSpPr>
      <xdr:spPr>
        <a:xfrm>
          <a:off x="100584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0</xdr:colOff>
      <xdr:row>2</xdr:row>
      <xdr:rowOff>0</xdr:rowOff>
    </xdr:to>
    <xdr:sp>
      <xdr:nvSpPr>
        <xdr:cNvPr id="2" name="Rectangle 3"/>
        <xdr:cNvSpPr>
          <a:spLocks/>
        </xdr:cNvSpPr>
      </xdr:nvSpPr>
      <xdr:spPr>
        <a:xfrm>
          <a:off x="100584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0</xdr:colOff>
      <xdr:row>2</xdr:row>
      <xdr:rowOff>0</xdr:rowOff>
    </xdr:to>
    <xdr:sp>
      <xdr:nvSpPr>
        <xdr:cNvPr id="3" name="Rectangle 4"/>
        <xdr:cNvSpPr>
          <a:spLocks/>
        </xdr:cNvSpPr>
      </xdr:nvSpPr>
      <xdr:spPr>
        <a:xfrm>
          <a:off x="100584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0</xdr:colOff>
      <xdr:row>2</xdr:row>
      <xdr:rowOff>0</xdr:rowOff>
    </xdr:to>
    <xdr:sp>
      <xdr:nvSpPr>
        <xdr:cNvPr id="4" name="Rectangle 5"/>
        <xdr:cNvSpPr>
          <a:spLocks/>
        </xdr:cNvSpPr>
      </xdr:nvSpPr>
      <xdr:spPr>
        <a:xfrm>
          <a:off x="100584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0</xdr:colOff>
      <xdr:row>2</xdr:row>
      <xdr:rowOff>0</xdr:rowOff>
    </xdr:to>
    <xdr:sp>
      <xdr:nvSpPr>
        <xdr:cNvPr id="5" name="Rectangle 6"/>
        <xdr:cNvSpPr>
          <a:spLocks/>
        </xdr:cNvSpPr>
      </xdr:nvSpPr>
      <xdr:spPr>
        <a:xfrm>
          <a:off x="100584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0</xdr:colOff>
      <xdr:row>2</xdr:row>
      <xdr:rowOff>0</xdr:rowOff>
    </xdr:to>
    <xdr:sp>
      <xdr:nvSpPr>
        <xdr:cNvPr id="6" name="Rectangle 7"/>
        <xdr:cNvSpPr>
          <a:spLocks/>
        </xdr:cNvSpPr>
      </xdr:nvSpPr>
      <xdr:spPr>
        <a:xfrm>
          <a:off x="100584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0</xdr:colOff>
      <xdr:row>2</xdr:row>
      <xdr:rowOff>0</xdr:rowOff>
    </xdr:to>
    <xdr:sp>
      <xdr:nvSpPr>
        <xdr:cNvPr id="7" name="Rectangle 8"/>
        <xdr:cNvSpPr>
          <a:spLocks/>
        </xdr:cNvSpPr>
      </xdr:nvSpPr>
      <xdr:spPr>
        <a:xfrm>
          <a:off x="100584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0</xdr:colOff>
      <xdr:row>2</xdr:row>
      <xdr:rowOff>0</xdr:rowOff>
    </xdr:to>
    <xdr:sp>
      <xdr:nvSpPr>
        <xdr:cNvPr id="8" name="Rectangle 9"/>
        <xdr:cNvSpPr>
          <a:spLocks/>
        </xdr:cNvSpPr>
      </xdr:nvSpPr>
      <xdr:spPr>
        <a:xfrm>
          <a:off x="100584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0</xdr:colOff>
      <xdr:row>2</xdr:row>
      <xdr:rowOff>0</xdr:rowOff>
    </xdr:to>
    <xdr:sp>
      <xdr:nvSpPr>
        <xdr:cNvPr id="9" name="Rectangle 10"/>
        <xdr:cNvSpPr>
          <a:spLocks/>
        </xdr:cNvSpPr>
      </xdr:nvSpPr>
      <xdr:spPr>
        <a:xfrm>
          <a:off x="100584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0</xdr:colOff>
      <xdr:row>2</xdr:row>
      <xdr:rowOff>0</xdr:rowOff>
    </xdr:to>
    <xdr:sp>
      <xdr:nvSpPr>
        <xdr:cNvPr id="10" name="Rectangle 11"/>
        <xdr:cNvSpPr>
          <a:spLocks/>
        </xdr:cNvSpPr>
      </xdr:nvSpPr>
      <xdr:spPr>
        <a:xfrm>
          <a:off x="100584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0</xdr:colOff>
      <xdr:row>2</xdr:row>
      <xdr:rowOff>0</xdr:rowOff>
    </xdr:to>
    <xdr:sp>
      <xdr:nvSpPr>
        <xdr:cNvPr id="11" name="Rectangle 12"/>
        <xdr:cNvSpPr>
          <a:spLocks/>
        </xdr:cNvSpPr>
      </xdr:nvSpPr>
      <xdr:spPr>
        <a:xfrm>
          <a:off x="100584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0</xdr:colOff>
      <xdr:row>2</xdr:row>
      <xdr:rowOff>0</xdr:rowOff>
    </xdr:to>
    <xdr:sp>
      <xdr:nvSpPr>
        <xdr:cNvPr id="12" name="Rectangle 13"/>
        <xdr:cNvSpPr>
          <a:spLocks/>
        </xdr:cNvSpPr>
      </xdr:nvSpPr>
      <xdr:spPr>
        <a:xfrm>
          <a:off x="100584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0</xdr:colOff>
      <xdr:row>2</xdr:row>
      <xdr:rowOff>0</xdr:rowOff>
    </xdr:to>
    <xdr:sp>
      <xdr:nvSpPr>
        <xdr:cNvPr id="13" name="Rectangle 14"/>
        <xdr:cNvSpPr>
          <a:spLocks/>
        </xdr:cNvSpPr>
      </xdr:nvSpPr>
      <xdr:spPr>
        <a:xfrm>
          <a:off x="100584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0</xdr:colOff>
      <xdr:row>2</xdr:row>
      <xdr:rowOff>0</xdr:rowOff>
    </xdr:to>
    <xdr:sp>
      <xdr:nvSpPr>
        <xdr:cNvPr id="14" name="Rectangle 15"/>
        <xdr:cNvSpPr>
          <a:spLocks/>
        </xdr:cNvSpPr>
      </xdr:nvSpPr>
      <xdr:spPr>
        <a:xfrm>
          <a:off x="100584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0</xdr:colOff>
      <xdr:row>2</xdr:row>
      <xdr:rowOff>0</xdr:rowOff>
    </xdr:to>
    <xdr:sp>
      <xdr:nvSpPr>
        <xdr:cNvPr id="15" name="Rectangle 16"/>
        <xdr:cNvSpPr>
          <a:spLocks/>
        </xdr:cNvSpPr>
      </xdr:nvSpPr>
      <xdr:spPr>
        <a:xfrm>
          <a:off x="100584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0</xdr:colOff>
      <xdr:row>2</xdr:row>
      <xdr:rowOff>0</xdr:rowOff>
    </xdr:to>
    <xdr:sp>
      <xdr:nvSpPr>
        <xdr:cNvPr id="16" name="Rectangle 17"/>
        <xdr:cNvSpPr>
          <a:spLocks/>
        </xdr:cNvSpPr>
      </xdr:nvSpPr>
      <xdr:spPr>
        <a:xfrm>
          <a:off x="100584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0</xdr:colOff>
      <xdr:row>2</xdr:row>
      <xdr:rowOff>0</xdr:rowOff>
    </xdr:to>
    <xdr:sp>
      <xdr:nvSpPr>
        <xdr:cNvPr id="17" name="Rectangle 18"/>
        <xdr:cNvSpPr>
          <a:spLocks/>
        </xdr:cNvSpPr>
      </xdr:nvSpPr>
      <xdr:spPr>
        <a:xfrm>
          <a:off x="100584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0</xdr:colOff>
      <xdr:row>2</xdr:row>
      <xdr:rowOff>0</xdr:rowOff>
    </xdr:to>
    <xdr:sp>
      <xdr:nvSpPr>
        <xdr:cNvPr id="18" name="Rectangle 19"/>
        <xdr:cNvSpPr>
          <a:spLocks/>
        </xdr:cNvSpPr>
      </xdr:nvSpPr>
      <xdr:spPr>
        <a:xfrm>
          <a:off x="100584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0</xdr:colOff>
      <xdr:row>2</xdr:row>
      <xdr:rowOff>0</xdr:rowOff>
    </xdr:to>
    <xdr:sp>
      <xdr:nvSpPr>
        <xdr:cNvPr id="19" name="Rectangle 20"/>
        <xdr:cNvSpPr>
          <a:spLocks/>
        </xdr:cNvSpPr>
      </xdr:nvSpPr>
      <xdr:spPr>
        <a:xfrm>
          <a:off x="100584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0</xdr:colOff>
      <xdr:row>2</xdr:row>
      <xdr:rowOff>0</xdr:rowOff>
    </xdr:to>
    <xdr:sp>
      <xdr:nvSpPr>
        <xdr:cNvPr id="20" name="Rectangle 21"/>
        <xdr:cNvSpPr>
          <a:spLocks/>
        </xdr:cNvSpPr>
      </xdr:nvSpPr>
      <xdr:spPr>
        <a:xfrm>
          <a:off x="100584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0</xdr:colOff>
      <xdr:row>2</xdr:row>
      <xdr:rowOff>0</xdr:rowOff>
    </xdr:to>
    <xdr:sp>
      <xdr:nvSpPr>
        <xdr:cNvPr id="21" name="Rectangle 22"/>
        <xdr:cNvSpPr>
          <a:spLocks/>
        </xdr:cNvSpPr>
      </xdr:nvSpPr>
      <xdr:spPr>
        <a:xfrm>
          <a:off x="100584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0</xdr:colOff>
      <xdr:row>2</xdr:row>
      <xdr:rowOff>0</xdr:rowOff>
    </xdr:to>
    <xdr:sp>
      <xdr:nvSpPr>
        <xdr:cNvPr id="22" name="Rectangle 23"/>
        <xdr:cNvSpPr>
          <a:spLocks/>
        </xdr:cNvSpPr>
      </xdr:nvSpPr>
      <xdr:spPr>
        <a:xfrm>
          <a:off x="100584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114300</xdr:rowOff>
    </xdr:from>
    <xdr:to>
      <xdr:col>6</xdr:col>
      <xdr:colOff>0</xdr:colOff>
      <xdr:row>2</xdr:row>
      <xdr:rowOff>85725</xdr:rowOff>
    </xdr:to>
    <xdr:pic>
      <xdr:nvPicPr>
        <xdr:cNvPr id="23" name="Picture 24"/>
        <xdr:cNvPicPr preferRelativeResize="1">
          <a:picLocks noChangeAspect="1"/>
        </xdr:cNvPicPr>
      </xdr:nvPicPr>
      <xdr:blipFill>
        <a:blip r:embed="rId1"/>
        <a:stretch>
          <a:fillRect/>
        </a:stretch>
      </xdr:blipFill>
      <xdr:spPr>
        <a:xfrm>
          <a:off x="10058400" y="114300"/>
          <a:ext cx="0" cy="323850"/>
        </a:xfrm>
        <a:prstGeom prst="rect">
          <a:avLst/>
        </a:prstGeom>
        <a:noFill/>
        <a:ln w="9525" cmpd="sng">
          <a:noFill/>
        </a:ln>
      </xdr:spPr>
    </xdr:pic>
    <xdr:clientData/>
  </xdr:twoCellAnchor>
  <xdr:twoCellAnchor>
    <xdr:from>
      <xdr:col>4</xdr:col>
      <xdr:colOff>152400</xdr:colOff>
      <xdr:row>0</xdr:row>
      <xdr:rowOff>161925</xdr:rowOff>
    </xdr:from>
    <xdr:to>
      <xdr:col>4</xdr:col>
      <xdr:colOff>828675</xdr:colOff>
      <xdr:row>2</xdr:row>
      <xdr:rowOff>133350</xdr:rowOff>
    </xdr:to>
    <xdr:pic>
      <xdr:nvPicPr>
        <xdr:cNvPr id="24" name="Picture 25"/>
        <xdr:cNvPicPr preferRelativeResize="1">
          <a:picLocks noChangeAspect="1"/>
        </xdr:cNvPicPr>
      </xdr:nvPicPr>
      <xdr:blipFill>
        <a:blip r:embed="rId1"/>
        <a:stretch>
          <a:fillRect/>
        </a:stretch>
      </xdr:blipFill>
      <xdr:spPr>
        <a:xfrm>
          <a:off x="8172450" y="161925"/>
          <a:ext cx="676275" cy="3238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171450</xdr:rowOff>
    </xdr:from>
    <xdr:to>
      <xdr:col>9</xdr:col>
      <xdr:colOff>0</xdr:colOff>
      <xdr:row>2</xdr:row>
      <xdr:rowOff>0</xdr:rowOff>
    </xdr:to>
    <xdr:sp>
      <xdr:nvSpPr>
        <xdr:cNvPr id="1" name="Rectangle 1"/>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0</xdr:colOff>
      <xdr:row>2</xdr:row>
      <xdr:rowOff>0</xdr:rowOff>
    </xdr:to>
    <xdr:sp>
      <xdr:nvSpPr>
        <xdr:cNvPr id="2" name="Rectangle 2"/>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0</xdr:colOff>
      <xdr:row>2</xdr:row>
      <xdr:rowOff>0</xdr:rowOff>
    </xdr:to>
    <xdr:sp>
      <xdr:nvSpPr>
        <xdr:cNvPr id="3" name="Rectangle 3"/>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0</xdr:colOff>
      <xdr:row>2</xdr:row>
      <xdr:rowOff>0</xdr:rowOff>
    </xdr:to>
    <xdr:sp>
      <xdr:nvSpPr>
        <xdr:cNvPr id="4" name="Rectangle 4"/>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0</xdr:colOff>
      <xdr:row>2</xdr:row>
      <xdr:rowOff>0</xdr:rowOff>
    </xdr:to>
    <xdr:sp>
      <xdr:nvSpPr>
        <xdr:cNvPr id="5" name="Rectangle 5"/>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0</xdr:colOff>
      <xdr:row>2</xdr:row>
      <xdr:rowOff>0</xdr:rowOff>
    </xdr:to>
    <xdr:sp>
      <xdr:nvSpPr>
        <xdr:cNvPr id="6" name="Rectangle 6"/>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0</xdr:colOff>
      <xdr:row>2</xdr:row>
      <xdr:rowOff>0</xdr:rowOff>
    </xdr:to>
    <xdr:sp>
      <xdr:nvSpPr>
        <xdr:cNvPr id="7" name="Rectangle 7"/>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0</xdr:colOff>
      <xdr:row>2</xdr:row>
      <xdr:rowOff>0</xdr:rowOff>
    </xdr:to>
    <xdr:sp>
      <xdr:nvSpPr>
        <xdr:cNvPr id="8" name="Rectangle 8"/>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409575</xdr:colOff>
      <xdr:row>2</xdr:row>
      <xdr:rowOff>0</xdr:rowOff>
    </xdr:to>
    <xdr:sp>
      <xdr:nvSpPr>
        <xdr:cNvPr id="9" name="Rectangle 9"/>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409575</xdr:colOff>
      <xdr:row>2</xdr:row>
      <xdr:rowOff>0</xdr:rowOff>
    </xdr:to>
    <xdr:sp>
      <xdr:nvSpPr>
        <xdr:cNvPr id="10" name="Rectangle 10"/>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409575</xdr:colOff>
      <xdr:row>2</xdr:row>
      <xdr:rowOff>0</xdr:rowOff>
    </xdr:to>
    <xdr:sp>
      <xdr:nvSpPr>
        <xdr:cNvPr id="11" name="Rectangle 11"/>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409575</xdr:colOff>
      <xdr:row>2</xdr:row>
      <xdr:rowOff>0</xdr:rowOff>
    </xdr:to>
    <xdr:sp>
      <xdr:nvSpPr>
        <xdr:cNvPr id="12" name="Rectangle 12"/>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409575</xdr:colOff>
      <xdr:row>2</xdr:row>
      <xdr:rowOff>0</xdr:rowOff>
    </xdr:to>
    <xdr:sp>
      <xdr:nvSpPr>
        <xdr:cNvPr id="13" name="Rectangle 13"/>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409575</xdr:colOff>
      <xdr:row>2</xdr:row>
      <xdr:rowOff>0</xdr:rowOff>
    </xdr:to>
    <xdr:sp>
      <xdr:nvSpPr>
        <xdr:cNvPr id="14" name="Rectangle 14"/>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409575</xdr:colOff>
      <xdr:row>2</xdr:row>
      <xdr:rowOff>0</xdr:rowOff>
    </xdr:to>
    <xdr:sp>
      <xdr:nvSpPr>
        <xdr:cNvPr id="15" name="Rectangle 15"/>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409575</xdr:colOff>
      <xdr:row>2</xdr:row>
      <xdr:rowOff>0</xdr:rowOff>
    </xdr:to>
    <xdr:sp>
      <xdr:nvSpPr>
        <xdr:cNvPr id="16" name="Rectangle 16"/>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409575</xdr:colOff>
      <xdr:row>2</xdr:row>
      <xdr:rowOff>0</xdr:rowOff>
    </xdr:to>
    <xdr:sp>
      <xdr:nvSpPr>
        <xdr:cNvPr id="17" name="Rectangle 17"/>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409575</xdr:colOff>
      <xdr:row>2</xdr:row>
      <xdr:rowOff>0</xdr:rowOff>
    </xdr:to>
    <xdr:sp>
      <xdr:nvSpPr>
        <xdr:cNvPr id="18" name="Rectangle 18"/>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409575</xdr:colOff>
      <xdr:row>2</xdr:row>
      <xdr:rowOff>0</xdr:rowOff>
    </xdr:to>
    <xdr:sp>
      <xdr:nvSpPr>
        <xdr:cNvPr id="19" name="Rectangle 19"/>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409575</xdr:colOff>
      <xdr:row>2</xdr:row>
      <xdr:rowOff>0</xdr:rowOff>
    </xdr:to>
    <xdr:sp>
      <xdr:nvSpPr>
        <xdr:cNvPr id="20" name="Rectangle 20"/>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409575</xdr:colOff>
      <xdr:row>2</xdr:row>
      <xdr:rowOff>0</xdr:rowOff>
    </xdr:to>
    <xdr:sp>
      <xdr:nvSpPr>
        <xdr:cNvPr id="21" name="Rectangle 21"/>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409575</xdr:colOff>
      <xdr:row>2</xdr:row>
      <xdr:rowOff>0</xdr:rowOff>
    </xdr:to>
    <xdr:sp>
      <xdr:nvSpPr>
        <xdr:cNvPr id="22" name="Rectangle 22"/>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0</xdr:row>
      <xdr:rowOff>152400</xdr:rowOff>
    </xdr:from>
    <xdr:to>
      <xdr:col>5</xdr:col>
      <xdr:colOff>990600</xdr:colOff>
      <xdr:row>2</xdr:row>
      <xdr:rowOff>123825</xdr:rowOff>
    </xdr:to>
    <xdr:pic>
      <xdr:nvPicPr>
        <xdr:cNvPr id="23" name="Picture 24"/>
        <xdr:cNvPicPr preferRelativeResize="1">
          <a:picLocks noChangeAspect="1"/>
        </xdr:cNvPicPr>
      </xdr:nvPicPr>
      <xdr:blipFill>
        <a:blip r:embed="rId1"/>
        <a:stretch>
          <a:fillRect/>
        </a:stretch>
      </xdr:blipFill>
      <xdr:spPr>
        <a:xfrm>
          <a:off x="7686675" y="152400"/>
          <a:ext cx="676275" cy="3238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171450</xdr:rowOff>
    </xdr:from>
    <xdr:to>
      <xdr:col>9</xdr:col>
      <xdr:colOff>0</xdr:colOff>
      <xdr:row>2</xdr:row>
      <xdr:rowOff>0</xdr:rowOff>
    </xdr:to>
    <xdr:sp>
      <xdr:nvSpPr>
        <xdr:cNvPr id="1" name="Rectangle 1"/>
        <xdr:cNvSpPr>
          <a:spLocks/>
        </xdr:cNvSpPr>
      </xdr:nvSpPr>
      <xdr:spPr>
        <a:xfrm>
          <a:off x="9020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0</xdr:colOff>
      <xdr:row>2</xdr:row>
      <xdr:rowOff>0</xdr:rowOff>
    </xdr:to>
    <xdr:sp>
      <xdr:nvSpPr>
        <xdr:cNvPr id="2" name="Rectangle 2"/>
        <xdr:cNvSpPr>
          <a:spLocks/>
        </xdr:cNvSpPr>
      </xdr:nvSpPr>
      <xdr:spPr>
        <a:xfrm>
          <a:off x="9020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0</xdr:colOff>
      <xdr:row>2</xdr:row>
      <xdr:rowOff>0</xdr:rowOff>
    </xdr:to>
    <xdr:sp>
      <xdr:nvSpPr>
        <xdr:cNvPr id="3" name="Rectangle 3"/>
        <xdr:cNvSpPr>
          <a:spLocks/>
        </xdr:cNvSpPr>
      </xdr:nvSpPr>
      <xdr:spPr>
        <a:xfrm>
          <a:off x="9020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0</xdr:colOff>
      <xdr:row>2</xdr:row>
      <xdr:rowOff>0</xdr:rowOff>
    </xdr:to>
    <xdr:sp>
      <xdr:nvSpPr>
        <xdr:cNvPr id="4" name="Rectangle 4"/>
        <xdr:cNvSpPr>
          <a:spLocks/>
        </xdr:cNvSpPr>
      </xdr:nvSpPr>
      <xdr:spPr>
        <a:xfrm>
          <a:off x="9020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0</xdr:colOff>
      <xdr:row>2</xdr:row>
      <xdr:rowOff>0</xdr:rowOff>
    </xdr:to>
    <xdr:sp>
      <xdr:nvSpPr>
        <xdr:cNvPr id="5" name="Rectangle 5"/>
        <xdr:cNvSpPr>
          <a:spLocks/>
        </xdr:cNvSpPr>
      </xdr:nvSpPr>
      <xdr:spPr>
        <a:xfrm>
          <a:off x="9020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0</xdr:colOff>
      <xdr:row>2</xdr:row>
      <xdr:rowOff>0</xdr:rowOff>
    </xdr:to>
    <xdr:sp>
      <xdr:nvSpPr>
        <xdr:cNvPr id="6" name="Rectangle 6"/>
        <xdr:cNvSpPr>
          <a:spLocks/>
        </xdr:cNvSpPr>
      </xdr:nvSpPr>
      <xdr:spPr>
        <a:xfrm>
          <a:off x="9020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0</xdr:colOff>
      <xdr:row>2</xdr:row>
      <xdr:rowOff>0</xdr:rowOff>
    </xdr:to>
    <xdr:sp>
      <xdr:nvSpPr>
        <xdr:cNvPr id="7" name="Rectangle 7"/>
        <xdr:cNvSpPr>
          <a:spLocks/>
        </xdr:cNvSpPr>
      </xdr:nvSpPr>
      <xdr:spPr>
        <a:xfrm>
          <a:off x="9020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0</xdr:colOff>
      <xdr:row>2</xdr:row>
      <xdr:rowOff>0</xdr:rowOff>
    </xdr:to>
    <xdr:sp>
      <xdr:nvSpPr>
        <xdr:cNvPr id="8" name="Rectangle 8"/>
        <xdr:cNvSpPr>
          <a:spLocks/>
        </xdr:cNvSpPr>
      </xdr:nvSpPr>
      <xdr:spPr>
        <a:xfrm>
          <a:off x="9020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409575</xdr:colOff>
      <xdr:row>2</xdr:row>
      <xdr:rowOff>0</xdr:rowOff>
    </xdr:to>
    <xdr:sp>
      <xdr:nvSpPr>
        <xdr:cNvPr id="9" name="Rectangle 9"/>
        <xdr:cNvSpPr>
          <a:spLocks/>
        </xdr:cNvSpPr>
      </xdr:nvSpPr>
      <xdr:spPr>
        <a:xfrm>
          <a:off x="9020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409575</xdr:colOff>
      <xdr:row>2</xdr:row>
      <xdr:rowOff>0</xdr:rowOff>
    </xdr:to>
    <xdr:sp>
      <xdr:nvSpPr>
        <xdr:cNvPr id="10" name="Rectangle 10"/>
        <xdr:cNvSpPr>
          <a:spLocks/>
        </xdr:cNvSpPr>
      </xdr:nvSpPr>
      <xdr:spPr>
        <a:xfrm>
          <a:off x="9020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409575</xdr:colOff>
      <xdr:row>2</xdr:row>
      <xdr:rowOff>0</xdr:rowOff>
    </xdr:to>
    <xdr:sp>
      <xdr:nvSpPr>
        <xdr:cNvPr id="11" name="Rectangle 11"/>
        <xdr:cNvSpPr>
          <a:spLocks/>
        </xdr:cNvSpPr>
      </xdr:nvSpPr>
      <xdr:spPr>
        <a:xfrm>
          <a:off x="9020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409575</xdr:colOff>
      <xdr:row>2</xdr:row>
      <xdr:rowOff>0</xdr:rowOff>
    </xdr:to>
    <xdr:sp>
      <xdr:nvSpPr>
        <xdr:cNvPr id="12" name="Rectangle 12"/>
        <xdr:cNvSpPr>
          <a:spLocks/>
        </xdr:cNvSpPr>
      </xdr:nvSpPr>
      <xdr:spPr>
        <a:xfrm>
          <a:off x="9020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409575</xdr:colOff>
      <xdr:row>2</xdr:row>
      <xdr:rowOff>0</xdr:rowOff>
    </xdr:to>
    <xdr:sp>
      <xdr:nvSpPr>
        <xdr:cNvPr id="13" name="Rectangle 13"/>
        <xdr:cNvSpPr>
          <a:spLocks/>
        </xdr:cNvSpPr>
      </xdr:nvSpPr>
      <xdr:spPr>
        <a:xfrm>
          <a:off x="9020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409575</xdr:colOff>
      <xdr:row>2</xdr:row>
      <xdr:rowOff>0</xdr:rowOff>
    </xdr:to>
    <xdr:sp>
      <xdr:nvSpPr>
        <xdr:cNvPr id="14" name="Rectangle 14"/>
        <xdr:cNvSpPr>
          <a:spLocks/>
        </xdr:cNvSpPr>
      </xdr:nvSpPr>
      <xdr:spPr>
        <a:xfrm>
          <a:off x="9020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409575</xdr:colOff>
      <xdr:row>2</xdr:row>
      <xdr:rowOff>0</xdr:rowOff>
    </xdr:to>
    <xdr:sp>
      <xdr:nvSpPr>
        <xdr:cNvPr id="15" name="Rectangle 15"/>
        <xdr:cNvSpPr>
          <a:spLocks/>
        </xdr:cNvSpPr>
      </xdr:nvSpPr>
      <xdr:spPr>
        <a:xfrm>
          <a:off x="9020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409575</xdr:colOff>
      <xdr:row>2</xdr:row>
      <xdr:rowOff>0</xdr:rowOff>
    </xdr:to>
    <xdr:sp>
      <xdr:nvSpPr>
        <xdr:cNvPr id="16" name="Rectangle 16"/>
        <xdr:cNvSpPr>
          <a:spLocks/>
        </xdr:cNvSpPr>
      </xdr:nvSpPr>
      <xdr:spPr>
        <a:xfrm>
          <a:off x="9020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409575</xdr:colOff>
      <xdr:row>2</xdr:row>
      <xdr:rowOff>0</xdr:rowOff>
    </xdr:to>
    <xdr:sp>
      <xdr:nvSpPr>
        <xdr:cNvPr id="17" name="Rectangle 17"/>
        <xdr:cNvSpPr>
          <a:spLocks/>
        </xdr:cNvSpPr>
      </xdr:nvSpPr>
      <xdr:spPr>
        <a:xfrm>
          <a:off x="9020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409575</xdr:colOff>
      <xdr:row>2</xdr:row>
      <xdr:rowOff>0</xdr:rowOff>
    </xdr:to>
    <xdr:sp>
      <xdr:nvSpPr>
        <xdr:cNvPr id="18" name="Rectangle 18"/>
        <xdr:cNvSpPr>
          <a:spLocks/>
        </xdr:cNvSpPr>
      </xdr:nvSpPr>
      <xdr:spPr>
        <a:xfrm>
          <a:off x="9020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409575</xdr:colOff>
      <xdr:row>2</xdr:row>
      <xdr:rowOff>0</xdr:rowOff>
    </xdr:to>
    <xdr:sp>
      <xdr:nvSpPr>
        <xdr:cNvPr id="19" name="Rectangle 19"/>
        <xdr:cNvSpPr>
          <a:spLocks/>
        </xdr:cNvSpPr>
      </xdr:nvSpPr>
      <xdr:spPr>
        <a:xfrm>
          <a:off x="9020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409575</xdr:colOff>
      <xdr:row>2</xdr:row>
      <xdr:rowOff>0</xdr:rowOff>
    </xdr:to>
    <xdr:sp>
      <xdr:nvSpPr>
        <xdr:cNvPr id="20" name="Rectangle 20"/>
        <xdr:cNvSpPr>
          <a:spLocks/>
        </xdr:cNvSpPr>
      </xdr:nvSpPr>
      <xdr:spPr>
        <a:xfrm>
          <a:off x="9020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409575</xdr:colOff>
      <xdr:row>2</xdr:row>
      <xdr:rowOff>0</xdr:rowOff>
    </xdr:to>
    <xdr:sp>
      <xdr:nvSpPr>
        <xdr:cNvPr id="21" name="Rectangle 21"/>
        <xdr:cNvSpPr>
          <a:spLocks/>
        </xdr:cNvSpPr>
      </xdr:nvSpPr>
      <xdr:spPr>
        <a:xfrm>
          <a:off x="9020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409575</xdr:colOff>
      <xdr:row>2</xdr:row>
      <xdr:rowOff>0</xdr:rowOff>
    </xdr:to>
    <xdr:sp>
      <xdr:nvSpPr>
        <xdr:cNvPr id="22" name="Rectangle 22"/>
        <xdr:cNvSpPr>
          <a:spLocks/>
        </xdr:cNvSpPr>
      </xdr:nvSpPr>
      <xdr:spPr>
        <a:xfrm>
          <a:off x="9020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0</xdr:row>
      <xdr:rowOff>152400</xdr:rowOff>
    </xdr:from>
    <xdr:to>
      <xdr:col>5</xdr:col>
      <xdr:colOff>847725</xdr:colOff>
      <xdr:row>2</xdr:row>
      <xdr:rowOff>123825</xdr:rowOff>
    </xdr:to>
    <xdr:pic>
      <xdr:nvPicPr>
        <xdr:cNvPr id="23" name="Picture 23"/>
        <xdr:cNvPicPr preferRelativeResize="1">
          <a:picLocks noChangeAspect="1"/>
        </xdr:cNvPicPr>
      </xdr:nvPicPr>
      <xdr:blipFill>
        <a:blip r:embed="rId1"/>
        <a:stretch>
          <a:fillRect/>
        </a:stretch>
      </xdr:blipFill>
      <xdr:spPr>
        <a:xfrm>
          <a:off x="7477125" y="152400"/>
          <a:ext cx="533400" cy="3238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161925</xdr:rowOff>
    </xdr:from>
    <xdr:to>
      <xdr:col>9</xdr:col>
      <xdr:colOff>0</xdr:colOff>
      <xdr:row>2</xdr:row>
      <xdr:rowOff>0</xdr:rowOff>
    </xdr:to>
    <xdr:sp>
      <xdr:nvSpPr>
        <xdr:cNvPr id="1" name="Rectangle 1"/>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161925</xdr:rowOff>
    </xdr:from>
    <xdr:to>
      <xdr:col>9</xdr:col>
      <xdr:colOff>0</xdr:colOff>
      <xdr:row>2</xdr:row>
      <xdr:rowOff>0</xdr:rowOff>
    </xdr:to>
    <xdr:sp>
      <xdr:nvSpPr>
        <xdr:cNvPr id="2" name="Rectangle 2"/>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161925</xdr:rowOff>
    </xdr:from>
    <xdr:to>
      <xdr:col>9</xdr:col>
      <xdr:colOff>0</xdr:colOff>
      <xdr:row>2</xdr:row>
      <xdr:rowOff>0</xdr:rowOff>
    </xdr:to>
    <xdr:sp>
      <xdr:nvSpPr>
        <xdr:cNvPr id="3" name="Rectangle 3"/>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161925</xdr:rowOff>
    </xdr:from>
    <xdr:to>
      <xdr:col>9</xdr:col>
      <xdr:colOff>0</xdr:colOff>
      <xdr:row>2</xdr:row>
      <xdr:rowOff>0</xdr:rowOff>
    </xdr:to>
    <xdr:sp>
      <xdr:nvSpPr>
        <xdr:cNvPr id="4" name="Rectangle 4"/>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161925</xdr:rowOff>
    </xdr:from>
    <xdr:to>
      <xdr:col>9</xdr:col>
      <xdr:colOff>0</xdr:colOff>
      <xdr:row>2</xdr:row>
      <xdr:rowOff>0</xdr:rowOff>
    </xdr:to>
    <xdr:sp>
      <xdr:nvSpPr>
        <xdr:cNvPr id="5" name="Rectangle 5"/>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161925</xdr:rowOff>
    </xdr:from>
    <xdr:to>
      <xdr:col>9</xdr:col>
      <xdr:colOff>0</xdr:colOff>
      <xdr:row>2</xdr:row>
      <xdr:rowOff>0</xdr:rowOff>
    </xdr:to>
    <xdr:sp>
      <xdr:nvSpPr>
        <xdr:cNvPr id="6" name="Rectangle 6"/>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161925</xdr:rowOff>
    </xdr:from>
    <xdr:to>
      <xdr:col>9</xdr:col>
      <xdr:colOff>0</xdr:colOff>
      <xdr:row>2</xdr:row>
      <xdr:rowOff>0</xdr:rowOff>
    </xdr:to>
    <xdr:sp>
      <xdr:nvSpPr>
        <xdr:cNvPr id="7" name="Rectangle 7"/>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161925</xdr:rowOff>
    </xdr:from>
    <xdr:to>
      <xdr:col>9</xdr:col>
      <xdr:colOff>0</xdr:colOff>
      <xdr:row>2</xdr:row>
      <xdr:rowOff>0</xdr:rowOff>
    </xdr:to>
    <xdr:sp>
      <xdr:nvSpPr>
        <xdr:cNvPr id="8" name="Rectangle 8"/>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161925</xdr:rowOff>
    </xdr:from>
    <xdr:to>
      <xdr:col>9</xdr:col>
      <xdr:colOff>0</xdr:colOff>
      <xdr:row>2</xdr:row>
      <xdr:rowOff>0</xdr:rowOff>
    </xdr:to>
    <xdr:sp>
      <xdr:nvSpPr>
        <xdr:cNvPr id="9" name="Rectangle 9"/>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161925</xdr:rowOff>
    </xdr:from>
    <xdr:to>
      <xdr:col>9</xdr:col>
      <xdr:colOff>0</xdr:colOff>
      <xdr:row>2</xdr:row>
      <xdr:rowOff>0</xdr:rowOff>
    </xdr:to>
    <xdr:sp>
      <xdr:nvSpPr>
        <xdr:cNvPr id="10" name="Rectangle 10"/>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161925</xdr:rowOff>
    </xdr:from>
    <xdr:to>
      <xdr:col>9</xdr:col>
      <xdr:colOff>0</xdr:colOff>
      <xdr:row>2</xdr:row>
      <xdr:rowOff>0</xdr:rowOff>
    </xdr:to>
    <xdr:sp>
      <xdr:nvSpPr>
        <xdr:cNvPr id="11" name="Rectangle 11"/>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161925</xdr:rowOff>
    </xdr:from>
    <xdr:to>
      <xdr:col>9</xdr:col>
      <xdr:colOff>0</xdr:colOff>
      <xdr:row>2</xdr:row>
      <xdr:rowOff>0</xdr:rowOff>
    </xdr:to>
    <xdr:sp>
      <xdr:nvSpPr>
        <xdr:cNvPr id="12" name="Rectangle 12"/>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161925</xdr:rowOff>
    </xdr:from>
    <xdr:to>
      <xdr:col>9</xdr:col>
      <xdr:colOff>0</xdr:colOff>
      <xdr:row>2</xdr:row>
      <xdr:rowOff>0</xdr:rowOff>
    </xdr:to>
    <xdr:sp>
      <xdr:nvSpPr>
        <xdr:cNvPr id="13" name="Rectangle 13"/>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161925</xdr:rowOff>
    </xdr:from>
    <xdr:to>
      <xdr:col>9</xdr:col>
      <xdr:colOff>0</xdr:colOff>
      <xdr:row>2</xdr:row>
      <xdr:rowOff>0</xdr:rowOff>
    </xdr:to>
    <xdr:sp>
      <xdr:nvSpPr>
        <xdr:cNvPr id="14" name="Rectangle 14"/>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161925</xdr:rowOff>
    </xdr:from>
    <xdr:to>
      <xdr:col>9</xdr:col>
      <xdr:colOff>0</xdr:colOff>
      <xdr:row>2</xdr:row>
      <xdr:rowOff>0</xdr:rowOff>
    </xdr:to>
    <xdr:sp>
      <xdr:nvSpPr>
        <xdr:cNvPr id="15" name="Rectangle 15"/>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161925</xdr:rowOff>
    </xdr:from>
    <xdr:to>
      <xdr:col>9</xdr:col>
      <xdr:colOff>0</xdr:colOff>
      <xdr:row>2</xdr:row>
      <xdr:rowOff>0</xdr:rowOff>
    </xdr:to>
    <xdr:sp>
      <xdr:nvSpPr>
        <xdr:cNvPr id="16" name="Rectangle 16"/>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161925</xdr:rowOff>
    </xdr:from>
    <xdr:to>
      <xdr:col>9</xdr:col>
      <xdr:colOff>0</xdr:colOff>
      <xdr:row>2</xdr:row>
      <xdr:rowOff>0</xdr:rowOff>
    </xdr:to>
    <xdr:sp>
      <xdr:nvSpPr>
        <xdr:cNvPr id="17" name="Rectangle 17"/>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161925</xdr:rowOff>
    </xdr:from>
    <xdr:to>
      <xdr:col>9</xdr:col>
      <xdr:colOff>0</xdr:colOff>
      <xdr:row>2</xdr:row>
      <xdr:rowOff>0</xdr:rowOff>
    </xdr:to>
    <xdr:sp>
      <xdr:nvSpPr>
        <xdr:cNvPr id="18" name="Rectangle 18"/>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161925</xdr:rowOff>
    </xdr:from>
    <xdr:to>
      <xdr:col>9</xdr:col>
      <xdr:colOff>0</xdr:colOff>
      <xdr:row>2</xdr:row>
      <xdr:rowOff>0</xdr:rowOff>
    </xdr:to>
    <xdr:sp>
      <xdr:nvSpPr>
        <xdr:cNvPr id="19" name="Rectangle 19"/>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161925</xdr:rowOff>
    </xdr:from>
    <xdr:to>
      <xdr:col>9</xdr:col>
      <xdr:colOff>0</xdr:colOff>
      <xdr:row>2</xdr:row>
      <xdr:rowOff>0</xdr:rowOff>
    </xdr:to>
    <xdr:sp>
      <xdr:nvSpPr>
        <xdr:cNvPr id="20" name="Rectangle 20"/>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161925</xdr:rowOff>
    </xdr:from>
    <xdr:to>
      <xdr:col>9</xdr:col>
      <xdr:colOff>0</xdr:colOff>
      <xdr:row>2</xdr:row>
      <xdr:rowOff>0</xdr:rowOff>
    </xdr:to>
    <xdr:sp>
      <xdr:nvSpPr>
        <xdr:cNvPr id="21" name="Rectangle 21"/>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161925</xdr:rowOff>
    </xdr:from>
    <xdr:to>
      <xdr:col>9</xdr:col>
      <xdr:colOff>0</xdr:colOff>
      <xdr:row>2</xdr:row>
      <xdr:rowOff>0</xdr:rowOff>
    </xdr:to>
    <xdr:sp>
      <xdr:nvSpPr>
        <xdr:cNvPr id="22" name="Rectangle 22"/>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114300</xdr:rowOff>
    </xdr:from>
    <xdr:to>
      <xdr:col>6</xdr:col>
      <xdr:colOff>0</xdr:colOff>
      <xdr:row>2</xdr:row>
      <xdr:rowOff>85725</xdr:rowOff>
    </xdr:to>
    <xdr:pic>
      <xdr:nvPicPr>
        <xdr:cNvPr id="23" name="Picture 23"/>
        <xdr:cNvPicPr preferRelativeResize="1">
          <a:picLocks noChangeAspect="1"/>
        </xdr:cNvPicPr>
      </xdr:nvPicPr>
      <xdr:blipFill>
        <a:blip r:embed="rId1"/>
        <a:stretch>
          <a:fillRect/>
        </a:stretch>
      </xdr:blipFill>
      <xdr:spPr>
        <a:xfrm>
          <a:off x="10058400" y="114300"/>
          <a:ext cx="0" cy="295275"/>
        </a:xfrm>
        <a:prstGeom prst="rect">
          <a:avLst/>
        </a:prstGeom>
        <a:noFill/>
        <a:ln w="9525" cmpd="sng">
          <a:noFill/>
        </a:ln>
      </xdr:spPr>
    </xdr:pic>
    <xdr:clientData/>
  </xdr:twoCellAnchor>
  <xdr:twoCellAnchor>
    <xdr:from>
      <xdr:col>4</xdr:col>
      <xdr:colOff>152400</xdr:colOff>
      <xdr:row>0</xdr:row>
      <xdr:rowOff>161925</xdr:rowOff>
    </xdr:from>
    <xdr:to>
      <xdr:col>4</xdr:col>
      <xdr:colOff>828675</xdr:colOff>
      <xdr:row>2</xdr:row>
      <xdr:rowOff>133350</xdr:rowOff>
    </xdr:to>
    <xdr:pic>
      <xdr:nvPicPr>
        <xdr:cNvPr id="24" name="Picture 24"/>
        <xdr:cNvPicPr preferRelativeResize="1">
          <a:picLocks noChangeAspect="1"/>
        </xdr:cNvPicPr>
      </xdr:nvPicPr>
      <xdr:blipFill>
        <a:blip r:embed="rId1"/>
        <a:stretch>
          <a:fillRect/>
        </a:stretch>
      </xdr:blipFill>
      <xdr:spPr>
        <a:xfrm>
          <a:off x="8172450" y="161925"/>
          <a:ext cx="676275" cy="295275"/>
        </a:xfrm>
        <a:prstGeom prst="rect">
          <a:avLst/>
        </a:prstGeom>
        <a:noFill/>
        <a:ln w="9525" cmpd="sng">
          <a:noFill/>
        </a:ln>
      </xdr:spPr>
    </xdr:pic>
    <xdr:clientData/>
  </xdr:twoCellAnchor>
  <xdr:twoCellAnchor>
    <xdr:from>
      <xdr:col>9</xdr:col>
      <xdr:colOff>0</xdr:colOff>
      <xdr:row>48</xdr:row>
      <xdr:rowOff>161925</xdr:rowOff>
    </xdr:from>
    <xdr:to>
      <xdr:col>9</xdr:col>
      <xdr:colOff>0</xdr:colOff>
      <xdr:row>49</xdr:row>
      <xdr:rowOff>0</xdr:rowOff>
    </xdr:to>
    <xdr:sp>
      <xdr:nvSpPr>
        <xdr:cNvPr id="25" name="Rectangle 25"/>
        <xdr:cNvSpPr>
          <a:spLocks/>
        </xdr:cNvSpPr>
      </xdr:nvSpPr>
      <xdr:spPr>
        <a:xfrm>
          <a:off x="10058400" y="6800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48</xdr:row>
      <xdr:rowOff>161925</xdr:rowOff>
    </xdr:from>
    <xdr:to>
      <xdr:col>9</xdr:col>
      <xdr:colOff>0</xdr:colOff>
      <xdr:row>49</xdr:row>
      <xdr:rowOff>0</xdr:rowOff>
    </xdr:to>
    <xdr:sp>
      <xdr:nvSpPr>
        <xdr:cNvPr id="26" name="Rectangle 26"/>
        <xdr:cNvSpPr>
          <a:spLocks/>
        </xdr:cNvSpPr>
      </xdr:nvSpPr>
      <xdr:spPr>
        <a:xfrm>
          <a:off x="10058400" y="6800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48</xdr:row>
      <xdr:rowOff>161925</xdr:rowOff>
    </xdr:from>
    <xdr:to>
      <xdr:col>9</xdr:col>
      <xdr:colOff>0</xdr:colOff>
      <xdr:row>49</xdr:row>
      <xdr:rowOff>0</xdr:rowOff>
    </xdr:to>
    <xdr:sp>
      <xdr:nvSpPr>
        <xdr:cNvPr id="27" name="Rectangle 27"/>
        <xdr:cNvSpPr>
          <a:spLocks/>
        </xdr:cNvSpPr>
      </xdr:nvSpPr>
      <xdr:spPr>
        <a:xfrm>
          <a:off x="10058400" y="6800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48</xdr:row>
      <xdr:rowOff>161925</xdr:rowOff>
    </xdr:from>
    <xdr:to>
      <xdr:col>9</xdr:col>
      <xdr:colOff>0</xdr:colOff>
      <xdr:row>49</xdr:row>
      <xdr:rowOff>0</xdr:rowOff>
    </xdr:to>
    <xdr:sp>
      <xdr:nvSpPr>
        <xdr:cNvPr id="28" name="Rectangle 28"/>
        <xdr:cNvSpPr>
          <a:spLocks/>
        </xdr:cNvSpPr>
      </xdr:nvSpPr>
      <xdr:spPr>
        <a:xfrm>
          <a:off x="10058400" y="6800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48</xdr:row>
      <xdr:rowOff>161925</xdr:rowOff>
    </xdr:from>
    <xdr:to>
      <xdr:col>9</xdr:col>
      <xdr:colOff>0</xdr:colOff>
      <xdr:row>49</xdr:row>
      <xdr:rowOff>0</xdr:rowOff>
    </xdr:to>
    <xdr:sp>
      <xdr:nvSpPr>
        <xdr:cNvPr id="29" name="Rectangle 29"/>
        <xdr:cNvSpPr>
          <a:spLocks/>
        </xdr:cNvSpPr>
      </xdr:nvSpPr>
      <xdr:spPr>
        <a:xfrm>
          <a:off x="10058400" y="6800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48</xdr:row>
      <xdr:rowOff>161925</xdr:rowOff>
    </xdr:from>
    <xdr:to>
      <xdr:col>9</xdr:col>
      <xdr:colOff>0</xdr:colOff>
      <xdr:row>49</xdr:row>
      <xdr:rowOff>0</xdr:rowOff>
    </xdr:to>
    <xdr:sp>
      <xdr:nvSpPr>
        <xdr:cNvPr id="30" name="Rectangle 30"/>
        <xdr:cNvSpPr>
          <a:spLocks/>
        </xdr:cNvSpPr>
      </xdr:nvSpPr>
      <xdr:spPr>
        <a:xfrm>
          <a:off x="10058400" y="6800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48</xdr:row>
      <xdr:rowOff>161925</xdr:rowOff>
    </xdr:from>
    <xdr:to>
      <xdr:col>9</xdr:col>
      <xdr:colOff>0</xdr:colOff>
      <xdr:row>49</xdr:row>
      <xdr:rowOff>0</xdr:rowOff>
    </xdr:to>
    <xdr:sp>
      <xdr:nvSpPr>
        <xdr:cNvPr id="31" name="Rectangle 31"/>
        <xdr:cNvSpPr>
          <a:spLocks/>
        </xdr:cNvSpPr>
      </xdr:nvSpPr>
      <xdr:spPr>
        <a:xfrm>
          <a:off x="10058400" y="6800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48</xdr:row>
      <xdr:rowOff>161925</xdr:rowOff>
    </xdr:from>
    <xdr:to>
      <xdr:col>9</xdr:col>
      <xdr:colOff>0</xdr:colOff>
      <xdr:row>49</xdr:row>
      <xdr:rowOff>0</xdr:rowOff>
    </xdr:to>
    <xdr:sp>
      <xdr:nvSpPr>
        <xdr:cNvPr id="32" name="Rectangle 32"/>
        <xdr:cNvSpPr>
          <a:spLocks/>
        </xdr:cNvSpPr>
      </xdr:nvSpPr>
      <xdr:spPr>
        <a:xfrm>
          <a:off x="10058400" y="6800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48</xdr:row>
      <xdr:rowOff>161925</xdr:rowOff>
    </xdr:from>
    <xdr:to>
      <xdr:col>9</xdr:col>
      <xdr:colOff>0</xdr:colOff>
      <xdr:row>49</xdr:row>
      <xdr:rowOff>0</xdr:rowOff>
    </xdr:to>
    <xdr:sp>
      <xdr:nvSpPr>
        <xdr:cNvPr id="33" name="Rectangle 33"/>
        <xdr:cNvSpPr>
          <a:spLocks/>
        </xdr:cNvSpPr>
      </xdr:nvSpPr>
      <xdr:spPr>
        <a:xfrm>
          <a:off x="10058400" y="6800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48</xdr:row>
      <xdr:rowOff>161925</xdr:rowOff>
    </xdr:from>
    <xdr:to>
      <xdr:col>9</xdr:col>
      <xdr:colOff>0</xdr:colOff>
      <xdr:row>49</xdr:row>
      <xdr:rowOff>0</xdr:rowOff>
    </xdr:to>
    <xdr:sp>
      <xdr:nvSpPr>
        <xdr:cNvPr id="34" name="Rectangle 34"/>
        <xdr:cNvSpPr>
          <a:spLocks/>
        </xdr:cNvSpPr>
      </xdr:nvSpPr>
      <xdr:spPr>
        <a:xfrm>
          <a:off x="10058400" y="6800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48</xdr:row>
      <xdr:rowOff>161925</xdr:rowOff>
    </xdr:from>
    <xdr:to>
      <xdr:col>9</xdr:col>
      <xdr:colOff>0</xdr:colOff>
      <xdr:row>49</xdr:row>
      <xdr:rowOff>0</xdr:rowOff>
    </xdr:to>
    <xdr:sp>
      <xdr:nvSpPr>
        <xdr:cNvPr id="35" name="Rectangle 35"/>
        <xdr:cNvSpPr>
          <a:spLocks/>
        </xdr:cNvSpPr>
      </xdr:nvSpPr>
      <xdr:spPr>
        <a:xfrm>
          <a:off x="10058400" y="6800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48</xdr:row>
      <xdr:rowOff>161925</xdr:rowOff>
    </xdr:from>
    <xdr:to>
      <xdr:col>9</xdr:col>
      <xdr:colOff>0</xdr:colOff>
      <xdr:row>49</xdr:row>
      <xdr:rowOff>0</xdr:rowOff>
    </xdr:to>
    <xdr:sp>
      <xdr:nvSpPr>
        <xdr:cNvPr id="36" name="Rectangle 36"/>
        <xdr:cNvSpPr>
          <a:spLocks/>
        </xdr:cNvSpPr>
      </xdr:nvSpPr>
      <xdr:spPr>
        <a:xfrm>
          <a:off x="10058400" y="6800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48</xdr:row>
      <xdr:rowOff>161925</xdr:rowOff>
    </xdr:from>
    <xdr:to>
      <xdr:col>9</xdr:col>
      <xdr:colOff>0</xdr:colOff>
      <xdr:row>49</xdr:row>
      <xdr:rowOff>0</xdr:rowOff>
    </xdr:to>
    <xdr:sp>
      <xdr:nvSpPr>
        <xdr:cNvPr id="37" name="Rectangle 37"/>
        <xdr:cNvSpPr>
          <a:spLocks/>
        </xdr:cNvSpPr>
      </xdr:nvSpPr>
      <xdr:spPr>
        <a:xfrm>
          <a:off x="10058400" y="6800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48</xdr:row>
      <xdr:rowOff>161925</xdr:rowOff>
    </xdr:from>
    <xdr:to>
      <xdr:col>9</xdr:col>
      <xdr:colOff>0</xdr:colOff>
      <xdr:row>49</xdr:row>
      <xdr:rowOff>0</xdr:rowOff>
    </xdr:to>
    <xdr:sp>
      <xdr:nvSpPr>
        <xdr:cNvPr id="38" name="Rectangle 38"/>
        <xdr:cNvSpPr>
          <a:spLocks/>
        </xdr:cNvSpPr>
      </xdr:nvSpPr>
      <xdr:spPr>
        <a:xfrm>
          <a:off x="10058400" y="6800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48</xdr:row>
      <xdr:rowOff>161925</xdr:rowOff>
    </xdr:from>
    <xdr:to>
      <xdr:col>9</xdr:col>
      <xdr:colOff>0</xdr:colOff>
      <xdr:row>49</xdr:row>
      <xdr:rowOff>0</xdr:rowOff>
    </xdr:to>
    <xdr:sp>
      <xdr:nvSpPr>
        <xdr:cNvPr id="39" name="Rectangle 39"/>
        <xdr:cNvSpPr>
          <a:spLocks/>
        </xdr:cNvSpPr>
      </xdr:nvSpPr>
      <xdr:spPr>
        <a:xfrm>
          <a:off x="10058400" y="6800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48</xdr:row>
      <xdr:rowOff>161925</xdr:rowOff>
    </xdr:from>
    <xdr:to>
      <xdr:col>9</xdr:col>
      <xdr:colOff>0</xdr:colOff>
      <xdr:row>49</xdr:row>
      <xdr:rowOff>0</xdr:rowOff>
    </xdr:to>
    <xdr:sp>
      <xdr:nvSpPr>
        <xdr:cNvPr id="40" name="Rectangle 40"/>
        <xdr:cNvSpPr>
          <a:spLocks/>
        </xdr:cNvSpPr>
      </xdr:nvSpPr>
      <xdr:spPr>
        <a:xfrm>
          <a:off x="10058400" y="6800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48</xdr:row>
      <xdr:rowOff>161925</xdr:rowOff>
    </xdr:from>
    <xdr:to>
      <xdr:col>9</xdr:col>
      <xdr:colOff>0</xdr:colOff>
      <xdr:row>49</xdr:row>
      <xdr:rowOff>0</xdr:rowOff>
    </xdr:to>
    <xdr:sp>
      <xdr:nvSpPr>
        <xdr:cNvPr id="41" name="Rectangle 41"/>
        <xdr:cNvSpPr>
          <a:spLocks/>
        </xdr:cNvSpPr>
      </xdr:nvSpPr>
      <xdr:spPr>
        <a:xfrm>
          <a:off x="10058400" y="6800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48</xdr:row>
      <xdr:rowOff>161925</xdr:rowOff>
    </xdr:from>
    <xdr:to>
      <xdr:col>9</xdr:col>
      <xdr:colOff>0</xdr:colOff>
      <xdr:row>49</xdr:row>
      <xdr:rowOff>0</xdr:rowOff>
    </xdr:to>
    <xdr:sp>
      <xdr:nvSpPr>
        <xdr:cNvPr id="42" name="Rectangle 42"/>
        <xdr:cNvSpPr>
          <a:spLocks/>
        </xdr:cNvSpPr>
      </xdr:nvSpPr>
      <xdr:spPr>
        <a:xfrm>
          <a:off x="10058400" y="6800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48</xdr:row>
      <xdr:rowOff>161925</xdr:rowOff>
    </xdr:from>
    <xdr:to>
      <xdr:col>9</xdr:col>
      <xdr:colOff>0</xdr:colOff>
      <xdr:row>49</xdr:row>
      <xdr:rowOff>0</xdr:rowOff>
    </xdr:to>
    <xdr:sp>
      <xdr:nvSpPr>
        <xdr:cNvPr id="43" name="Rectangle 43"/>
        <xdr:cNvSpPr>
          <a:spLocks/>
        </xdr:cNvSpPr>
      </xdr:nvSpPr>
      <xdr:spPr>
        <a:xfrm>
          <a:off x="10058400" y="6800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48</xdr:row>
      <xdr:rowOff>161925</xdr:rowOff>
    </xdr:from>
    <xdr:to>
      <xdr:col>9</xdr:col>
      <xdr:colOff>0</xdr:colOff>
      <xdr:row>49</xdr:row>
      <xdr:rowOff>0</xdr:rowOff>
    </xdr:to>
    <xdr:sp>
      <xdr:nvSpPr>
        <xdr:cNvPr id="44" name="Rectangle 44"/>
        <xdr:cNvSpPr>
          <a:spLocks/>
        </xdr:cNvSpPr>
      </xdr:nvSpPr>
      <xdr:spPr>
        <a:xfrm>
          <a:off x="10058400" y="6800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48</xdr:row>
      <xdr:rowOff>161925</xdr:rowOff>
    </xdr:from>
    <xdr:to>
      <xdr:col>9</xdr:col>
      <xdr:colOff>0</xdr:colOff>
      <xdr:row>49</xdr:row>
      <xdr:rowOff>0</xdr:rowOff>
    </xdr:to>
    <xdr:sp>
      <xdr:nvSpPr>
        <xdr:cNvPr id="45" name="Rectangle 45"/>
        <xdr:cNvSpPr>
          <a:spLocks/>
        </xdr:cNvSpPr>
      </xdr:nvSpPr>
      <xdr:spPr>
        <a:xfrm>
          <a:off x="10058400" y="6800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48</xdr:row>
      <xdr:rowOff>161925</xdr:rowOff>
    </xdr:from>
    <xdr:to>
      <xdr:col>9</xdr:col>
      <xdr:colOff>0</xdr:colOff>
      <xdr:row>49</xdr:row>
      <xdr:rowOff>0</xdr:rowOff>
    </xdr:to>
    <xdr:sp>
      <xdr:nvSpPr>
        <xdr:cNvPr id="46" name="Rectangle 46"/>
        <xdr:cNvSpPr>
          <a:spLocks/>
        </xdr:cNvSpPr>
      </xdr:nvSpPr>
      <xdr:spPr>
        <a:xfrm>
          <a:off x="10058400" y="6800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47</xdr:row>
      <xdr:rowOff>114300</xdr:rowOff>
    </xdr:from>
    <xdr:to>
      <xdr:col>6</xdr:col>
      <xdr:colOff>0</xdr:colOff>
      <xdr:row>49</xdr:row>
      <xdr:rowOff>85725</xdr:rowOff>
    </xdr:to>
    <xdr:pic>
      <xdr:nvPicPr>
        <xdr:cNvPr id="47" name="Picture 47"/>
        <xdr:cNvPicPr preferRelativeResize="1">
          <a:picLocks noChangeAspect="1"/>
        </xdr:cNvPicPr>
      </xdr:nvPicPr>
      <xdr:blipFill>
        <a:blip r:embed="rId1"/>
        <a:stretch>
          <a:fillRect/>
        </a:stretch>
      </xdr:blipFill>
      <xdr:spPr>
        <a:xfrm>
          <a:off x="10058400" y="6800850"/>
          <a:ext cx="0" cy="0"/>
        </a:xfrm>
        <a:prstGeom prst="rect">
          <a:avLst/>
        </a:prstGeom>
        <a:noFill/>
        <a:ln w="9525" cmpd="sng">
          <a:noFill/>
        </a:ln>
      </xdr:spPr>
    </xdr:pic>
    <xdr:clientData/>
  </xdr:twoCellAnchor>
  <xdr:twoCellAnchor>
    <xdr:from>
      <xdr:col>4</xdr:col>
      <xdr:colOff>152400</xdr:colOff>
      <xdr:row>47</xdr:row>
      <xdr:rowOff>161925</xdr:rowOff>
    </xdr:from>
    <xdr:to>
      <xdr:col>4</xdr:col>
      <xdr:colOff>828675</xdr:colOff>
      <xdr:row>49</xdr:row>
      <xdr:rowOff>133350</xdr:rowOff>
    </xdr:to>
    <xdr:pic>
      <xdr:nvPicPr>
        <xdr:cNvPr id="48" name="Picture 48"/>
        <xdr:cNvPicPr preferRelativeResize="1">
          <a:picLocks noChangeAspect="1"/>
        </xdr:cNvPicPr>
      </xdr:nvPicPr>
      <xdr:blipFill>
        <a:blip r:embed="rId1"/>
        <a:stretch>
          <a:fillRect/>
        </a:stretch>
      </xdr:blipFill>
      <xdr:spPr>
        <a:xfrm>
          <a:off x="8172450" y="6800850"/>
          <a:ext cx="67627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0</xdr:row>
      <xdr:rowOff>0</xdr:rowOff>
    </xdr:from>
    <xdr:to>
      <xdr:col>4</xdr:col>
      <xdr:colOff>180975</xdr:colOff>
      <xdr:row>0</xdr:row>
      <xdr:rowOff>0</xdr:rowOff>
    </xdr:to>
    <xdr:sp>
      <xdr:nvSpPr>
        <xdr:cNvPr id="1" name="Rectangle 1"/>
        <xdr:cNvSpPr>
          <a:spLocks/>
        </xdr:cNvSpPr>
      </xdr:nvSpPr>
      <xdr:spPr>
        <a:xfrm>
          <a:off x="6800850"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0</xdr:row>
      <xdr:rowOff>0</xdr:rowOff>
    </xdr:from>
    <xdr:to>
      <xdr:col>4</xdr:col>
      <xdr:colOff>180975</xdr:colOff>
      <xdr:row>0</xdr:row>
      <xdr:rowOff>0</xdr:rowOff>
    </xdr:to>
    <xdr:sp>
      <xdr:nvSpPr>
        <xdr:cNvPr id="2" name="Rectangle 2"/>
        <xdr:cNvSpPr>
          <a:spLocks/>
        </xdr:cNvSpPr>
      </xdr:nvSpPr>
      <xdr:spPr>
        <a:xfrm>
          <a:off x="6800850"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0</xdr:row>
      <xdr:rowOff>0</xdr:rowOff>
    </xdr:from>
    <xdr:to>
      <xdr:col>4</xdr:col>
      <xdr:colOff>180975</xdr:colOff>
      <xdr:row>0</xdr:row>
      <xdr:rowOff>0</xdr:rowOff>
    </xdr:to>
    <xdr:sp>
      <xdr:nvSpPr>
        <xdr:cNvPr id="3" name="Rectangle 3"/>
        <xdr:cNvSpPr>
          <a:spLocks/>
        </xdr:cNvSpPr>
      </xdr:nvSpPr>
      <xdr:spPr>
        <a:xfrm>
          <a:off x="6800850"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0</xdr:row>
      <xdr:rowOff>0</xdr:rowOff>
    </xdr:from>
    <xdr:to>
      <xdr:col>4</xdr:col>
      <xdr:colOff>180975</xdr:colOff>
      <xdr:row>0</xdr:row>
      <xdr:rowOff>0</xdr:rowOff>
    </xdr:to>
    <xdr:sp>
      <xdr:nvSpPr>
        <xdr:cNvPr id="4" name="Rectangle 4"/>
        <xdr:cNvSpPr>
          <a:spLocks/>
        </xdr:cNvSpPr>
      </xdr:nvSpPr>
      <xdr:spPr>
        <a:xfrm>
          <a:off x="6800850"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0</xdr:row>
      <xdr:rowOff>0</xdr:rowOff>
    </xdr:from>
    <xdr:to>
      <xdr:col>4</xdr:col>
      <xdr:colOff>180975</xdr:colOff>
      <xdr:row>0</xdr:row>
      <xdr:rowOff>0</xdr:rowOff>
    </xdr:to>
    <xdr:sp>
      <xdr:nvSpPr>
        <xdr:cNvPr id="5" name="Rectangle 5"/>
        <xdr:cNvSpPr>
          <a:spLocks/>
        </xdr:cNvSpPr>
      </xdr:nvSpPr>
      <xdr:spPr>
        <a:xfrm>
          <a:off x="6800850"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0</xdr:row>
      <xdr:rowOff>0</xdr:rowOff>
    </xdr:from>
    <xdr:to>
      <xdr:col>4</xdr:col>
      <xdr:colOff>180975</xdr:colOff>
      <xdr:row>0</xdr:row>
      <xdr:rowOff>0</xdr:rowOff>
    </xdr:to>
    <xdr:sp>
      <xdr:nvSpPr>
        <xdr:cNvPr id="6" name="Rectangle 6"/>
        <xdr:cNvSpPr>
          <a:spLocks/>
        </xdr:cNvSpPr>
      </xdr:nvSpPr>
      <xdr:spPr>
        <a:xfrm>
          <a:off x="6800850"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0</xdr:row>
      <xdr:rowOff>0</xdr:rowOff>
    </xdr:from>
    <xdr:to>
      <xdr:col>4</xdr:col>
      <xdr:colOff>180975</xdr:colOff>
      <xdr:row>0</xdr:row>
      <xdr:rowOff>0</xdr:rowOff>
    </xdr:to>
    <xdr:sp>
      <xdr:nvSpPr>
        <xdr:cNvPr id="7" name="Rectangle 7"/>
        <xdr:cNvSpPr>
          <a:spLocks/>
        </xdr:cNvSpPr>
      </xdr:nvSpPr>
      <xdr:spPr>
        <a:xfrm>
          <a:off x="6800850"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0</xdr:row>
      <xdr:rowOff>0</xdr:rowOff>
    </xdr:from>
    <xdr:to>
      <xdr:col>4</xdr:col>
      <xdr:colOff>200025</xdr:colOff>
      <xdr:row>0</xdr:row>
      <xdr:rowOff>0</xdr:rowOff>
    </xdr:to>
    <xdr:sp>
      <xdr:nvSpPr>
        <xdr:cNvPr id="8" name="Rectangle 8"/>
        <xdr:cNvSpPr>
          <a:spLocks/>
        </xdr:cNvSpPr>
      </xdr:nvSpPr>
      <xdr:spPr>
        <a:xfrm>
          <a:off x="6819900"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0</xdr:row>
      <xdr:rowOff>0</xdr:rowOff>
    </xdr:from>
    <xdr:to>
      <xdr:col>17</xdr:col>
      <xdr:colOff>0</xdr:colOff>
      <xdr:row>0</xdr:row>
      <xdr:rowOff>0</xdr:rowOff>
    </xdr:to>
    <xdr:grpSp>
      <xdr:nvGrpSpPr>
        <xdr:cNvPr id="9" name="Group 9"/>
        <xdr:cNvGrpSpPr>
          <a:grpSpLocks/>
        </xdr:cNvGrpSpPr>
      </xdr:nvGrpSpPr>
      <xdr:grpSpPr>
        <a:xfrm>
          <a:off x="9963150" y="0"/>
          <a:ext cx="0" cy="0"/>
          <a:chOff x="706" y="1"/>
          <a:chExt cx="170" cy="70"/>
        </a:xfrm>
        <a:solidFill>
          <a:srgbClr val="FFFFFF"/>
        </a:solidFill>
      </xdr:grpSpPr>
      <xdr:sp>
        <xdr:nvSpPr>
          <xdr:cNvPr id="10" name="Rectangle 10"/>
          <xdr:cNvSpPr>
            <a:spLocks/>
          </xdr:cNvSpPr>
        </xdr:nvSpPr>
        <xdr:spPr>
          <a:xfrm>
            <a:off x="706" y="29"/>
            <a:ext cx="170" cy="19"/>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1" name="Rectangle 11"/>
          <xdr:cNvSpPr>
            <a:spLocks/>
          </xdr:cNvSpPr>
        </xdr:nvSpPr>
        <xdr:spPr>
          <a:xfrm>
            <a:off x="776" y="26"/>
            <a:ext cx="78" cy="23"/>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flipH="1">
            <a:off x="832" y="71"/>
            <a:ext cx="44"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flipH="1">
            <a:off x="841" y="71"/>
            <a:ext cx="24"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4" name="Rectangle 14"/>
          <xdr:cNvSpPr>
            <a:spLocks/>
          </xdr:cNvSpPr>
        </xdr:nvSpPr>
        <xdr:spPr>
          <a:xfrm>
            <a:off x="825" y="62"/>
            <a:ext cx="51" cy="9"/>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15" name="Picture 15"/>
          <xdr:cNvPicPr preferRelativeResize="1">
            <a:picLocks noChangeAspect="0"/>
          </xdr:cNvPicPr>
        </xdr:nvPicPr>
        <xdr:blipFill>
          <a:blip r:link="rId1"/>
          <a:stretch>
            <a:fillRect/>
          </a:stretch>
        </xdr:blipFill>
        <xdr:spPr>
          <a:xfrm>
            <a:off x="707" y="1"/>
            <a:ext cx="169" cy="67"/>
          </a:xfrm>
          <a:prstGeom prst="rect">
            <a:avLst/>
          </a:prstGeom>
          <a:noFill/>
          <a:ln w="9525" cmpd="sng">
            <a:noFill/>
          </a:ln>
        </xdr:spPr>
      </xdr:pic>
    </xdr:grpSp>
    <xdr:clientData/>
  </xdr:twoCellAnchor>
  <xdr:twoCellAnchor>
    <xdr:from>
      <xdr:col>4</xdr:col>
      <xdr:colOff>66675</xdr:colOff>
      <xdr:row>0</xdr:row>
      <xdr:rowOff>0</xdr:rowOff>
    </xdr:from>
    <xdr:to>
      <xdr:col>4</xdr:col>
      <xdr:colOff>180975</xdr:colOff>
      <xdr:row>0</xdr:row>
      <xdr:rowOff>0</xdr:rowOff>
    </xdr:to>
    <xdr:sp>
      <xdr:nvSpPr>
        <xdr:cNvPr id="16" name="Rectangle 16"/>
        <xdr:cNvSpPr>
          <a:spLocks/>
        </xdr:cNvSpPr>
      </xdr:nvSpPr>
      <xdr:spPr>
        <a:xfrm>
          <a:off x="6800850"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17" name="Rectangle 17"/>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18" name="Rectangle 18"/>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19" name="Rectangle 19"/>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0" name="Rectangle 20"/>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1" name="Rectangle 21"/>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2" name="Rectangle 22"/>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3" name="Rectangle 23"/>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4" name="Rectangle 24"/>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5" name="Rectangle 25"/>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6" name="Rectangle 26"/>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7" name="Rectangle 27"/>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8" name="Rectangle 28"/>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9" name="Rectangle 29"/>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30" name="Rectangle 30"/>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31" name="Rectangle 31"/>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32" name="Rectangle 32"/>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33" name="Rectangle 33"/>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34" name="Rectangle 34"/>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35" name="Rectangle 35"/>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36" name="Rectangle 36"/>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37" name="Rectangle 37"/>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38" name="Rectangle 38"/>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1</xdr:row>
      <xdr:rowOff>9525</xdr:rowOff>
    </xdr:from>
    <xdr:to>
      <xdr:col>7</xdr:col>
      <xdr:colOff>38100</xdr:colOff>
      <xdr:row>3</xdr:row>
      <xdr:rowOff>152400</xdr:rowOff>
    </xdr:to>
    <xdr:pic>
      <xdr:nvPicPr>
        <xdr:cNvPr id="39" name="Picture 39"/>
        <xdr:cNvPicPr preferRelativeResize="1">
          <a:picLocks noChangeAspect="1"/>
        </xdr:cNvPicPr>
      </xdr:nvPicPr>
      <xdr:blipFill>
        <a:blip r:embed="rId2"/>
        <a:stretch>
          <a:fillRect/>
        </a:stretch>
      </xdr:blipFill>
      <xdr:spPr>
        <a:xfrm>
          <a:off x="7829550" y="200025"/>
          <a:ext cx="771525" cy="495300"/>
        </a:xfrm>
        <a:prstGeom prst="rect">
          <a:avLst/>
        </a:prstGeom>
        <a:noFill/>
        <a:ln w="9525" cmpd="sng">
          <a:noFill/>
        </a:ln>
      </xdr:spPr>
    </xdr:pic>
    <xdr:clientData/>
  </xdr:twoCellAnchor>
  <xdr:twoCellAnchor>
    <xdr:from>
      <xdr:col>14</xdr:col>
      <xdr:colOff>0</xdr:colOff>
      <xdr:row>51</xdr:row>
      <xdr:rowOff>171450</xdr:rowOff>
    </xdr:from>
    <xdr:to>
      <xdr:col>14</xdr:col>
      <xdr:colOff>0</xdr:colOff>
      <xdr:row>52</xdr:row>
      <xdr:rowOff>171450</xdr:rowOff>
    </xdr:to>
    <xdr:sp>
      <xdr:nvSpPr>
        <xdr:cNvPr id="40" name="Rectangle 46"/>
        <xdr:cNvSpPr>
          <a:spLocks/>
        </xdr:cNvSpPr>
      </xdr:nvSpPr>
      <xdr:spPr>
        <a:xfrm>
          <a:off x="9963150" y="88011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51</xdr:row>
      <xdr:rowOff>171450</xdr:rowOff>
    </xdr:from>
    <xdr:to>
      <xdr:col>14</xdr:col>
      <xdr:colOff>0</xdr:colOff>
      <xdr:row>52</xdr:row>
      <xdr:rowOff>171450</xdr:rowOff>
    </xdr:to>
    <xdr:sp>
      <xdr:nvSpPr>
        <xdr:cNvPr id="41" name="Rectangle 47"/>
        <xdr:cNvSpPr>
          <a:spLocks/>
        </xdr:cNvSpPr>
      </xdr:nvSpPr>
      <xdr:spPr>
        <a:xfrm>
          <a:off x="9963150" y="88011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51</xdr:row>
      <xdr:rowOff>171450</xdr:rowOff>
    </xdr:from>
    <xdr:to>
      <xdr:col>14</xdr:col>
      <xdr:colOff>0</xdr:colOff>
      <xdr:row>52</xdr:row>
      <xdr:rowOff>171450</xdr:rowOff>
    </xdr:to>
    <xdr:sp>
      <xdr:nvSpPr>
        <xdr:cNvPr id="42" name="Rectangle 48"/>
        <xdr:cNvSpPr>
          <a:spLocks/>
        </xdr:cNvSpPr>
      </xdr:nvSpPr>
      <xdr:spPr>
        <a:xfrm>
          <a:off x="9963150" y="88011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51</xdr:row>
      <xdr:rowOff>171450</xdr:rowOff>
    </xdr:from>
    <xdr:to>
      <xdr:col>14</xdr:col>
      <xdr:colOff>0</xdr:colOff>
      <xdr:row>52</xdr:row>
      <xdr:rowOff>171450</xdr:rowOff>
    </xdr:to>
    <xdr:sp>
      <xdr:nvSpPr>
        <xdr:cNvPr id="43" name="Rectangle 49"/>
        <xdr:cNvSpPr>
          <a:spLocks/>
        </xdr:cNvSpPr>
      </xdr:nvSpPr>
      <xdr:spPr>
        <a:xfrm>
          <a:off x="9963150" y="88011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51</xdr:row>
      <xdr:rowOff>171450</xdr:rowOff>
    </xdr:from>
    <xdr:to>
      <xdr:col>14</xdr:col>
      <xdr:colOff>0</xdr:colOff>
      <xdr:row>52</xdr:row>
      <xdr:rowOff>171450</xdr:rowOff>
    </xdr:to>
    <xdr:sp>
      <xdr:nvSpPr>
        <xdr:cNvPr id="44" name="Rectangle 50"/>
        <xdr:cNvSpPr>
          <a:spLocks/>
        </xdr:cNvSpPr>
      </xdr:nvSpPr>
      <xdr:spPr>
        <a:xfrm>
          <a:off x="9963150" y="88011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51</xdr:row>
      <xdr:rowOff>171450</xdr:rowOff>
    </xdr:from>
    <xdr:to>
      <xdr:col>14</xdr:col>
      <xdr:colOff>0</xdr:colOff>
      <xdr:row>52</xdr:row>
      <xdr:rowOff>171450</xdr:rowOff>
    </xdr:to>
    <xdr:sp>
      <xdr:nvSpPr>
        <xdr:cNvPr id="45" name="Rectangle 51"/>
        <xdr:cNvSpPr>
          <a:spLocks/>
        </xdr:cNvSpPr>
      </xdr:nvSpPr>
      <xdr:spPr>
        <a:xfrm>
          <a:off x="9963150" y="88011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51</xdr:row>
      <xdr:rowOff>171450</xdr:rowOff>
    </xdr:from>
    <xdr:to>
      <xdr:col>14</xdr:col>
      <xdr:colOff>0</xdr:colOff>
      <xdr:row>52</xdr:row>
      <xdr:rowOff>171450</xdr:rowOff>
    </xdr:to>
    <xdr:sp>
      <xdr:nvSpPr>
        <xdr:cNvPr id="46" name="Rectangle 52"/>
        <xdr:cNvSpPr>
          <a:spLocks/>
        </xdr:cNvSpPr>
      </xdr:nvSpPr>
      <xdr:spPr>
        <a:xfrm>
          <a:off x="9963150" y="88011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51</xdr:row>
      <xdr:rowOff>171450</xdr:rowOff>
    </xdr:from>
    <xdr:to>
      <xdr:col>14</xdr:col>
      <xdr:colOff>0</xdr:colOff>
      <xdr:row>52</xdr:row>
      <xdr:rowOff>171450</xdr:rowOff>
    </xdr:to>
    <xdr:sp>
      <xdr:nvSpPr>
        <xdr:cNvPr id="47" name="Rectangle 53"/>
        <xdr:cNvSpPr>
          <a:spLocks/>
        </xdr:cNvSpPr>
      </xdr:nvSpPr>
      <xdr:spPr>
        <a:xfrm>
          <a:off x="9963150" y="88011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51</xdr:row>
      <xdr:rowOff>171450</xdr:rowOff>
    </xdr:from>
    <xdr:to>
      <xdr:col>14</xdr:col>
      <xdr:colOff>0</xdr:colOff>
      <xdr:row>52</xdr:row>
      <xdr:rowOff>171450</xdr:rowOff>
    </xdr:to>
    <xdr:sp>
      <xdr:nvSpPr>
        <xdr:cNvPr id="48" name="Rectangle 54"/>
        <xdr:cNvSpPr>
          <a:spLocks/>
        </xdr:cNvSpPr>
      </xdr:nvSpPr>
      <xdr:spPr>
        <a:xfrm>
          <a:off x="9963150" y="88011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51</xdr:row>
      <xdr:rowOff>171450</xdr:rowOff>
    </xdr:from>
    <xdr:to>
      <xdr:col>14</xdr:col>
      <xdr:colOff>0</xdr:colOff>
      <xdr:row>52</xdr:row>
      <xdr:rowOff>171450</xdr:rowOff>
    </xdr:to>
    <xdr:sp>
      <xdr:nvSpPr>
        <xdr:cNvPr id="49" name="Rectangle 55"/>
        <xdr:cNvSpPr>
          <a:spLocks/>
        </xdr:cNvSpPr>
      </xdr:nvSpPr>
      <xdr:spPr>
        <a:xfrm>
          <a:off x="9963150" y="88011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51</xdr:row>
      <xdr:rowOff>171450</xdr:rowOff>
    </xdr:from>
    <xdr:to>
      <xdr:col>14</xdr:col>
      <xdr:colOff>0</xdr:colOff>
      <xdr:row>52</xdr:row>
      <xdr:rowOff>171450</xdr:rowOff>
    </xdr:to>
    <xdr:sp>
      <xdr:nvSpPr>
        <xdr:cNvPr id="50" name="Rectangle 56"/>
        <xdr:cNvSpPr>
          <a:spLocks/>
        </xdr:cNvSpPr>
      </xdr:nvSpPr>
      <xdr:spPr>
        <a:xfrm>
          <a:off x="9963150" y="88011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51</xdr:row>
      <xdr:rowOff>171450</xdr:rowOff>
    </xdr:from>
    <xdr:to>
      <xdr:col>14</xdr:col>
      <xdr:colOff>0</xdr:colOff>
      <xdr:row>52</xdr:row>
      <xdr:rowOff>171450</xdr:rowOff>
    </xdr:to>
    <xdr:sp>
      <xdr:nvSpPr>
        <xdr:cNvPr id="51" name="Rectangle 57"/>
        <xdr:cNvSpPr>
          <a:spLocks/>
        </xdr:cNvSpPr>
      </xdr:nvSpPr>
      <xdr:spPr>
        <a:xfrm>
          <a:off x="9963150" y="88011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51</xdr:row>
      <xdr:rowOff>171450</xdr:rowOff>
    </xdr:from>
    <xdr:to>
      <xdr:col>14</xdr:col>
      <xdr:colOff>0</xdr:colOff>
      <xdr:row>52</xdr:row>
      <xdr:rowOff>171450</xdr:rowOff>
    </xdr:to>
    <xdr:sp>
      <xdr:nvSpPr>
        <xdr:cNvPr id="52" name="Rectangle 58"/>
        <xdr:cNvSpPr>
          <a:spLocks/>
        </xdr:cNvSpPr>
      </xdr:nvSpPr>
      <xdr:spPr>
        <a:xfrm>
          <a:off x="9963150" y="88011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51</xdr:row>
      <xdr:rowOff>171450</xdr:rowOff>
    </xdr:from>
    <xdr:to>
      <xdr:col>14</xdr:col>
      <xdr:colOff>0</xdr:colOff>
      <xdr:row>52</xdr:row>
      <xdr:rowOff>171450</xdr:rowOff>
    </xdr:to>
    <xdr:sp>
      <xdr:nvSpPr>
        <xdr:cNvPr id="53" name="Rectangle 59"/>
        <xdr:cNvSpPr>
          <a:spLocks/>
        </xdr:cNvSpPr>
      </xdr:nvSpPr>
      <xdr:spPr>
        <a:xfrm>
          <a:off x="9963150" y="88011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51</xdr:row>
      <xdr:rowOff>171450</xdr:rowOff>
    </xdr:from>
    <xdr:to>
      <xdr:col>14</xdr:col>
      <xdr:colOff>0</xdr:colOff>
      <xdr:row>52</xdr:row>
      <xdr:rowOff>171450</xdr:rowOff>
    </xdr:to>
    <xdr:sp>
      <xdr:nvSpPr>
        <xdr:cNvPr id="54" name="Rectangle 60"/>
        <xdr:cNvSpPr>
          <a:spLocks/>
        </xdr:cNvSpPr>
      </xdr:nvSpPr>
      <xdr:spPr>
        <a:xfrm>
          <a:off x="9963150" y="88011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51</xdr:row>
      <xdr:rowOff>171450</xdr:rowOff>
    </xdr:from>
    <xdr:to>
      <xdr:col>14</xdr:col>
      <xdr:colOff>0</xdr:colOff>
      <xdr:row>52</xdr:row>
      <xdr:rowOff>171450</xdr:rowOff>
    </xdr:to>
    <xdr:sp>
      <xdr:nvSpPr>
        <xdr:cNvPr id="55" name="Rectangle 61"/>
        <xdr:cNvSpPr>
          <a:spLocks/>
        </xdr:cNvSpPr>
      </xdr:nvSpPr>
      <xdr:spPr>
        <a:xfrm>
          <a:off x="9963150" y="88011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51</xdr:row>
      <xdr:rowOff>171450</xdr:rowOff>
    </xdr:from>
    <xdr:to>
      <xdr:col>14</xdr:col>
      <xdr:colOff>0</xdr:colOff>
      <xdr:row>52</xdr:row>
      <xdr:rowOff>171450</xdr:rowOff>
    </xdr:to>
    <xdr:sp>
      <xdr:nvSpPr>
        <xdr:cNvPr id="56" name="Rectangle 62"/>
        <xdr:cNvSpPr>
          <a:spLocks/>
        </xdr:cNvSpPr>
      </xdr:nvSpPr>
      <xdr:spPr>
        <a:xfrm>
          <a:off x="9963150" y="88011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51</xdr:row>
      <xdr:rowOff>171450</xdr:rowOff>
    </xdr:from>
    <xdr:to>
      <xdr:col>14</xdr:col>
      <xdr:colOff>0</xdr:colOff>
      <xdr:row>52</xdr:row>
      <xdr:rowOff>171450</xdr:rowOff>
    </xdr:to>
    <xdr:sp>
      <xdr:nvSpPr>
        <xdr:cNvPr id="57" name="Rectangle 63"/>
        <xdr:cNvSpPr>
          <a:spLocks/>
        </xdr:cNvSpPr>
      </xdr:nvSpPr>
      <xdr:spPr>
        <a:xfrm>
          <a:off x="9963150" y="88011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51</xdr:row>
      <xdr:rowOff>171450</xdr:rowOff>
    </xdr:from>
    <xdr:to>
      <xdr:col>14</xdr:col>
      <xdr:colOff>0</xdr:colOff>
      <xdr:row>52</xdr:row>
      <xdr:rowOff>171450</xdr:rowOff>
    </xdr:to>
    <xdr:sp>
      <xdr:nvSpPr>
        <xdr:cNvPr id="58" name="Rectangle 64"/>
        <xdr:cNvSpPr>
          <a:spLocks/>
        </xdr:cNvSpPr>
      </xdr:nvSpPr>
      <xdr:spPr>
        <a:xfrm>
          <a:off x="9963150" y="88011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51</xdr:row>
      <xdr:rowOff>171450</xdr:rowOff>
    </xdr:from>
    <xdr:to>
      <xdr:col>14</xdr:col>
      <xdr:colOff>0</xdr:colOff>
      <xdr:row>52</xdr:row>
      <xdr:rowOff>171450</xdr:rowOff>
    </xdr:to>
    <xdr:sp>
      <xdr:nvSpPr>
        <xdr:cNvPr id="59" name="Rectangle 65"/>
        <xdr:cNvSpPr>
          <a:spLocks/>
        </xdr:cNvSpPr>
      </xdr:nvSpPr>
      <xdr:spPr>
        <a:xfrm>
          <a:off x="9963150" y="88011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51</xdr:row>
      <xdr:rowOff>171450</xdr:rowOff>
    </xdr:from>
    <xdr:to>
      <xdr:col>14</xdr:col>
      <xdr:colOff>0</xdr:colOff>
      <xdr:row>52</xdr:row>
      <xdr:rowOff>171450</xdr:rowOff>
    </xdr:to>
    <xdr:sp>
      <xdr:nvSpPr>
        <xdr:cNvPr id="60" name="Rectangle 66"/>
        <xdr:cNvSpPr>
          <a:spLocks/>
        </xdr:cNvSpPr>
      </xdr:nvSpPr>
      <xdr:spPr>
        <a:xfrm>
          <a:off x="9963150" y="88011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51</xdr:row>
      <xdr:rowOff>171450</xdr:rowOff>
    </xdr:from>
    <xdr:to>
      <xdr:col>14</xdr:col>
      <xdr:colOff>0</xdr:colOff>
      <xdr:row>52</xdr:row>
      <xdr:rowOff>171450</xdr:rowOff>
    </xdr:to>
    <xdr:sp>
      <xdr:nvSpPr>
        <xdr:cNvPr id="61" name="Rectangle 67"/>
        <xdr:cNvSpPr>
          <a:spLocks/>
        </xdr:cNvSpPr>
      </xdr:nvSpPr>
      <xdr:spPr>
        <a:xfrm>
          <a:off x="9963150" y="88011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50</xdr:row>
      <xdr:rowOff>28575</xdr:rowOff>
    </xdr:from>
    <xdr:to>
      <xdr:col>7</xdr:col>
      <xdr:colOff>9525</xdr:colOff>
      <xdr:row>53</xdr:row>
      <xdr:rowOff>0</xdr:rowOff>
    </xdr:to>
    <xdr:pic>
      <xdr:nvPicPr>
        <xdr:cNvPr id="62" name="Picture 68"/>
        <xdr:cNvPicPr preferRelativeResize="1">
          <a:picLocks noChangeAspect="1"/>
        </xdr:cNvPicPr>
      </xdr:nvPicPr>
      <xdr:blipFill>
        <a:blip r:embed="rId2"/>
        <a:stretch>
          <a:fillRect/>
        </a:stretch>
      </xdr:blipFill>
      <xdr:spPr>
        <a:xfrm>
          <a:off x="7800975" y="8496300"/>
          <a:ext cx="771525" cy="485775"/>
        </a:xfrm>
        <a:prstGeom prst="rect">
          <a:avLst/>
        </a:prstGeom>
        <a:noFill/>
        <a:ln w="9525" cmpd="sng">
          <a:noFill/>
        </a:ln>
      </xdr:spPr>
    </xdr:pic>
    <xdr:clientData/>
  </xdr:twoCellAnchor>
  <xdr:twoCellAnchor>
    <xdr:from>
      <xdr:col>0</xdr:col>
      <xdr:colOff>0</xdr:colOff>
      <xdr:row>5</xdr:row>
      <xdr:rowOff>28575</xdr:rowOff>
    </xdr:from>
    <xdr:to>
      <xdr:col>8</xdr:col>
      <xdr:colOff>533400</xdr:colOff>
      <xdr:row>46</xdr:row>
      <xdr:rowOff>47625</xdr:rowOff>
    </xdr:to>
    <xdr:sp>
      <xdr:nvSpPr>
        <xdr:cNvPr id="63" name="TextBox 69"/>
        <xdr:cNvSpPr txBox="1">
          <a:spLocks noChangeArrowheads="1"/>
        </xdr:cNvSpPr>
      </xdr:nvSpPr>
      <xdr:spPr>
        <a:xfrm>
          <a:off x="0" y="971550"/>
          <a:ext cx="9886950" cy="68961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Algemeen.
Voordat u overgaat tot het invullen van het formulier adviseren wij u deze toelichting zorgvuldig te bestuderen. 
Dit formulier is uitsluitend bedoeld voor productieafspraken ten laste van de reguliere contracteerruimte. Afspraken als gevolg van nieuwe toelatingen, die nog niet in de rekenstaat zijn verwerkt, dient u door middel van een mutatieformulier capaciteitswijziging aan te vragen. Dit dient u uiterlijk 3 maanden na afgifte van de toelating te doen. Indien de toelating nog niet is afgegeven, maar de verwachting bestaat dat dit wel gebeurt kunt u ook onder voorbehoud capaciteit aanvragen. Hiervoor dient u ook het formulier capaciteitswijziging te gebruiken.
Nadat de productieafspraken zijn ingevuld wordt de mutatie van de loon- en materiële kosten van plaatsen en verpleegdagen conform de bedragen van de diverse vigerende beleidsregels automatisch doorgerekend in het werkblad  'doorrekening1' . De uitkomsten ziet u in het werkblad 'recapitulatie'. De berekening dient uitsluitend als hulpmiddel voor het zorgkantoor voor de berekening van de contracteerruimte. De berekende bedragen zijn op basis van de voorlopige index: 0,4% op loonkosten, 1,0% op materiële kosten. In de berekening wordt geen rekening gehouden met kleinschalig wonen.
Aan het berekende totaalbedrag is door de instelling geen recht te ontlenen wat betreft (een gedeelte van) de aanvaardbare kosten. Voor de instelling is alleen het bedrag van de aanvaardbare kosten zoals vermeld in een afgegeven rekenstaat rechtsgeldig. Wij verwijzen naar de beleidsregel CA-112 inzake de contracteerruimte 2006. 
Werkblad "voorblad" 
Op het voorblad dient u de gevraagde gegevens in te vullen. U kunt hier aangeven of u akkoord gaat met doorlevering van de gegevens van dit formulier. Op de pagina wordt de mutatie weergegeven van het beslag op de contracteerruimte. 
Werkbladen  "verblijf met behandeling" en "verblijf zonder behandeling"
U kunt hier de mutaties binnen de toelating ten opzichte van de meest recente rekenstaat 2006 opgeven. Mutaties als gevolg van een toelatingswijziging dient u door te geven door het mutatieformulier capaciteitswijziging. Alle gegevens invullen op jaarbasis!
Normaliter zal de richtlijn bij verblijf met behandeling niet wijzigen als gevolg van een mutatie. Wij verzoeken u daarom de richtlijn (A of B) uit de rekenstaat over te nemen.
Werkblad "extramurale zorg"
In dit werkblad kunt u wijzigingen op de gemaakte productieafspraken voor extramurale zorg vastleggen. Let u bij het afgesproken tarief erop dat een reeds afgesproken tarief niet meer gewijzigd mag worden. Voor prestaties waarvoor nog geen productieafspraak was geldt dat het tarief niet hoger mag zijn dan de maximale Beleidsregelwaarde en maar één decimaal mag bevatten (een tarief van €13,13 is bijvoorbeeld niet mogelijk, €13,10 wel). Voor de vervoersprestaties geldt dat deze alleen kunnen worden afgesproken indien de bijbehorende prestatie dagactiviteit ook is afgesproken.
Verder wordt u gevraagd op te geven of er kapitaalslasten zijn opgenomen in de afgesproken tarieven. Indien u bij een prestatie aangeeft dat er geen kapitaalslasten zijn opgenomen kunt u maximaal de beleidsregelwaarde exclusief kapitaalslasten afspreken. Voor de berekening van de in het tarief opgenomen kapitaalslasten verwijzen wij naar onze circulaires.
Voor de prestaties zintuiglijk gehandicapten geldt dat het volume laatste rekenstaat in de werkbladen niet hoeft te worden ingevuld.
Werkblad "zg afspraak"
In dit werkblad kunt u wijzigingen op de productieafspraken 2006 voor de zintuiglijk gehandicapten vastleggen. U hoeft alleen het aantal afgesproken dagen in te vullen. Het formulier rekent deze om naar het aantal bezette plaatsen conform de Beleidsregel loonkosten.
Werkblad "extreme zorgbehoefte"
In dit werkblad kunt u wijzigingen op de productieafspraken extreme zorgbehoefte vastleggen. Zie voor een uitgebreide toelichting het budgetformulier 2006. Voor elke wijziging dient u zorgbehoefte en drempelbedrag te berekenen in de door CTG/ZAio beschikbaar gestelde bijlage. Deze bijlage dient u met dit formulier mee te sturen; aanvragen zonder volledig ingevulde bijlage worden niet in behandeling genomen.
</a:t>
          </a:r>
        </a:p>
      </xdr:txBody>
    </xdr:sp>
    <xdr:clientData/>
  </xdr:twoCellAnchor>
  <xdr:twoCellAnchor>
    <xdr:from>
      <xdr:col>0</xdr:col>
      <xdr:colOff>19050</xdr:colOff>
      <xdr:row>52</xdr:row>
      <xdr:rowOff>161925</xdr:rowOff>
    </xdr:from>
    <xdr:to>
      <xdr:col>8</xdr:col>
      <xdr:colOff>523875</xdr:colOff>
      <xdr:row>77</xdr:row>
      <xdr:rowOff>95250</xdr:rowOff>
    </xdr:to>
    <xdr:sp>
      <xdr:nvSpPr>
        <xdr:cNvPr id="64" name="TextBox 70"/>
        <xdr:cNvSpPr txBox="1">
          <a:spLocks noChangeArrowheads="1"/>
        </xdr:cNvSpPr>
      </xdr:nvSpPr>
      <xdr:spPr>
        <a:xfrm>
          <a:off x="19050" y="8963025"/>
          <a:ext cx="9858375" cy="40100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Werkblad "hardheidsclausule en z-o-m"
In dit werkblad kunt u de voor 2006 gemaakte productieafspraken hardheidsclausule en zorg-op-maat neerwaarts bijstellen. Als in het werkblad extreme zorgbehoefte is aangegeven dat verrekening dient plaats te vinden met het bedrag van de hardheidsclausule en/of de z-o-m wordt dit automatisch doorgerekend.   
Werkblad "deconcentratie"
In dit werkblad kunt u mutaties op de loonkosten deconcentratie opgeven. Voor de criteria verwijzen wij naar Beleidsregel deconcentratie (III-901)
Werkblad "plaatselijk overleg"
In dit werkblad kunt u afspraken uit het plaatselijk overleg opgeven die u elders in het formulier niet op kunt nemen. U dient aan te geven op welke beleidsregel de afspraak betrekking heeft. Alle ingevulde regels dienen toegelicht te worden in een bijlage. Zie voor het opnemen van de zorginfrastructuur Beleidsregel CA-70. Omdat diverse mutaties voor kunnen komen tellen de mutaties plaatselijk overleg niet mee in de recapitulatie. CTG/ZAio zal per mutatie beoordelen of deze beslag legt op de contracteerruimte.
Voor de zorgkantoren Amsterdam, Rotterdam, Utrecht en Den Haag bestaat de mogelijkheid afspraken inzake MO-gelden te maken. De afspraken ten laste van MO-gelden dienen te zijn verwerkt in de reguliere productieafspraken: op regel 2207 kunt u invullen welk bedrag dit betreft.
Ook is het mogelijk om afspraken t.l.v. de contracteerruimte jeugd-GGZ te maken. Ook deze afspraken dienen te zijn verwerkt in de reguliere productieafspraken.
Werkblad "recapitulatie"
In dit werkblad wordt het uiteindelijke mutatie op het beslag op de contracteerruimte berekend, alsmede diverse afzonderlijke componenten. De berekende bedragen gelden enkel als schatting. Het mutaties op het gebruik van de geoormerkte gelden voor advies, instructie en voorlichting (preventie), voor dieetadvisering en voor extreme zorgzwaarte wordt separaat berekend. Deze bedragen komen ook terug op het voorblad.
Werkblad "doorrekening 1"
Dit werkblad is ondersteunend aan het werkblad "recapitulatie". U kunt hier volgen hoe de bedragen voor de diverse verblijfsfuncties worden berekend. De weergegeven getallen komen uit de diverse beleidsregels. U kunt op deze werkbladen niets invullen of wijzigen. De uitkomsten van de berekeningen zijn zichtbaar op het werkblad "recapitulatie".
</a:t>
          </a:r>
        </a:p>
      </xdr:txBody>
    </xdr:sp>
    <xdr:clientData/>
  </xdr:twoCellAnchor>
  <xdr:twoCellAnchor>
    <xdr:from>
      <xdr:col>14</xdr:col>
      <xdr:colOff>0</xdr:colOff>
      <xdr:row>106</xdr:row>
      <xdr:rowOff>0</xdr:rowOff>
    </xdr:from>
    <xdr:to>
      <xdr:col>14</xdr:col>
      <xdr:colOff>0</xdr:colOff>
      <xdr:row>106</xdr:row>
      <xdr:rowOff>0</xdr:rowOff>
    </xdr:to>
    <xdr:sp>
      <xdr:nvSpPr>
        <xdr:cNvPr id="65" name="Rectangle 71"/>
        <xdr:cNvSpPr>
          <a:spLocks/>
        </xdr:cNvSpPr>
      </xdr:nvSpPr>
      <xdr:spPr>
        <a:xfrm>
          <a:off x="9963150" y="13039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106</xdr:row>
      <xdr:rowOff>0</xdr:rowOff>
    </xdr:from>
    <xdr:to>
      <xdr:col>14</xdr:col>
      <xdr:colOff>0</xdr:colOff>
      <xdr:row>106</xdr:row>
      <xdr:rowOff>0</xdr:rowOff>
    </xdr:to>
    <xdr:sp>
      <xdr:nvSpPr>
        <xdr:cNvPr id="66" name="Rectangle 72"/>
        <xdr:cNvSpPr>
          <a:spLocks/>
        </xdr:cNvSpPr>
      </xdr:nvSpPr>
      <xdr:spPr>
        <a:xfrm>
          <a:off x="9963150" y="13039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106</xdr:row>
      <xdr:rowOff>0</xdr:rowOff>
    </xdr:from>
    <xdr:to>
      <xdr:col>14</xdr:col>
      <xdr:colOff>0</xdr:colOff>
      <xdr:row>106</xdr:row>
      <xdr:rowOff>0</xdr:rowOff>
    </xdr:to>
    <xdr:sp>
      <xdr:nvSpPr>
        <xdr:cNvPr id="67" name="Rectangle 73"/>
        <xdr:cNvSpPr>
          <a:spLocks/>
        </xdr:cNvSpPr>
      </xdr:nvSpPr>
      <xdr:spPr>
        <a:xfrm>
          <a:off x="9963150" y="13039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106</xdr:row>
      <xdr:rowOff>0</xdr:rowOff>
    </xdr:from>
    <xdr:to>
      <xdr:col>14</xdr:col>
      <xdr:colOff>0</xdr:colOff>
      <xdr:row>106</xdr:row>
      <xdr:rowOff>0</xdr:rowOff>
    </xdr:to>
    <xdr:sp>
      <xdr:nvSpPr>
        <xdr:cNvPr id="68" name="Rectangle 74"/>
        <xdr:cNvSpPr>
          <a:spLocks/>
        </xdr:cNvSpPr>
      </xdr:nvSpPr>
      <xdr:spPr>
        <a:xfrm>
          <a:off x="9963150" y="13039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106</xdr:row>
      <xdr:rowOff>0</xdr:rowOff>
    </xdr:from>
    <xdr:to>
      <xdr:col>14</xdr:col>
      <xdr:colOff>0</xdr:colOff>
      <xdr:row>106</xdr:row>
      <xdr:rowOff>0</xdr:rowOff>
    </xdr:to>
    <xdr:sp>
      <xdr:nvSpPr>
        <xdr:cNvPr id="69" name="Rectangle 75"/>
        <xdr:cNvSpPr>
          <a:spLocks/>
        </xdr:cNvSpPr>
      </xdr:nvSpPr>
      <xdr:spPr>
        <a:xfrm>
          <a:off x="9963150" y="13039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106</xdr:row>
      <xdr:rowOff>0</xdr:rowOff>
    </xdr:from>
    <xdr:to>
      <xdr:col>14</xdr:col>
      <xdr:colOff>0</xdr:colOff>
      <xdr:row>106</xdr:row>
      <xdr:rowOff>0</xdr:rowOff>
    </xdr:to>
    <xdr:sp>
      <xdr:nvSpPr>
        <xdr:cNvPr id="70" name="Rectangle 76"/>
        <xdr:cNvSpPr>
          <a:spLocks/>
        </xdr:cNvSpPr>
      </xdr:nvSpPr>
      <xdr:spPr>
        <a:xfrm>
          <a:off x="9963150" y="13039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106</xdr:row>
      <xdr:rowOff>0</xdr:rowOff>
    </xdr:from>
    <xdr:to>
      <xdr:col>14</xdr:col>
      <xdr:colOff>0</xdr:colOff>
      <xdr:row>106</xdr:row>
      <xdr:rowOff>0</xdr:rowOff>
    </xdr:to>
    <xdr:sp>
      <xdr:nvSpPr>
        <xdr:cNvPr id="71" name="Rectangle 77"/>
        <xdr:cNvSpPr>
          <a:spLocks/>
        </xdr:cNvSpPr>
      </xdr:nvSpPr>
      <xdr:spPr>
        <a:xfrm>
          <a:off x="9963150" y="13039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106</xdr:row>
      <xdr:rowOff>0</xdr:rowOff>
    </xdr:from>
    <xdr:to>
      <xdr:col>14</xdr:col>
      <xdr:colOff>0</xdr:colOff>
      <xdr:row>106</xdr:row>
      <xdr:rowOff>0</xdr:rowOff>
    </xdr:to>
    <xdr:sp>
      <xdr:nvSpPr>
        <xdr:cNvPr id="72" name="Rectangle 78"/>
        <xdr:cNvSpPr>
          <a:spLocks/>
        </xdr:cNvSpPr>
      </xdr:nvSpPr>
      <xdr:spPr>
        <a:xfrm>
          <a:off x="9963150" y="13039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106</xdr:row>
      <xdr:rowOff>0</xdr:rowOff>
    </xdr:from>
    <xdr:to>
      <xdr:col>14</xdr:col>
      <xdr:colOff>0</xdr:colOff>
      <xdr:row>106</xdr:row>
      <xdr:rowOff>0</xdr:rowOff>
    </xdr:to>
    <xdr:sp>
      <xdr:nvSpPr>
        <xdr:cNvPr id="73" name="Rectangle 79"/>
        <xdr:cNvSpPr>
          <a:spLocks/>
        </xdr:cNvSpPr>
      </xdr:nvSpPr>
      <xdr:spPr>
        <a:xfrm>
          <a:off x="9963150" y="13039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106</xdr:row>
      <xdr:rowOff>0</xdr:rowOff>
    </xdr:from>
    <xdr:to>
      <xdr:col>14</xdr:col>
      <xdr:colOff>0</xdr:colOff>
      <xdr:row>106</xdr:row>
      <xdr:rowOff>0</xdr:rowOff>
    </xdr:to>
    <xdr:sp>
      <xdr:nvSpPr>
        <xdr:cNvPr id="74" name="Rectangle 80"/>
        <xdr:cNvSpPr>
          <a:spLocks/>
        </xdr:cNvSpPr>
      </xdr:nvSpPr>
      <xdr:spPr>
        <a:xfrm>
          <a:off x="9963150" y="13039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106</xdr:row>
      <xdr:rowOff>0</xdr:rowOff>
    </xdr:from>
    <xdr:to>
      <xdr:col>14</xdr:col>
      <xdr:colOff>0</xdr:colOff>
      <xdr:row>106</xdr:row>
      <xdr:rowOff>0</xdr:rowOff>
    </xdr:to>
    <xdr:sp>
      <xdr:nvSpPr>
        <xdr:cNvPr id="75" name="Rectangle 81"/>
        <xdr:cNvSpPr>
          <a:spLocks/>
        </xdr:cNvSpPr>
      </xdr:nvSpPr>
      <xdr:spPr>
        <a:xfrm>
          <a:off x="9963150" y="13039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106</xdr:row>
      <xdr:rowOff>0</xdr:rowOff>
    </xdr:from>
    <xdr:to>
      <xdr:col>14</xdr:col>
      <xdr:colOff>0</xdr:colOff>
      <xdr:row>106</xdr:row>
      <xdr:rowOff>0</xdr:rowOff>
    </xdr:to>
    <xdr:sp>
      <xdr:nvSpPr>
        <xdr:cNvPr id="76" name="Rectangle 82"/>
        <xdr:cNvSpPr>
          <a:spLocks/>
        </xdr:cNvSpPr>
      </xdr:nvSpPr>
      <xdr:spPr>
        <a:xfrm>
          <a:off x="9963150" y="13039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106</xdr:row>
      <xdr:rowOff>0</xdr:rowOff>
    </xdr:from>
    <xdr:to>
      <xdr:col>14</xdr:col>
      <xdr:colOff>0</xdr:colOff>
      <xdr:row>106</xdr:row>
      <xdr:rowOff>0</xdr:rowOff>
    </xdr:to>
    <xdr:sp>
      <xdr:nvSpPr>
        <xdr:cNvPr id="77" name="Rectangle 83"/>
        <xdr:cNvSpPr>
          <a:spLocks/>
        </xdr:cNvSpPr>
      </xdr:nvSpPr>
      <xdr:spPr>
        <a:xfrm>
          <a:off x="9963150" y="13039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106</xdr:row>
      <xdr:rowOff>0</xdr:rowOff>
    </xdr:from>
    <xdr:to>
      <xdr:col>14</xdr:col>
      <xdr:colOff>0</xdr:colOff>
      <xdr:row>106</xdr:row>
      <xdr:rowOff>0</xdr:rowOff>
    </xdr:to>
    <xdr:sp>
      <xdr:nvSpPr>
        <xdr:cNvPr id="78" name="Rectangle 84"/>
        <xdr:cNvSpPr>
          <a:spLocks/>
        </xdr:cNvSpPr>
      </xdr:nvSpPr>
      <xdr:spPr>
        <a:xfrm>
          <a:off x="9963150" y="13039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106</xdr:row>
      <xdr:rowOff>0</xdr:rowOff>
    </xdr:from>
    <xdr:to>
      <xdr:col>14</xdr:col>
      <xdr:colOff>0</xdr:colOff>
      <xdr:row>106</xdr:row>
      <xdr:rowOff>0</xdr:rowOff>
    </xdr:to>
    <xdr:sp>
      <xdr:nvSpPr>
        <xdr:cNvPr id="79" name="Rectangle 85"/>
        <xdr:cNvSpPr>
          <a:spLocks/>
        </xdr:cNvSpPr>
      </xdr:nvSpPr>
      <xdr:spPr>
        <a:xfrm>
          <a:off x="9963150" y="13039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106</xdr:row>
      <xdr:rowOff>0</xdr:rowOff>
    </xdr:from>
    <xdr:to>
      <xdr:col>14</xdr:col>
      <xdr:colOff>0</xdr:colOff>
      <xdr:row>106</xdr:row>
      <xdr:rowOff>0</xdr:rowOff>
    </xdr:to>
    <xdr:sp>
      <xdr:nvSpPr>
        <xdr:cNvPr id="80" name="Rectangle 86"/>
        <xdr:cNvSpPr>
          <a:spLocks/>
        </xdr:cNvSpPr>
      </xdr:nvSpPr>
      <xdr:spPr>
        <a:xfrm>
          <a:off x="9963150" y="13039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106</xdr:row>
      <xdr:rowOff>0</xdr:rowOff>
    </xdr:from>
    <xdr:to>
      <xdr:col>14</xdr:col>
      <xdr:colOff>0</xdr:colOff>
      <xdr:row>106</xdr:row>
      <xdr:rowOff>0</xdr:rowOff>
    </xdr:to>
    <xdr:sp>
      <xdr:nvSpPr>
        <xdr:cNvPr id="81" name="Rectangle 87"/>
        <xdr:cNvSpPr>
          <a:spLocks/>
        </xdr:cNvSpPr>
      </xdr:nvSpPr>
      <xdr:spPr>
        <a:xfrm>
          <a:off x="9963150" y="13039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106</xdr:row>
      <xdr:rowOff>0</xdr:rowOff>
    </xdr:from>
    <xdr:to>
      <xdr:col>14</xdr:col>
      <xdr:colOff>0</xdr:colOff>
      <xdr:row>106</xdr:row>
      <xdr:rowOff>0</xdr:rowOff>
    </xdr:to>
    <xdr:sp>
      <xdr:nvSpPr>
        <xdr:cNvPr id="82" name="Rectangle 88"/>
        <xdr:cNvSpPr>
          <a:spLocks/>
        </xdr:cNvSpPr>
      </xdr:nvSpPr>
      <xdr:spPr>
        <a:xfrm>
          <a:off x="9963150" y="13039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106</xdr:row>
      <xdr:rowOff>0</xdr:rowOff>
    </xdr:from>
    <xdr:to>
      <xdr:col>14</xdr:col>
      <xdr:colOff>0</xdr:colOff>
      <xdr:row>106</xdr:row>
      <xdr:rowOff>0</xdr:rowOff>
    </xdr:to>
    <xdr:sp>
      <xdr:nvSpPr>
        <xdr:cNvPr id="83" name="Rectangle 89"/>
        <xdr:cNvSpPr>
          <a:spLocks/>
        </xdr:cNvSpPr>
      </xdr:nvSpPr>
      <xdr:spPr>
        <a:xfrm>
          <a:off x="9963150" y="13039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106</xdr:row>
      <xdr:rowOff>0</xdr:rowOff>
    </xdr:from>
    <xdr:to>
      <xdr:col>14</xdr:col>
      <xdr:colOff>0</xdr:colOff>
      <xdr:row>106</xdr:row>
      <xdr:rowOff>0</xdr:rowOff>
    </xdr:to>
    <xdr:sp>
      <xdr:nvSpPr>
        <xdr:cNvPr id="84" name="Rectangle 90"/>
        <xdr:cNvSpPr>
          <a:spLocks/>
        </xdr:cNvSpPr>
      </xdr:nvSpPr>
      <xdr:spPr>
        <a:xfrm>
          <a:off x="9963150" y="13039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106</xdr:row>
      <xdr:rowOff>0</xdr:rowOff>
    </xdr:from>
    <xdr:to>
      <xdr:col>14</xdr:col>
      <xdr:colOff>0</xdr:colOff>
      <xdr:row>106</xdr:row>
      <xdr:rowOff>0</xdr:rowOff>
    </xdr:to>
    <xdr:sp>
      <xdr:nvSpPr>
        <xdr:cNvPr id="85" name="Rectangle 91"/>
        <xdr:cNvSpPr>
          <a:spLocks/>
        </xdr:cNvSpPr>
      </xdr:nvSpPr>
      <xdr:spPr>
        <a:xfrm>
          <a:off x="9963150" y="13039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106</xdr:row>
      <xdr:rowOff>0</xdr:rowOff>
    </xdr:from>
    <xdr:to>
      <xdr:col>14</xdr:col>
      <xdr:colOff>0</xdr:colOff>
      <xdr:row>106</xdr:row>
      <xdr:rowOff>0</xdr:rowOff>
    </xdr:to>
    <xdr:sp>
      <xdr:nvSpPr>
        <xdr:cNvPr id="86" name="Rectangle 92"/>
        <xdr:cNvSpPr>
          <a:spLocks/>
        </xdr:cNvSpPr>
      </xdr:nvSpPr>
      <xdr:spPr>
        <a:xfrm>
          <a:off x="9963150" y="13039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0</xdr:row>
      <xdr:rowOff>0</xdr:rowOff>
    </xdr:from>
    <xdr:to>
      <xdr:col>4</xdr:col>
      <xdr:colOff>180975</xdr:colOff>
      <xdr:row>0</xdr:row>
      <xdr:rowOff>0</xdr:rowOff>
    </xdr:to>
    <xdr:sp>
      <xdr:nvSpPr>
        <xdr:cNvPr id="1" name="Rectangle 1"/>
        <xdr:cNvSpPr>
          <a:spLocks/>
        </xdr:cNvSpPr>
      </xdr:nvSpPr>
      <xdr:spPr>
        <a:xfrm>
          <a:off x="6800850"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0</xdr:row>
      <xdr:rowOff>0</xdr:rowOff>
    </xdr:from>
    <xdr:to>
      <xdr:col>4</xdr:col>
      <xdr:colOff>180975</xdr:colOff>
      <xdr:row>0</xdr:row>
      <xdr:rowOff>0</xdr:rowOff>
    </xdr:to>
    <xdr:sp>
      <xdr:nvSpPr>
        <xdr:cNvPr id="2" name="Rectangle 2"/>
        <xdr:cNvSpPr>
          <a:spLocks/>
        </xdr:cNvSpPr>
      </xdr:nvSpPr>
      <xdr:spPr>
        <a:xfrm>
          <a:off x="6800850"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0</xdr:row>
      <xdr:rowOff>0</xdr:rowOff>
    </xdr:from>
    <xdr:to>
      <xdr:col>4</xdr:col>
      <xdr:colOff>180975</xdr:colOff>
      <xdr:row>0</xdr:row>
      <xdr:rowOff>0</xdr:rowOff>
    </xdr:to>
    <xdr:sp>
      <xdr:nvSpPr>
        <xdr:cNvPr id="3" name="Rectangle 3"/>
        <xdr:cNvSpPr>
          <a:spLocks/>
        </xdr:cNvSpPr>
      </xdr:nvSpPr>
      <xdr:spPr>
        <a:xfrm>
          <a:off x="6800850"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0</xdr:row>
      <xdr:rowOff>0</xdr:rowOff>
    </xdr:from>
    <xdr:to>
      <xdr:col>4</xdr:col>
      <xdr:colOff>180975</xdr:colOff>
      <xdr:row>0</xdr:row>
      <xdr:rowOff>0</xdr:rowOff>
    </xdr:to>
    <xdr:sp>
      <xdr:nvSpPr>
        <xdr:cNvPr id="4" name="Rectangle 4"/>
        <xdr:cNvSpPr>
          <a:spLocks/>
        </xdr:cNvSpPr>
      </xdr:nvSpPr>
      <xdr:spPr>
        <a:xfrm>
          <a:off x="6800850"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0</xdr:row>
      <xdr:rowOff>0</xdr:rowOff>
    </xdr:from>
    <xdr:to>
      <xdr:col>4</xdr:col>
      <xdr:colOff>180975</xdr:colOff>
      <xdr:row>0</xdr:row>
      <xdr:rowOff>0</xdr:rowOff>
    </xdr:to>
    <xdr:sp>
      <xdr:nvSpPr>
        <xdr:cNvPr id="5" name="Rectangle 5"/>
        <xdr:cNvSpPr>
          <a:spLocks/>
        </xdr:cNvSpPr>
      </xdr:nvSpPr>
      <xdr:spPr>
        <a:xfrm>
          <a:off x="6800850"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0</xdr:row>
      <xdr:rowOff>0</xdr:rowOff>
    </xdr:from>
    <xdr:to>
      <xdr:col>4</xdr:col>
      <xdr:colOff>180975</xdr:colOff>
      <xdr:row>0</xdr:row>
      <xdr:rowOff>0</xdr:rowOff>
    </xdr:to>
    <xdr:sp>
      <xdr:nvSpPr>
        <xdr:cNvPr id="6" name="Rectangle 6"/>
        <xdr:cNvSpPr>
          <a:spLocks/>
        </xdr:cNvSpPr>
      </xdr:nvSpPr>
      <xdr:spPr>
        <a:xfrm>
          <a:off x="6800850"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0</xdr:row>
      <xdr:rowOff>0</xdr:rowOff>
    </xdr:from>
    <xdr:to>
      <xdr:col>4</xdr:col>
      <xdr:colOff>180975</xdr:colOff>
      <xdr:row>0</xdr:row>
      <xdr:rowOff>0</xdr:rowOff>
    </xdr:to>
    <xdr:sp>
      <xdr:nvSpPr>
        <xdr:cNvPr id="7" name="Rectangle 7"/>
        <xdr:cNvSpPr>
          <a:spLocks/>
        </xdr:cNvSpPr>
      </xdr:nvSpPr>
      <xdr:spPr>
        <a:xfrm>
          <a:off x="6800850"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0</xdr:row>
      <xdr:rowOff>0</xdr:rowOff>
    </xdr:from>
    <xdr:to>
      <xdr:col>4</xdr:col>
      <xdr:colOff>200025</xdr:colOff>
      <xdr:row>0</xdr:row>
      <xdr:rowOff>0</xdr:rowOff>
    </xdr:to>
    <xdr:sp>
      <xdr:nvSpPr>
        <xdr:cNvPr id="8" name="Rectangle 8"/>
        <xdr:cNvSpPr>
          <a:spLocks/>
        </xdr:cNvSpPr>
      </xdr:nvSpPr>
      <xdr:spPr>
        <a:xfrm>
          <a:off x="6819900"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0</xdr:row>
      <xdr:rowOff>0</xdr:rowOff>
    </xdr:from>
    <xdr:to>
      <xdr:col>17</xdr:col>
      <xdr:colOff>0</xdr:colOff>
      <xdr:row>0</xdr:row>
      <xdr:rowOff>0</xdr:rowOff>
    </xdr:to>
    <xdr:grpSp>
      <xdr:nvGrpSpPr>
        <xdr:cNvPr id="9" name="Group 9"/>
        <xdr:cNvGrpSpPr>
          <a:grpSpLocks/>
        </xdr:cNvGrpSpPr>
      </xdr:nvGrpSpPr>
      <xdr:grpSpPr>
        <a:xfrm>
          <a:off x="9353550" y="0"/>
          <a:ext cx="0" cy="0"/>
          <a:chOff x="706" y="1"/>
          <a:chExt cx="170" cy="70"/>
        </a:xfrm>
        <a:solidFill>
          <a:srgbClr val="FFFFFF"/>
        </a:solidFill>
      </xdr:grpSpPr>
      <xdr:sp>
        <xdr:nvSpPr>
          <xdr:cNvPr id="10" name="Rectangle 10"/>
          <xdr:cNvSpPr>
            <a:spLocks/>
          </xdr:cNvSpPr>
        </xdr:nvSpPr>
        <xdr:spPr>
          <a:xfrm>
            <a:off x="706" y="29"/>
            <a:ext cx="170" cy="19"/>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1" name="Rectangle 11"/>
          <xdr:cNvSpPr>
            <a:spLocks/>
          </xdr:cNvSpPr>
        </xdr:nvSpPr>
        <xdr:spPr>
          <a:xfrm>
            <a:off x="776" y="26"/>
            <a:ext cx="78" cy="23"/>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flipH="1">
            <a:off x="832" y="71"/>
            <a:ext cx="44"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flipH="1">
            <a:off x="841" y="71"/>
            <a:ext cx="24"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4" name="Rectangle 14"/>
          <xdr:cNvSpPr>
            <a:spLocks/>
          </xdr:cNvSpPr>
        </xdr:nvSpPr>
        <xdr:spPr>
          <a:xfrm>
            <a:off x="825" y="62"/>
            <a:ext cx="51" cy="9"/>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15" name="Picture 15"/>
          <xdr:cNvPicPr preferRelativeResize="1">
            <a:picLocks noChangeAspect="0"/>
          </xdr:cNvPicPr>
        </xdr:nvPicPr>
        <xdr:blipFill>
          <a:blip r:link="rId1"/>
          <a:stretch>
            <a:fillRect/>
          </a:stretch>
        </xdr:blipFill>
        <xdr:spPr>
          <a:xfrm>
            <a:off x="707" y="1"/>
            <a:ext cx="169" cy="67"/>
          </a:xfrm>
          <a:prstGeom prst="rect">
            <a:avLst/>
          </a:prstGeom>
          <a:noFill/>
          <a:ln w="9525" cmpd="sng">
            <a:noFill/>
          </a:ln>
        </xdr:spPr>
      </xdr:pic>
    </xdr:grpSp>
    <xdr:clientData/>
  </xdr:twoCellAnchor>
  <xdr:twoCellAnchor>
    <xdr:from>
      <xdr:col>4</xdr:col>
      <xdr:colOff>66675</xdr:colOff>
      <xdr:row>0</xdr:row>
      <xdr:rowOff>0</xdr:rowOff>
    </xdr:from>
    <xdr:to>
      <xdr:col>4</xdr:col>
      <xdr:colOff>180975</xdr:colOff>
      <xdr:row>0</xdr:row>
      <xdr:rowOff>0</xdr:rowOff>
    </xdr:to>
    <xdr:sp>
      <xdr:nvSpPr>
        <xdr:cNvPr id="16" name="Rectangle 16"/>
        <xdr:cNvSpPr>
          <a:spLocks/>
        </xdr:cNvSpPr>
      </xdr:nvSpPr>
      <xdr:spPr>
        <a:xfrm>
          <a:off x="6800850"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17" name="Rectangle 17"/>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18" name="Rectangle 18"/>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19" name="Rectangle 19"/>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0" name="Rectangle 20"/>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1" name="Rectangle 21"/>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2" name="Rectangle 22"/>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3" name="Rectangle 23"/>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4" name="Rectangle 24"/>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5" name="Rectangle 25"/>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6" name="Rectangle 26"/>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7" name="Rectangle 27"/>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8" name="Rectangle 28"/>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9" name="Rectangle 29"/>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30" name="Rectangle 30"/>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31" name="Rectangle 31"/>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32" name="Rectangle 32"/>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33" name="Rectangle 33"/>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34" name="Rectangle 34"/>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35" name="Rectangle 35"/>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36" name="Rectangle 36"/>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37" name="Rectangle 37"/>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38" name="Rectangle 38"/>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381000</xdr:colOff>
      <xdr:row>1</xdr:row>
      <xdr:rowOff>28575</xdr:rowOff>
    </xdr:from>
    <xdr:to>
      <xdr:col>6</xdr:col>
      <xdr:colOff>542925</xdr:colOff>
      <xdr:row>4</xdr:row>
      <xdr:rowOff>0</xdr:rowOff>
    </xdr:to>
    <xdr:pic>
      <xdr:nvPicPr>
        <xdr:cNvPr id="39" name="Picture 39"/>
        <xdr:cNvPicPr preferRelativeResize="1">
          <a:picLocks noChangeAspect="1"/>
        </xdr:cNvPicPr>
      </xdr:nvPicPr>
      <xdr:blipFill>
        <a:blip r:embed="rId2"/>
        <a:stretch>
          <a:fillRect/>
        </a:stretch>
      </xdr:blipFill>
      <xdr:spPr>
        <a:xfrm>
          <a:off x="7724775" y="219075"/>
          <a:ext cx="771525"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0</xdr:row>
      <xdr:rowOff>0</xdr:rowOff>
    </xdr:from>
    <xdr:to>
      <xdr:col>4</xdr:col>
      <xdr:colOff>180975</xdr:colOff>
      <xdr:row>0</xdr:row>
      <xdr:rowOff>0</xdr:rowOff>
    </xdr:to>
    <xdr:sp>
      <xdr:nvSpPr>
        <xdr:cNvPr id="1" name="Rectangle 1"/>
        <xdr:cNvSpPr>
          <a:spLocks/>
        </xdr:cNvSpPr>
      </xdr:nvSpPr>
      <xdr:spPr>
        <a:xfrm>
          <a:off x="2505075"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0</xdr:row>
      <xdr:rowOff>0</xdr:rowOff>
    </xdr:from>
    <xdr:to>
      <xdr:col>4</xdr:col>
      <xdr:colOff>180975</xdr:colOff>
      <xdr:row>0</xdr:row>
      <xdr:rowOff>0</xdr:rowOff>
    </xdr:to>
    <xdr:sp>
      <xdr:nvSpPr>
        <xdr:cNvPr id="2" name="Rectangle 2"/>
        <xdr:cNvSpPr>
          <a:spLocks/>
        </xdr:cNvSpPr>
      </xdr:nvSpPr>
      <xdr:spPr>
        <a:xfrm>
          <a:off x="2505075"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0</xdr:row>
      <xdr:rowOff>0</xdr:rowOff>
    </xdr:from>
    <xdr:to>
      <xdr:col>4</xdr:col>
      <xdr:colOff>180975</xdr:colOff>
      <xdr:row>0</xdr:row>
      <xdr:rowOff>0</xdr:rowOff>
    </xdr:to>
    <xdr:sp>
      <xdr:nvSpPr>
        <xdr:cNvPr id="3" name="Rectangle 3"/>
        <xdr:cNvSpPr>
          <a:spLocks/>
        </xdr:cNvSpPr>
      </xdr:nvSpPr>
      <xdr:spPr>
        <a:xfrm>
          <a:off x="2505075"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0</xdr:row>
      <xdr:rowOff>0</xdr:rowOff>
    </xdr:from>
    <xdr:to>
      <xdr:col>4</xdr:col>
      <xdr:colOff>180975</xdr:colOff>
      <xdr:row>0</xdr:row>
      <xdr:rowOff>0</xdr:rowOff>
    </xdr:to>
    <xdr:sp>
      <xdr:nvSpPr>
        <xdr:cNvPr id="4" name="Rectangle 4"/>
        <xdr:cNvSpPr>
          <a:spLocks/>
        </xdr:cNvSpPr>
      </xdr:nvSpPr>
      <xdr:spPr>
        <a:xfrm>
          <a:off x="2505075"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0</xdr:row>
      <xdr:rowOff>0</xdr:rowOff>
    </xdr:from>
    <xdr:to>
      <xdr:col>4</xdr:col>
      <xdr:colOff>180975</xdr:colOff>
      <xdr:row>0</xdr:row>
      <xdr:rowOff>0</xdr:rowOff>
    </xdr:to>
    <xdr:sp>
      <xdr:nvSpPr>
        <xdr:cNvPr id="5" name="Rectangle 5"/>
        <xdr:cNvSpPr>
          <a:spLocks/>
        </xdr:cNvSpPr>
      </xdr:nvSpPr>
      <xdr:spPr>
        <a:xfrm>
          <a:off x="2505075"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0</xdr:row>
      <xdr:rowOff>0</xdr:rowOff>
    </xdr:from>
    <xdr:to>
      <xdr:col>4</xdr:col>
      <xdr:colOff>180975</xdr:colOff>
      <xdr:row>0</xdr:row>
      <xdr:rowOff>0</xdr:rowOff>
    </xdr:to>
    <xdr:sp>
      <xdr:nvSpPr>
        <xdr:cNvPr id="6" name="Rectangle 6"/>
        <xdr:cNvSpPr>
          <a:spLocks/>
        </xdr:cNvSpPr>
      </xdr:nvSpPr>
      <xdr:spPr>
        <a:xfrm>
          <a:off x="2505075"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0</xdr:row>
      <xdr:rowOff>0</xdr:rowOff>
    </xdr:from>
    <xdr:to>
      <xdr:col>4</xdr:col>
      <xdr:colOff>180975</xdr:colOff>
      <xdr:row>0</xdr:row>
      <xdr:rowOff>0</xdr:rowOff>
    </xdr:to>
    <xdr:sp>
      <xdr:nvSpPr>
        <xdr:cNvPr id="7" name="Rectangle 7"/>
        <xdr:cNvSpPr>
          <a:spLocks/>
        </xdr:cNvSpPr>
      </xdr:nvSpPr>
      <xdr:spPr>
        <a:xfrm>
          <a:off x="2505075"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0</xdr:row>
      <xdr:rowOff>0</xdr:rowOff>
    </xdr:from>
    <xdr:to>
      <xdr:col>4</xdr:col>
      <xdr:colOff>200025</xdr:colOff>
      <xdr:row>0</xdr:row>
      <xdr:rowOff>0</xdr:rowOff>
    </xdr:to>
    <xdr:sp>
      <xdr:nvSpPr>
        <xdr:cNvPr id="8" name="Rectangle 8"/>
        <xdr:cNvSpPr>
          <a:spLocks/>
        </xdr:cNvSpPr>
      </xdr:nvSpPr>
      <xdr:spPr>
        <a:xfrm>
          <a:off x="2524125"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0</xdr:row>
      <xdr:rowOff>0</xdr:rowOff>
    </xdr:from>
    <xdr:to>
      <xdr:col>17</xdr:col>
      <xdr:colOff>0</xdr:colOff>
      <xdr:row>0</xdr:row>
      <xdr:rowOff>0</xdr:rowOff>
    </xdr:to>
    <xdr:grpSp>
      <xdr:nvGrpSpPr>
        <xdr:cNvPr id="9" name="Group 9"/>
        <xdr:cNvGrpSpPr>
          <a:grpSpLocks/>
        </xdr:cNvGrpSpPr>
      </xdr:nvGrpSpPr>
      <xdr:grpSpPr>
        <a:xfrm>
          <a:off x="9839325" y="0"/>
          <a:ext cx="0" cy="0"/>
          <a:chOff x="706" y="1"/>
          <a:chExt cx="170" cy="70"/>
        </a:xfrm>
        <a:solidFill>
          <a:srgbClr val="FFFFFF"/>
        </a:solidFill>
      </xdr:grpSpPr>
      <xdr:sp>
        <xdr:nvSpPr>
          <xdr:cNvPr id="10" name="Rectangle 10"/>
          <xdr:cNvSpPr>
            <a:spLocks/>
          </xdr:cNvSpPr>
        </xdr:nvSpPr>
        <xdr:spPr>
          <a:xfrm>
            <a:off x="706" y="29"/>
            <a:ext cx="170" cy="19"/>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1" name="Rectangle 11"/>
          <xdr:cNvSpPr>
            <a:spLocks/>
          </xdr:cNvSpPr>
        </xdr:nvSpPr>
        <xdr:spPr>
          <a:xfrm>
            <a:off x="776" y="26"/>
            <a:ext cx="78" cy="23"/>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flipH="1">
            <a:off x="832" y="71"/>
            <a:ext cx="44"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flipH="1">
            <a:off x="841" y="71"/>
            <a:ext cx="24"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4" name="Rectangle 14"/>
          <xdr:cNvSpPr>
            <a:spLocks/>
          </xdr:cNvSpPr>
        </xdr:nvSpPr>
        <xdr:spPr>
          <a:xfrm>
            <a:off x="825" y="62"/>
            <a:ext cx="51" cy="9"/>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15" name="Picture 15"/>
          <xdr:cNvPicPr preferRelativeResize="1">
            <a:picLocks noChangeAspect="0"/>
          </xdr:cNvPicPr>
        </xdr:nvPicPr>
        <xdr:blipFill>
          <a:blip r:link="rId1"/>
          <a:stretch>
            <a:fillRect/>
          </a:stretch>
        </xdr:blipFill>
        <xdr:spPr>
          <a:xfrm>
            <a:off x="707" y="1"/>
            <a:ext cx="169" cy="67"/>
          </a:xfrm>
          <a:prstGeom prst="rect">
            <a:avLst/>
          </a:prstGeom>
          <a:noFill/>
          <a:ln w="9525" cmpd="sng">
            <a:noFill/>
          </a:ln>
        </xdr:spPr>
      </xdr:pic>
    </xdr:grpSp>
    <xdr:clientData/>
  </xdr:twoCellAnchor>
  <xdr:twoCellAnchor>
    <xdr:from>
      <xdr:col>4</xdr:col>
      <xdr:colOff>66675</xdr:colOff>
      <xdr:row>0</xdr:row>
      <xdr:rowOff>0</xdr:rowOff>
    </xdr:from>
    <xdr:to>
      <xdr:col>4</xdr:col>
      <xdr:colOff>180975</xdr:colOff>
      <xdr:row>0</xdr:row>
      <xdr:rowOff>0</xdr:rowOff>
    </xdr:to>
    <xdr:sp>
      <xdr:nvSpPr>
        <xdr:cNvPr id="16" name="Rectangle 16"/>
        <xdr:cNvSpPr>
          <a:spLocks/>
        </xdr:cNvSpPr>
      </xdr:nvSpPr>
      <xdr:spPr>
        <a:xfrm>
          <a:off x="2505075"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17" name="Rectangle 17"/>
        <xdr:cNvSpPr>
          <a:spLocks/>
        </xdr:cNvSpPr>
      </xdr:nvSpPr>
      <xdr:spPr>
        <a:xfrm>
          <a:off x="9229725"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18" name="Rectangle 18"/>
        <xdr:cNvSpPr>
          <a:spLocks/>
        </xdr:cNvSpPr>
      </xdr:nvSpPr>
      <xdr:spPr>
        <a:xfrm>
          <a:off x="9229725"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19" name="Rectangle 19"/>
        <xdr:cNvSpPr>
          <a:spLocks/>
        </xdr:cNvSpPr>
      </xdr:nvSpPr>
      <xdr:spPr>
        <a:xfrm>
          <a:off x="9229725"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0" name="Rectangle 20"/>
        <xdr:cNvSpPr>
          <a:spLocks/>
        </xdr:cNvSpPr>
      </xdr:nvSpPr>
      <xdr:spPr>
        <a:xfrm>
          <a:off x="9229725"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1" name="Rectangle 21"/>
        <xdr:cNvSpPr>
          <a:spLocks/>
        </xdr:cNvSpPr>
      </xdr:nvSpPr>
      <xdr:spPr>
        <a:xfrm>
          <a:off x="9229725"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2" name="Rectangle 22"/>
        <xdr:cNvSpPr>
          <a:spLocks/>
        </xdr:cNvSpPr>
      </xdr:nvSpPr>
      <xdr:spPr>
        <a:xfrm>
          <a:off x="9229725"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3" name="Rectangle 23"/>
        <xdr:cNvSpPr>
          <a:spLocks/>
        </xdr:cNvSpPr>
      </xdr:nvSpPr>
      <xdr:spPr>
        <a:xfrm>
          <a:off x="9229725"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4" name="Rectangle 24"/>
        <xdr:cNvSpPr>
          <a:spLocks/>
        </xdr:cNvSpPr>
      </xdr:nvSpPr>
      <xdr:spPr>
        <a:xfrm>
          <a:off x="9229725"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xdr:row>
      <xdr:rowOff>171450</xdr:rowOff>
    </xdr:from>
    <xdr:to>
      <xdr:col>13</xdr:col>
      <xdr:colOff>409575</xdr:colOff>
      <xdr:row>3</xdr:row>
      <xdr:rowOff>171450</xdr:rowOff>
    </xdr:to>
    <xdr:sp>
      <xdr:nvSpPr>
        <xdr:cNvPr id="25" name="Rectangle 25"/>
        <xdr:cNvSpPr>
          <a:spLocks/>
        </xdr:cNvSpPr>
      </xdr:nvSpPr>
      <xdr:spPr>
        <a:xfrm>
          <a:off x="8172450" y="542925"/>
          <a:ext cx="40957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xdr:row>
      <xdr:rowOff>171450</xdr:rowOff>
    </xdr:from>
    <xdr:to>
      <xdr:col>13</xdr:col>
      <xdr:colOff>409575</xdr:colOff>
      <xdr:row>3</xdr:row>
      <xdr:rowOff>171450</xdr:rowOff>
    </xdr:to>
    <xdr:sp>
      <xdr:nvSpPr>
        <xdr:cNvPr id="26" name="Rectangle 26"/>
        <xdr:cNvSpPr>
          <a:spLocks/>
        </xdr:cNvSpPr>
      </xdr:nvSpPr>
      <xdr:spPr>
        <a:xfrm>
          <a:off x="8172450" y="542925"/>
          <a:ext cx="40957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xdr:row>
      <xdr:rowOff>171450</xdr:rowOff>
    </xdr:from>
    <xdr:to>
      <xdr:col>13</xdr:col>
      <xdr:colOff>409575</xdr:colOff>
      <xdr:row>3</xdr:row>
      <xdr:rowOff>171450</xdr:rowOff>
    </xdr:to>
    <xdr:sp>
      <xdr:nvSpPr>
        <xdr:cNvPr id="27" name="Rectangle 27"/>
        <xdr:cNvSpPr>
          <a:spLocks/>
        </xdr:cNvSpPr>
      </xdr:nvSpPr>
      <xdr:spPr>
        <a:xfrm>
          <a:off x="8172450" y="542925"/>
          <a:ext cx="40957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xdr:row>
      <xdr:rowOff>171450</xdr:rowOff>
    </xdr:from>
    <xdr:to>
      <xdr:col>13</xdr:col>
      <xdr:colOff>409575</xdr:colOff>
      <xdr:row>3</xdr:row>
      <xdr:rowOff>171450</xdr:rowOff>
    </xdr:to>
    <xdr:sp>
      <xdr:nvSpPr>
        <xdr:cNvPr id="28" name="Rectangle 28"/>
        <xdr:cNvSpPr>
          <a:spLocks/>
        </xdr:cNvSpPr>
      </xdr:nvSpPr>
      <xdr:spPr>
        <a:xfrm>
          <a:off x="8172450" y="542925"/>
          <a:ext cx="40957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xdr:row>
      <xdr:rowOff>171450</xdr:rowOff>
    </xdr:from>
    <xdr:to>
      <xdr:col>13</xdr:col>
      <xdr:colOff>409575</xdr:colOff>
      <xdr:row>3</xdr:row>
      <xdr:rowOff>171450</xdr:rowOff>
    </xdr:to>
    <xdr:sp>
      <xdr:nvSpPr>
        <xdr:cNvPr id="29" name="Rectangle 29"/>
        <xdr:cNvSpPr>
          <a:spLocks/>
        </xdr:cNvSpPr>
      </xdr:nvSpPr>
      <xdr:spPr>
        <a:xfrm>
          <a:off x="8172450" y="542925"/>
          <a:ext cx="40957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xdr:row>
      <xdr:rowOff>171450</xdr:rowOff>
    </xdr:from>
    <xdr:to>
      <xdr:col>13</xdr:col>
      <xdr:colOff>409575</xdr:colOff>
      <xdr:row>3</xdr:row>
      <xdr:rowOff>171450</xdr:rowOff>
    </xdr:to>
    <xdr:sp>
      <xdr:nvSpPr>
        <xdr:cNvPr id="30" name="Rectangle 30"/>
        <xdr:cNvSpPr>
          <a:spLocks/>
        </xdr:cNvSpPr>
      </xdr:nvSpPr>
      <xdr:spPr>
        <a:xfrm>
          <a:off x="8172450" y="542925"/>
          <a:ext cx="40957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xdr:row>
      <xdr:rowOff>171450</xdr:rowOff>
    </xdr:from>
    <xdr:to>
      <xdr:col>13</xdr:col>
      <xdr:colOff>409575</xdr:colOff>
      <xdr:row>3</xdr:row>
      <xdr:rowOff>171450</xdr:rowOff>
    </xdr:to>
    <xdr:sp>
      <xdr:nvSpPr>
        <xdr:cNvPr id="31" name="Rectangle 31"/>
        <xdr:cNvSpPr>
          <a:spLocks/>
        </xdr:cNvSpPr>
      </xdr:nvSpPr>
      <xdr:spPr>
        <a:xfrm>
          <a:off x="8172450" y="542925"/>
          <a:ext cx="40957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xdr:row>
      <xdr:rowOff>171450</xdr:rowOff>
    </xdr:from>
    <xdr:to>
      <xdr:col>13</xdr:col>
      <xdr:colOff>409575</xdr:colOff>
      <xdr:row>3</xdr:row>
      <xdr:rowOff>171450</xdr:rowOff>
    </xdr:to>
    <xdr:sp>
      <xdr:nvSpPr>
        <xdr:cNvPr id="32" name="Rectangle 32"/>
        <xdr:cNvSpPr>
          <a:spLocks/>
        </xdr:cNvSpPr>
      </xdr:nvSpPr>
      <xdr:spPr>
        <a:xfrm>
          <a:off x="8172450" y="542925"/>
          <a:ext cx="40957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xdr:row>
      <xdr:rowOff>171450</xdr:rowOff>
    </xdr:from>
    <xdr:to>
      <xdr:col>13</xdr:col>
      <xdr:colOff>409575</xdr:colOff>
      <xdr:row>3</xdr:row>
      <xdr:rowOff>171450</xdr:rowOff>
    </xdr:to>
    <xdr:sp>
      <xdr:nvSpPr>
        <xdr:cNvPr id="33" name="Rectangle 33"/>
        <xdr:cNvSpPr>
          <a:spLocks/>
        </xdr:cNvSpPr>
      </xdr:nvSpPr>
      <xdr:spPr>
        <a:xfrm>
          <a:off x="8172450" y="542925"/>
          <a:ext cx="40957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xdr:row>
      <xdr:rowOff>171450</xdr:rowOff>
    </xdr:from>
    <xdr:to>
      <xdr:col>13</xdr:col>
      <xdr:colOff>409575</xdr:colOff>
      <xdr:row>3</xdr:row>
      <xdr:rowOff>171450</xdr:rowOff>
    </xdr:to>
    <xdr:sp>
      <xdr:nvSpPr>
        <xdr:cNvPr id="34" name="Rectangle 34"/>
        <xdr:cNvSpPr>
          <a:spLocks/>
        </xdr:cNvSpPr>
      </xdr:nvSpPr>
      <xdr:spPr>
        <a:xfrm>
          <a:off x="8172450" y="542925"/>
          <a:ext cx="40957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xdr:row>
      <xdr:rowOff>171450</xdr:rowOff>
    </xdr:from>
    <xdr:to>
      <xdr:col>13</xdr:col>
      <xdr:colOff>409575</xdr:colOff>
      <xdr:row>3</xdr:row>
      <xdr:rowOff>171450</xdr:rowOff>
    </xdr:to>
    <xdr:sp>
      <xdr:nvSpPr>
        <xdr:cNvPr id="35" name="Rectangle 35"/>
        <xdr:cNvSpPr>
          <a:spLocks/>
        </xdr:cNvSpPr>
      </xdr:nvSpPr>
      <xdr:spPr>
        <a:xfrm>
          <a:off x="8172450" y="542925"/>
          <a:ext cx="40957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xdr:row>
      <xdr:rowOff>171450</xdr:rowOff>
    </xdr:from>
    <xdr:to>
      <xdr:col>13</xdr:col>
      <xdr:colOff>409575</xdr:colOff>
      <xdr:row>3</xdr:row>
      <xdr:rowOff>171450</xdr:rowOff>
    </xdr:to>
    <xdr:sp>
      <xdr:nvSpPr>
        <xdr:cNvPr id="36" name="Rectangle 36"/>
        <xdr:cNvSpPr>
          <a:spLocks/>
        </xdr:cNvSpPr>
      </xdr:nvSpPr>
      <xdr:spPr>
        <a:xfrm>
          <a:off x="8172450" y="542925"/>
          <a:ext cx="40957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xdr:row>
      <xdr:rowOff>171450</xdr:rowOff>
    </xdr:from>
    <xdr:to>
      <xdr:col>13</xdr:col>
      <xdr:colOff>409575</xdr:colOff>
      <xdr:row>3</xdr:row>
      <xdr:rowOff>171450</xdr:rowOff>
    </xdr:to>
    <xdr:sp>
      <xdr:nvSpPr>
        <xdr:cNvPr id="37" name="Rectangle 37"/>
        <xdr:cNvSpPr>
          <a:spLocks/>
        </xdr:cNvSpPr>
      </xdr:nvSpPr>
      <xdr:spPr>
        <a:xfrm>
          <a:off x="8172450" y="542925"/>
          <a:ext cx="40957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295275</xdr:colOff>
      <xdr:row>1</xdr:row>
      <xdr:rowOff>161925</xdr:rowOff>
    </xdr:from>
    <xdr:to>
      <xdr:col>13</xdr:col>
      <xdr:colOff>704850</xdr:colOff>
      <xdr:row>2</xdr:row>
      <xdr:rowOff>152400</xdr:rowOff>
    </xdr:to>
    <xdr:sp>
      <xdr:nvSpPr>
        <xdr:cNvPr id="38" name="Rectangle 38"/>
        <xdr:cNvSpPr>
          <a:spLocks/>
        </xdr:cNvSpPr>
      </xdr:nvSpPr>
      <xdr:spPr>
        <a:xfrm>
          <a:off x="8467725" y="352425"/>
          <a:ext cx="40957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504825</xdr:colOff>
      <xdr:row>1</xdr:row>
      <xdr:rowOff>19050</xdr:rowOff>
    </xdr:from>
    <xdr:to>
      <xdr:col>13</xdr:col>
      <xdr:colOff>57150</xdr:colOff>
      <xdr:row>3</xdr:row>
      <xdr:rowOff>161925</xdr:rowOff>
    </xdr:to>
    <xdr:pic>
      <xdr:nvPicPr>
        <xdr:cNvPr id="39" name="Picture 39"/>
        <xdr:cNvPicPr preferRelativeResize="1">
          <a:picLocks noChangeAspect="1"/>
        </xdr:cNvPicPr>
      </xdr:nvPicPr>
      <xdr:blipFill>
        <a:blip r:embed="rId2"/>
        <a:stretch>
          <a:fillRect/>
        </a:stretch>
      </xdr:blipFill>
      <xdr:spPr>
        <a:xfrm>
          <a:off x="7458075" y="209550"/>
          <a:ext cx="771525"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77</xdr:row>
      <xdr:rowOff>171450</xdr:rowOff>
    </xdr:from>
    <xdr:to>
      <xdr:col>15</xdr:col>
      <xdr:colOff>0</xdr:colOff>
      <xdr:row>78</xdr:row>
      <xdr:rowOff>0</xdr:rowOff>
    </xdr:to>
    <xdr:sp>
      <xdr:nvSpPr>
        <xdr:cNvPr id="1" name="Rectangle 165"/>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xdr:row>
      <xdr:rowOff>171450</xdr:rowOff>
    </xdr:from>
    <xdr:to>
      <xdr:col>15</xdr:col>
      <xdr:colOff>0</xdr:colOff>
      <xdr:row>78</xdr:row>
      <xdr:rowOff>0</xdr:rowOff>
    </xdr:to>
    <xdr:sp>
      <xdr:nvSpPr>
        <xdr:cNvPr id="2" name="Rectangle 166"/>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xdr:row>
      <xdr:rowOff>171450</xdr:rowOff>
    </xdr:from>
    <xdr:to>
      <xdr:col>15</xdr:col>
      <xdr:colOff>0</xdr:colOff>
      <xdr:row>78</xdr:row>
      <xdr:rowOff>0</xdr:rowOff>
    </xdr:to>
    <xdr:sp>
      <xdr:nvSpPr>
        <xdr:cNvPr id="3" name="Rectangle 167"/>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xdr:row>
      <xdr:rowOff>171450</xdr:rowOff>
    </xdr:from>
    <xdr:to>
      <xdr:col>15</xdr:col>
      <xdr:colOff>0</xdr:colOff>
      <xdr:row>78</xdr:row>
      <xdr:rowOff>0</xdr:rowOff>
    </xdr:to>
    <xdr:sp>
      <xdr:nvSpPr>
        <xdr:cNvPr id="4" name="Rectangle 168"/>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xdr:row>
      <xdr:rowOff>171450</xdr:rowOff>
    </xdr:from>
    <xdr:to>
      <xdr:col>15</xdr:col>
      <xdr:colOff>0</xdr:colOff>
      <xdr:row>78</xdr:row>
      <xdr:rowOff>0</xdr:rowOff>
    </xdr:to>
    <xdr:sp>
      <xdr:nvSpPr>
        <xdr:cNvPr id="5" name="Rectangle 169"/>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xdr:row>
      <xdr:rowOff>171450</xdr:rowOff>
    </xdr:from>
    <xdr:to>
      <xdr:col>15</xdr:col>
      <xdr:colOff>0</xdr:colOff>
      <xdr:row>78</xdr:row>
      <xdr:rowOff>0</xdr:rowOff>
    </xdr:to>
    <xdr:sp>
      <xdr:nvSpPr>
        <xdr:cNvPr id="6" name="Rectangle 170"/>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xdr:row>
      <xdr:rowOff>171450</xdr:rowOff>
    </xdr:from>
    <xdr:to>
      <xdr:col>15</xdr:col>
      <xdr:colOff>0</xdr:colOff>
      <xdr:row>78</xdr:row>
      <xdr:rowOff>0</xdr:rowOff>
    </xdr:to>
    <xdr:sp>
      <xdr:nvSpPr>
        <xdr:cNvPr id="7" name="Rectangle 171"/>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xdr:row>
      <xdr:rowOff>171450</xdr:rowOff>
    </xdr:from>
    <xdr:to>
      <xdr:col>15</xdr:col>
      <xdr:colOff>0</xdr:colOff>
      <xdr:row>78</xdr:row>
      <xdr:rowOff>0</xdr:rowOff>
    </xdr:to>
    <xdr:sp>
      <xdr:nvSpPr>
        <xdr:cNvPr id="8" name="Rectangle 172"/>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xdr:row>
      <xdr:rowOff>171450</xdr:rowOff>
    </xdr:from>
    <xdr:to>
      <xdr:col>15</xdr:col>
      <xdr:colOff>409575</xdr:colOff>
      <xdr:row>78</xdr:row>
      <xdr:rowOff>0</xdr:rowOff>
    </xdr:to>
    <xdr:sp>
      <xdr:nvSpPr>
        <xdr:cNvPr id="9" name="Rectangle 173"/>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xdr:row>
      <xdr:rowOff>171450</xdr:rowOff>
    </xdr:from>
    <xdr:to>
      <xdr:col>15</xdr:col>
      <xdr:colOff>409575</xdr:colOff>
      <xdr:row>78</xdr:row>
      <xdr:rowOff>0</xdr:rowOff>
    </xdr:to>
    <xdr:sp>
      <xdr:nvSpPr>
        <xdr:cNvPr id="10" name="Rectangle 174"/>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xdr:row>
      <xdr:rowOff>171450</xdr:rowOff>
    </xdr:from>
    <xdr:to>
      <xdr:col>15</xdr:col>
      <xdr:colOff>409575</xdr:colOff>
      <xdr:row>78</xdr:row>
      <xdr:rowOff>0</xdr:rowOff>
    </xdr:to>
    <xdr:sp>
      <xdr:nvSpPr>
        <xdr:cNvPr id="11" name="Rectangle 175"/>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xdr:row>
      <xdr:rowOff>171450</xdr:rowOff>
    </xdr:from>
    <xdr:to>
      <xdr:col>15</xdr:col>
      <xdr:colOff>409575</xdr:colOff>
      <xdr:row>78</xdr:row>
      <xdr:rowOff>0</xdr:rowOff>
    </xdr:to>
    <xdr:sp>
      <xdr:nvSpPr>
        <xdr:cNvPr id="12" name="Rectangle 176"/>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xdr:row>
      <xdr:rowOff>171450</xdr:rowOff>
    </xdr:from>
    <xdr:to>
      <xdr:col>15</xdr:col>
      <xdr:colOff>409575</xdr:colOff>
      <xdr:row>78</xdr:row>
      <xdr:rowOff>0</xdr:rowOff>
    </xdr:to>
    <xdr:sp>
      <xdr:nvSpPr>
        <xdr:cNvPr id="13" name="Rectangle 177"/>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xdr:row>
      <xdr:rowOff>171450</xdr:rowOff>
    </xdr:from>
    <xdr:to>
      <xdr:col>15</xdr:col>
      <xdr:colOff>409575</xdr:colOff>
      <xdr:row>78</xdr:row>
      <xdr:rowOff>0</xdr:rowOff>
    </xdr:to>
    <xdr:sp>
      <xdr:nvSpPr>
        <xdr:cNvPr id="14" name="Rectangle 178"/>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xdr:row>
      <xdr:rowOff>171450</xdr:rowOff>
    </xdr:from>
    <xdr:to>
      <xdr:col>15</xdr:col>
      <xdr:colOff>409575</xdr:colOff>
      <xdr:row>78</xdr:row>
      <xdr:rowOff>0</xdr:rowOff>
    </xdr:to>
    <xdr:sp>
      <xdr:nvSpPr>
        <xdr:cNvPr id="15" name="Rectangle 179"/>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xdr:row>
      <xdr:rowOff>171450</xdr:rowOff>
    </xdr:from>
    <xdr:to>
      <xdr:col>15</xdr:col>
      <xdr:colOff>409575</xdr:colOff>
      <xdr:row>78</xdr:row>
      <xdr:rowOff>0</xdr:rowOff>
    </xdr:to>
    <xdr:sp>
      <xdr:nvSpPr>
        <xdr:cNvPr id="16" name="Rectangle 180"/>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xdr:row>
      <xdr:rowOff>171450</xdr:rowOff>
    </xdr:from>
    <xdr:to>
      <xdr:col>15</xdr:col>
      <xdr:colOff>409575</xdr:colOff>
      <xdr:row>78</xdr:row>
      <xdr:rowOff>0</xdr:rowOff>
    </xdr:to>
    <xdr:sp>
      <xdr:nvSpPr>
        <xdr:cNvPr id="17" name="Rectangle 181"/>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xdr:row>
      <xdr:rowOff>171450</xdr:rowOff>
    </xdr:from>
    <xdr:to>
      <xdr:col>15</xdr:col>
      <xdr:colOff>409575</xdr:colOff>
      <xdr:row>78</xdr:row>
      <xdr:rowOff>0</xdr:rowOff>
    </xdr:to>
    <xdr:sp>
      <xdr:nvSpPr>
        <xdr:cNvPr id="18" name="Rectangle 182"/>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xdr:row>
      <xdr:rowOff>171450</xdr:rowOff>
    </xdr:from>
    <xdr:to>
      <xdr:col>15</xdr:col>
      <xdr:colOff>409575</xdr:colOff>
      <xdr:row>78</xdr:row>
      <xdr:rowOff>0</xdr:rowOff>
    </xdr:to>
    <xdr:sp>
      <xdr:nvSpPr>
        <xdr:cNvPr id="19" name="Rectangle 183"/>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xdr:row>
      <xdr:rowOff>171450</xdr:rowOff>
    </xdr:from>
    <xdr:to>
      <xdr:col>15</xdr:col>
      <xdr:colOff>409575</xdr:colOff>
      <xdr:row>78</xdr:row>
      <xdr:rowOff>0</xdr:rowOff>
    </xdr:to>
    <xdr:sp>
      <xdr:nvSpPr>
        <xdr:cNvPr id="20" name="Rectangle 184"/>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xdr:row>
      <xdr:rowOff>171450</xdr:rowOff>
    </xdr:from>
    <xdr:to>
      <xdr:col>15</xdr:col>
      <xdr:colOff>409575</xdr:colOff>
      <xdr:row>78</xdr:row>
      <xdr:rowOff>0</xdr:rowOff>
    </xdr:to>
    <xdr:sp>
      <xdr:nvSpPr>
        <xdr:cNvPr id="21" name="Rectangle 185"/>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xdr:row>
      <xdr:rowOff>171450</xdr:rowOff>
    </xdr:from>
    <xdr:to>
      <xdr:col>15</xdr:col>
      <xdr:colOff>409575</xdr:colOff>
      <xdr:row>78</xdr:row>
      <xdr:rowOff>0</xdr:rowOff>
    </xdr:to>
    <xdr:sp>
      <xdr:nvSpPr>
        <xdr:cNvPr id="22" name="Rectangle 186"/>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133350</xdr:colOff>
      <xdr:row>76</xdr:row>
      <xdr:rowOff>114300</xdr:rowOff>
    </xdr:from>
    <xdr:to>
      <xdr:col>12</xdr:col>
      <xdr:colOff>76200</xdr:colOff>
      <xdr:row>78</xdr:row>
      <xdr:rowOff>85725</xdr:rowOff>
    </xdr:to>
    <xdr:pic>
      <xdr:nvPicPr>
        <xdr:cNvPr id="23" name="Picture 189"/>
        <xdr:cNvPicPr preferRelativeResize="1">
          <a:picLocks noChangeAspect="1"/>
        </xdr:cNvPicPr>
      </xdr:nvPicPr>
      <xdr:blipFill>
        <a:blip r:embed="rId1"/>
        <a:stretch>
          <a:fillRect/>
        </a:stretch>
      </xdr:blipFill>
      <xdr:spPr>
        <a:xfrm>
          <a:off x="7419975" y="14668500"/>
          <a:ext cx="685800" cy="323850"/>
        </a:xfrm>
        <a:prstGeom prst="rect">
          <a:avLst/>
        </a:prstGeom>
        <a:noFill/>
        <a:ln w="9525" cmpd="sng">
          <a:noFill/>
        </a:ln>
      </xdr:spPr>
    </xdr:pic>
    <xdr:clientData/>
  </xdr:twoCellAnchor>
  <xdr:twoCellAnchor>
    <xdr:from>
      <xdr:col>15</xdr:col>
      <xdr:colOff>0</xdr:colOff>
      <xdr:row>35</xdr:row>
      <xdr:rowOff>171450</xdr:rowOff>
    </xdr:from>
    <xdr:to>
      <xdr:col>15</xdr:col>
      <xdr:colOff>0</xdr:colOff>
      <xdr:row>36</xdr:row>
      <xdr:rowOff>0</xdr:rowOff>
    </xdr:to>
    <xdr:sp>
      <xdr:nvSpPr>
        <xdr:cNvPr id="24" name="Rectangle 190"/>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35</xdr:row>
      <xdr:rowOff>171450</xdr:rowOff>
    </xdr:from>
    <xdr:to>
      <xdr:col>15</xdr:col>
      <xdr:colOff>0</xdr:colOff>
      <xdr:row>36</xdr:row>
      <xdr:rowOff>0</xdr:rowOff>
    </xdr:to>
    <xdr:sp>
      <xdr:nvSpPr>
        <xdr:cNvPr id="25" name="Rectangle 191"/>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35</xdr:row>
      <xdr:rowOff>171450</xdr:rowOff>
    </xdr:from>
    <xdr:to>
      <xdr:col>15</xdr:col>
      <xdr:colOff>0</xdr:colOff>
      <xdr:row>36</xdr:row>
      <xdr:rowOff>0</xdr:rowOff>
    </xdr:to>
    <xdr:sp>
      <xdr:nvSpPr>
        <xdr:cNvPr id="26" name="Rectangle 192"/>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35</xdr:row>
      <xdr:rowOff>171450</xdr:rowOff>
    </xdr:from>
    <xdr:to>
      <xdr:col>15</xdr:col>
      <xdr:colOff>0</xdr:colOff>
      <xdr:row>36</xdr:row>
      <xdr:rowOff>0</xdr:rowOff>
    </xdr:to>
    <xdr:sp>
      <xdr:nvSpPr>
        <xdr:cNvPr id="27" name="Rectangle 193"/>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35</xdr:row>
      <xdr:rowOff>171450</xdr:rowOff>
    </xdr:from>
    <xdr:to>
      <xdr:col>15</xdr:col>
      <xdr:colOff>0</xdr:colOff>
      <xdr:row>36</xdr:row>
      <xdr:rowOff>0</xdr:rowOff>
    </xdr:to>
    <xdr:sp>
      <xdr:nvSpPr>
        <xdr:cNvPr id="28" name="Rectangle 194"/>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35</xdr:row>
      <xdr:rowOff>171450</xdr:rowOff>
    </xdr:from>
    <xdr:to>
      <xdr:col>15</xdr:col>
      <xdr:colOff>0</xdr:colOff>
      <xdr:row>36</xdr:row>
      <xdr:rowOff>0</xdr:rowOff>
    </xdr:to>
    <xdr:sp>
      <xdr:nvSpPr>
        <xdr:cNvPr id="29" name="Rectangle 195"/>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35</xdr:row>
      <xdr:rowOff>171450</xdr:rowOff>
    </xdr:from>
    <xdr:to>
      <xdr:col>15</xdr:col>
      <xdr:colOff>0</xdr:colOff>
      <xdr:row>36</xdr:row>
      <xdr:rowOff>0</xdr:rowOff>
    </xdr:to>
    <xdr:sp>
      <xdr:nvSpPr>
        <xdr:cNvPr id="30" name="Rectangle 196"/>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35</xdr:row>
      <xdr:rowOff>171450</xdr:rowOff>
    </xdr:from>
    <xdr:to>
      <xdr:col>15</xdr:col>
      <xdr:colOff>0</xdr:colOff>
      <xdr:row>36</xdr:row>
      <xdr:rowOff>0</xdr:rowOff>
    </xdr:to>
    <xdr:sp>
      <xdr:nvSpPr>
        <xdr:cNvPr id="31" name="Rectangle 197"/>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35</xdr:row>
      <xdr:rowOff>171450</xdr:rowOff>
    </xdr:from>
    <xdr:to>
      <xdr:col>15</xdr:col>
      <xdr:colOff>409575</xdr:colOff>
      <xdr:row>36</xdr:row>
      <xdr:rowOff>0</xdr:rowOff>
    </xdr:to>
    <xdr:sp>
      <xdr:nvSpPr>
        <xdr:cNvPr id="32" name="Rectangle 198"/>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35</xdr:row>
      <xdr:rowOff>171450</xdr:rowOff>
    </xdr:from>
    <xdr:to>
      <xdr:col>15</xdr:col>
      <xdr:colOff>409575</xdr:colOff>
      <xdr:row>36</xdr:row>
      <xdr:rowOff>0</xdr:rowOff>
    </xdr:to>
    <xdr:sp>
      <xdr:nvSpPr>
        <xdr:cNvPr id="33" name="Rectangle 199"/>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35</xdr:row>
      <xdr:rowOff>171450</xdr:rowOff>
    </xdr:from>
    <xdr:to>
      <xdr:col>15</xdr:col>
      <xdr:colOff>409575</xdr:colOff>
      <xdr:row>36</xdr:row>
      <xdr:rowOff>0</xdr:rowOff>
    </xdr:to>
    <xdr:sp>
      <xdr:nvSpPr>
        <xdr:cNvPr id="34" name="Rectangle 200"/>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35</xdr:row>
      <xdr:rowOff>171450</xdr:rowOff>
    </xdr:from>
    <xdr:to>
      <xdr:col>15</xdr:col>
      <xdr:colOff>409575</xdr:colOff>
      <xdr:row>36</xdr:row>
      <xdr:rowOff>0</xdr:rowOff>
    </xdr:to>
    <xdr:sp>
      <xdr:nvSpPr>
        <xdr:cNvPr id="35" name="Rectangle 201"/>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35</xdr:row>
      <xdr:rowOff>171450</xdr:rowOff>
    </xdr:from>
    <xdr:to>
      <xdr:col>15</xdr:col>
      <xdr:colOff>409575</xdr:colOff>
      <xdr:row>36</xdr:row>
      <xdr:rowOff>0</xdr:rowOff>
    </xdr:to>
    <xdr:sp>
      <xdr:nvSpPr>
        <xdr:cNvPr id="36" name="Rectangle 202"/>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35</xdr:row>
      <xdr:rowOff>171450</xdr:rowOff>
    </xdr:from>
    <xdr:to>
      <xdr:col>15</xdr:col>
      <xdr:colOff>409575</xdr:colOff>
      <xdr:row>36</xdr:row>
      <xdr:rowOff>0</xdr:rowOff>
    </xdr:to>
    <xdr:sp>
      <xdr:nvSpPr>
        <xdr:cNvPr id="37" name="Rectangle 203"/>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35</xdr:row>
      <xdr:rowOff>171450</xdr:rowOff>
    </xdr:from>
    <xdr:to>
      <xdr:col>15</xdr:col>
      <xdr:colOff>409575</xdr:colOff>
      <xdr:row>36</xdr:row>
      <xdr:rowOff>0</xdr:rowOff>
    </xdr:to>
    <xdr:sp>
      <xdr:nvSpPr>
        <xdr:cNvPr id="38" name="Rectangle 204"/>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35</xdr:row>
      <xdr:rowOff>171450</xdr:rowOff>
    </xdr:from>
    <xdr:to>
      <xdr:col>15</xdr:col>
      <xdr:colOff>409575</xdr:colOff>
      <xdr:row>36</xdr:row>
      <xdr:rowOff>0</xdr:rowOff>
    </xdr:to>
    <xdr:sp>
      <xdr:nvSpPr>
        <xdr:cNvPr id="39" name="Rectangle 205"/>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35</xdr:row>
      <xdr:rowOff>171450</xdr:rowOff>
    </xdr:from>
    <xdr:to>
      <xdr:col>15</xdr:col>
      <xdr:colOff>409575</xdr:colOff>
      <xdr:row>36</xdr:row>
      <xdr:rowOff>0</xdr:rowOff>
    </xdr:to>
    <xdr:sp>
      <xdr:nvSpPr>
        <xdr:cNvPr id="40" name="Rectangle 206"/>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35</xdr:row>
      <xdr:rowOff>171450</xdr:rowOff>
    </xdr:from>
    <xdr:to>
      <xdr:col>15</xdr:col>
      <xdr:colOff>409575</xdr:colOff>
      <xdr:row>36</xdr:row>
      <xdr:rowOff>0</xdr:rowOff>
    </xdr:to>
    <xdr:sp>
      <xdr:nvSpPr>
        <xdr:cNvPr id="41" name="Rectangle 207"/>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35</xdr:row>
      <xdr:rowOff>171450</xdr:rowOff>
    </xdr:from>
    <xdr:to>
      <xdr:col>15</xdr:col>
      <xdr:colOff>409575</xdr:colOff>
      <xdr:row>36</xdr:row>
      <xdr:rowOff>0</xdr:rowOff>
    </xdr:to>
    <xdr:sp>
      <xdr:nvSpPr>
        <xdr:cNvPr id="42" name="Rectangle 208"/>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35</xdr:row>
      <xdr:rowOff>171450</xdr:rowOff>
    </xdr:from>
    <xdr:to>
      <xdr:col>15</xdr:col>
      <xdr:colOff>409575</xdr:colOff>
      <xdr:row>36</xdr:row>
      <xdr:rowOff>0</xdr:rowOff>
    </xdr:to>
    <xdr:sp>
      <xdr:nvSpPr>
        <xdr:cNvPr id="43" name="Rectangle 209"/>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35</xdr:row>
      <xdr:rowOff>171450</xdr:rowOff>
    </xdr:from>
    <xdr:to>
      <xdr:col>15</xdr:col>
      <xdr:colOff>409575</xdr:colOff>
      <xdr:row>36</xdr:row>
      <xdr:rowOff>0</xdr:rowOff>
    </xdr:to>
    <xdr:sp>
      <xdr:nvSpPr>
        <xdr:cNvPr id="44" name="Rectangle 210"/>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35</xdr:row>
      <xdr:rowOff>171450</xdr:rowOff>
    </xdr:from>
    <xdr:to>
      <xdr:col>15</xdr:col>
      <xdr:colOff>409575</xdr:colOff>
      <xdr:row>36</xdr:row>
      <xdr:rowOff>0</xdr:rowOff>
    </xdr:to>
    <xdr:sp>
      <xdr:nvSpPr>
        <xdr:cNvPr id="45" name="Rectangle 211"/>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133350</xdr:colOff>
      <xdr:row>34</xdr:row>
      <xdr:rowOff>114300</xdr:rowOff>
    </xdr:from>
    <xdr:to>
      <xdr:col>12</xdr:col>
      <xdr:colOff>76200</xdr:colOff>
      <xdr:row>36</xdr:row>
      <xdr:rowOff>85725</xdr:rowOff>
    </xdr:to>
    <xdr:pic>
      <xdr:nvPicPr>
        <xdr:cNvPr id="46" name="Picture 212"/>
        <xdr:cNvPicPr preferRelativeResize="1">
          <a:picLocks noChangeAspect="1"/>
        </xdr:cNvPicPr>
      </xdr:nvPicPr>
      <xdr:blipFill>
        <a:blip r:embed="rId1"/>
        <a:stretch>
          <a:fillRect/>
        </a:stretch>
      </xdr:blipFill>
      <xdr:spPr>
        <a:xfrm>
          <a:off x="7419975" y="6638925"/>
          <a:ext cx="685800" cy="323850"/>
        </a:xfrm>
        <a:prstGeom prst="rect">
          <a:avLst/>
        </a:prstGeom>
        <a:noFill/>
        <a:ln w="9525" cmpd="sng">
          <a:noFill/>
        </a:ln>
      </xdr:spPr>
    </xdr:pic>
    <xdr:clientData/>
  </xdr:twoCellAnchor>
  <xdr:twoCellAnchor>
    <xdr:from>
      <xdr:col>15</xdr:col>
      <xdr:colOff>0</xdr:colOff>
      <xdr:row>1</xdr:row>
      <xdr:rowOff>171450</xdr:rowOff>
    </xdr:from>
    <xdr:to>
      <xdr:col>15</xdr:col>
      <xdr:colOff>0</xdr:colOff>
      <xdr:row>2</xdr:row>
      <xdr:rowOff>0</xdr:rowOff>
    </xdr:to>
    <xdr:sp>
      <xdr:nvSpPr>
        <xdr:cNvPr id="47" name="Rectangle 213"/>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15</xdr:col>
      <xdr:colOff>0</xdr:colOff>
      <xdr:row>2</xdr:row>
      <xdr:rowOff>0</xdr:rowOff>
    </xdr:to>
    <xdr:sp>
      <xdr:nvSpPr>
        <xdr:cNvPr id="48" name="Rectangle 214"/>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15</xdr:col>
      <xdr:colOff>0</xdr:colOff>
      <xdr:row>2</xdr:row>
      <xdr:rowOff>0</xdr:rowOff>
    </xdr:to>
    <xdr:sp>
      <xdr:nvSpPr>
        <xdr:cNvPr id="49" name="Rectangle 215"/>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15</xdr:col>
      <xdr:colOff>0</xdr:colOff>
      <xdr:row>2</xdr:row>
      <xdr:rowOff>0</xdr:rowOff>
    </xdr:to>
    <xdr:sp>
      <xdr:nvSpPr>
        <xdr:cNvPr id="50" name="Rectangle 216"/>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15</xdr:col>
      <xdr:colOff>0</xdr:colOff>
      <xdr:row>2</xdr:row>
      <xdr:rowOff>0</xdr:rowOff>
    </xdr:to>
    <xdr:sp>
      <xdr:nvSpPr>
        <xdr:cNvPr id="51" name="Rectangle 217"/>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15</xdr:col>
      <xdr:colOff>0</xdr:colOff>
      <xdr:row>2</xdr:row>
      <xdr:rowOff>0</xdr:rowOff>
    </xdr:to>
    <xdr:sp>
      <xdr:nvSpPr>
        <xdr:cNvPr id="52" name="Rectangle 218"/>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15</xdr:col>
      <xdr:colOff>0</xdr:colOff>
      <xdr:row>2</xdr:row>
      <xdr:rowOff>0</xdr:rowOff>
    </xdr:to>
    <xdr:sp>
      <xdr:nvSpPr>
        <xdr:cNvPr id="53" name="Rectangle 219"/>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15</xdr:col>
      <xdr:colOff>0</xdr:colOff>
      <xdr:row>2</xdr:row>
      <xdr:rowOff>0</xdr:rowOff>
    </xdr:to>
    <xdr:sp>
      <xdr:nvSpPr>
        <xdr:cNvPr id="54" name="Rectangle 220"/>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15</xdr:col>
      <xdr:colOff>409575</xdr:colOff>
      <xdr:row>2</xdr:row>
      <xdr:rowOff>0</xdr:rowOff>
    </xdr:to>
    <xdr:sp>
      <xdr:nvSpPr>
        <xdr:cNvPr id="55" name="Rectangle 221"/>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15</xdr:col>
      <xdr:colOff>409575</xdr:colOff>
      <xdr:row>2</xdr:row>
      <xdr:rowOff>0</xdr:rowOff>
    </xdr:to>
    <xdr:sp>
      <xdr:nvSpPr>
        <xdr:cNvPr id="56" name="Rectangle 222"/>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15</xdr:col>
      <xdr:colOff>409575</xdr:colOff>
      <xdr:row>2</xdr:row>
      <xdr:rowOff>0</xdr:rowOff>
    </xdr:to>
    <xdr:sp>
      <xdr:nvSpPr>
        <xdr:cNvPr id="57" name="Rectangle 223"/>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15</xdr:col>
      <xdr:colOff>409575</xdr:colOff>
      <xdr:row>2</xdr:row>
      <xdr:rowOff>0</xdr:rowOff>
    </xdr:to>
    <xdr:sp>
      <xdr:nvSpPr>
        <xdr:cNvPr id="58" name="Rectangle 224"/>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15</xdr:col>
      <xdr:colOff>409575</xdr:colOff>
      <xdr:row>2</xdr:row>
      <xdr:rowOff>0</xdr:rowOff>
    </xdr:to>
    <xdr:sp>
      <xdr:nvSpPr>
        <xdr:cNvPr id="59" name="Rectangle 225"/>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15</xdr:col>
      <xdr:colOff>409575</xdr:colOff>
      <xdr:row>2</xdr:row>
      <xdr:rowOff>0</xdr:rowOff>
    </xdr:to>
    <xdr:sp>
      <xdr:nvSpPr>
        <xdr:cNvPr id="60" name="Rectangle 226"/>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15</xdr:col>
      <xdr:colOff>409575</xdr:colOff>
      <xdr:row>2</xdr:row>
      <xdr:rowOff>0</xdr:rowOff>
    </xdr:to>
    <xdr:sp>
      <xdr:nvSpPr>
        <xdr:cNvPr id="61" name="Rectangle 227"/>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15</xdr:col>
      <xdr:colOff>409575</xdr:colOff>
      <xdr:row>2</xdr:row>
      <xdr:rowOff>0</xdr:rowOff>
    </xdr:to>
    <xdr:sp>
      <xdr:nvSpPr>
        <xdr:cNvPr id="62" name="Rectangle 228"/>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15</xdr:col>
      <xdr:colOff>409575</xdr:colOff>
      <xdr:row>2</xdr:row>
      <xdr:rowOff>0</xdr:rowOff>
    </xdr:to>
    <xdr:sp>
      <xdr:nvSpPr>
        <xdr:cNvPr id="63" name="Rectangle 229"/>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15</xdr:col>
      <xdr:colOff>409575</xdr:colOff>
      <xdr:row>2</xdr:row>
      <xdr:rowOff>0</xdr:rowOff>
    </xdr:to>
    <xdr:sp>
      <xdr:nvSpPr>
        <xdr:cNvPr id="64" name="Rectangle 230"/>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15</xdr:col>
      <xdr:colOff>409575</xdr:colOff>
      <xdr:row>2</xdr:row>
      <xdr:rowOff>0</xdr:rowOff>
    </xdr:to>
    <xdr:sp>
      <xdr:nvSpPr>
        <xdr:cNvPr id="65" name="Rectangle 231"/>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15</xdr:col>
      <xdr:colOff>409575</xdr:colOff>
      <xdr:row>2</xdr:row>
      <xdr:rowOff>0</xdr:rowOff>
    </xdr:to>
    <xdr:sp>
      <xdr:nvSpPr>
        <xdr:cNvPr id="66" name="Rectangle 232"/>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15</xdr:col>
      <xdr:colOff>409575</xdr:colOff>
      <xdr:row>2</xdr:row>
      <xdr:rowOff>0</xdr:rowOff>
    </xdr:to>
    <xdr:sp>
      <xdr:nvSpPr>
        <xdr:cNvPr id="67" name="Rectangle 233"/>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15</xdr:col>
      <xdr:colOff>409575</xdr:colOff>
      <xdr:row>2</xdr:row>
      <xdr:rowOff>0</xdr:rowOff>
    </xdr:to>
    <xdr:sp>
      <xdr:nvSpPr>
        <xdr:cNvPr id="68" name="Rectangle 234"/>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133350</xdr:colOff>
      <xdr:row>0</xdr:row>
      <xdr:rowOff>114300</xdr:rowOff>
    </xdr:from>
    <xdr:to>
      <xdr:col>12</xdr:col>
      <xdr:colOff>76200</xdr:colOff>
      <xdr:row>2</xdr:row>
      <xdr:rowOff>85725</xdr:rowOff>
    </xdr:to>
    <xdr:pic>
      <xdr:nvPicPr>
        <xdr:cNvPr id="69" name="Picture 235"/>
        <xdr:cNvPicPr preferRelativeResize="1">
          <a:picLocks noChangeAspect="1"/>
        </xdr:cNvPicPr>
      </xdr:nvPicPr>
      <xdr:blipFill>
        <a:blip r:embed="rId1"/>
        <a:stretch>
          <a:fillRect/>
        </a:stretch>
      </xdr:blipFill>
      <xdr:spPr>
        <a:xfrm>
          <a:off x="7419975" y="114300"/>
          <a:ext cx="685800" cy="323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xdr:row>
      <xdr:rowOff>171450</xdr:rowOff>
    </xdr:from>
    <xdr:to>
      <xdr:col>11</xdr:col>
      <xdr:colOff>0</xdr:colOff>
      <xdr:row>2</xdr:row>
      <xdr:rowOff>0</xdr:rowOff>
    </xdr:to>
    <xdr:sp>
      <xdr:nvSpPr>
        <xdr:cNvPr id="1" name="Rectangle 2"/>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xdr:row>
      <xdr:rowOff>171450</xdr:rowOff>
    </xdr:from>
    <xdr:to>
      <xdr:col>11</xdr:col>
      <xdr:colOff>0</xdr:colOff>
      <xdr:row>2</xdr:row>
      <xdr:rowOff>0</xdr:rowOff>
    </xdr:to>
    <xdr:sp>
      <xdr:nvSpPr>
        <xdr:cNvPr id="2" name="Rectangle 3"/>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xdr:row>
      <xdr:rowOff>171450</xdr:rowOff>
    </xdr:from>
    <xdr:to>
      <xdr:col>11</xdr:col>
      <xdr:colOff>0</xdr:colOff>
      <xdr:row>2</xdr:row>
      <xdr:rowOff>0</xdr:rowOff>
    </xdr:to>
    <xdr:sp>
      <xdr:nvSpPr>
        <xdr:cNvPr id="3" name="Rectangle 4"/>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xdr:row>
      <xdr:rowOff>171450</xdr:rowOff>
    </xdr:from>
    <xdr:to>
      <xdr:col>11</xdr:col>
      <xdr:colOff>0</xdr:colOff>
      <xdr:row>2</xdr:row>
      <xdr:rowOff>0</xdr:rowOff>
    </xdr:to>
    <xdr:sp>
      <xdr:nvSpPr>
        <xdr:cNvPr id="4" name="Rectangle 5"/>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xdr:row>
      <xdr:rowOff>171450</xdr:rowOff>
    </xdr:from>
    <xdr:to>
      <xdr:col>11</xdr:col>
      <xdr:colOff>0</xdr:colOff>
      <xdr:row>2</xdr:row>
      <xdr:rowOff>0</xdr:rowOff>
    </xdr:to>
    <xdr:sp>
      <xdr:nvSpPr>
        <xdr:cNvPr id="5" name="Rectangle 6"/>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xdr:row>
      <xdr:rowOff>171450</xdr:rowOff>
    </xdr:from>
    <xdr:to>
      <xdr:col>11</xdr:col>
      <xdr:colOff>0</xdr:colOff>
      <xdr:row>2</xdr:row>
      <xdr:rowOff>0</xdr:rowOff>
    </xdr:to>
    <xdr:sp>
      <xdr:nvSpPr>
        <xdr:cNvPr id="6" name="Rectangle 7"/>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xdr:row>
      <xdr:rowOff>171450</xdr:rowOff>
    </xdr:from>
    <xdr:to>
      <xdr:col>11</xdr:col>
      <xdr:colOff>0</xdr:colOff>
      <xdr:row>2</xdr:row>
      <xdr:rowOff>0</xdr:rowOff>
    </xdr:to>
    <xdr:sp>
      <xdr:nvSpPr>
        <xdr:cNvPr id="7" name="Rectangle 8"/>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xdr:row>
      <xdr:rowOff>171450</xdr:rowOff>
    </xdr:from>
    <xdr:to>
      <xdr:col>11</xdr:col>
      <xdr:colOff>0</xdr:colOff>
      <xdr:row>2</xdr:row>
      <xdr:rowOff>0</xdr:rowOff>
    </xdr:to>
    <xdr:sp>
      <xdr:nvSpPr>
        <xdr:cNvPr id="8" name="Rectangle 9"/>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xdr:row>
      <xdr:rowOff>171450</xdr:rowOff>
    </xdr:from>
    <xdr:to>
      <xdr:col>11</xdr:col>
      <xdr:colOff>0</xdr:colOff>
      <xdr:row>2</xdr:row>
      <xdr:rowOff>0</xdr:rowOff>
    </xdr:to>
    <xdr:sp>
      <xdr:nvSpPr>
        <xdr:cNvPr id="9" name="Rectangle 10"/>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xdr:row>
      <xdr:rowOff>171450</xdr:rowOff>
    </xdr:from>
    <xdr:to>
      <xdr:col>11</xdr:col>
      <xdr:colOff>0</xdr:colOff>
      <xdr:row>2</xdr:row>
      <xdr:rowOff>0</xdr:rowOff>
    </xdr:to>
    <xdr:sp>
      <xdr:nvSpPr>
        <xdr:cNvPr id="10" name="Rectangle 11"/>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xdr:row>
      <xdr:rowOff>171450</xdr:rowOff>
    </xdr:from>
    <xdr:to>
      <xdr:col>11</xdr:col>
      <xdr:colOff>0</xdr:colOff>
      <xdr:row>2</xdr:row>
      <xdr:rowOff>0</xdr:rowOff>
    </xdr:to>
    <xdr:sp>
      <xdr:nvSpPr>
        <xdr:cNvPr id="11" name="Rectangle 12"/>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xdr:row>
      <xdr:rowOff>171450</xdr:rowOff>
    </xdr:from>
    <xdr:to>
      <xdr:col>11</xdr:col>
      <xdr:colOff>0</xdr:colOff>
      <xdr:row>2</xdr:row>
      <xdr:rowOff>0</xdr:rowOff>
    </xdr:to>
    <xdr:sp>
      <xdr:nvSpPr>
        <xdr:cNvPr id="12" name="Rectangle 13"/>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xdr:row>
      <xdr:rowOff>171450</xdr:rowOff>
    </xdr:from>
    <xdr:to>
      <xdr:col>11</xdr:col>
      <xdr:colOff>0</xdr:colOff>
      <xdr:row>2</xdr:row>
      <xdr:rowOff>0</xdr:rowOff>
    </xdr:to>
    <xdr:sp>
      <xdr:nvSpPr>
        <xdr:cNvPr id="13" name="Rectangle 14"/>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xdr:row>
      <xdr:rowOff>171450</xdr:rowOff>
    </xdr:from>
    <xdr:to>
      <xdr:col>11</xdr:col>
      <xdr:colOff>0</xdr:colOff>
      <xdr:row>2</xdr:row>
      <xdr:rowOff>0</xdr:rowOff>
    </xdr:to>
    <xdr:sp>
      <xdr:nvSpPr>
        <xdr:cNvPr id="14" name="Rectangle 15"/>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xdr:row>
      <xdr:rowOff>171450</xdr:rowOff>
    </xdr:from>
    <xdr:to>
      <xdr:col>11</xdr:col>
      <xdr:colOff>0</xdr:colOff>
      <xdr:row>2</xdr:row>
      <xdr:rowOff>0</xdr:rowOff>
    </xdr:to>
    <xdr:sp>
      <xdr:nvSpPr>
        <xdr:cNvPr id="15" name="Rectangle 16"/>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xdr:row>
      <xdr:rowOff>171450</xdr:rowOff>
    </xdr:from>
    <xdr:to>
      <xdr:col>11</xdr:col>
      <xdr:colOff>0</xdr:colOff>
      <xdr:row>2</xdr:row>
      <xdr:rowOff>0</xdr:rowOff>
    </xdr:to>
    <xdr:sp>
      <xdr:nvSpPr>
        <xdr:cNvPr id="16" name="Rectangle 17"/>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xdr:row>
      <xdr:rowOff>171450</xdr:rowOff>
    </xdr:from>
    <xdr:to>
      <xdr:col>11</xdr:col>
      <xdr:colOff>0</xdr:colOff>
      <xdr:row>2</xdr:row>
      <xdr:rowOff>0</xdr:rowOff>
    </xdr:to>
    <xdr:sp>
      <xdr:nvSpPr>
        <xdr:cNvPr id="17" name="Rectangle 18"/>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xdr:row>
      <xdr:rowOff>171450</xdr:rowOff>
    </xdr:from>
    <xdr:to>
      <xdr:col>11</xdr:col>
      <xdr:colOff>0</xdr:colOff>
      <xdr:row>2</xdr:row>
      <xdr:rowOff>0</xdr:rowOff>
    </xdr:to>
    <xdr:sp>
      <xdr:nvSpPr>
        <xdr:cNvPr id="18" name="Rectangle 19"/>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xdr:row>
      <xdr:rowOff>171450</xdr:rowOff>
    </xdr:from>
    <xdr:to>
      <xdr:col>11</xdr:col>
      <xdr:colOff>0</xdr:colOff>
      <xdr:row>2</xdr:row>
      <xdr:rowOff>0</xdr:rowOff>
    </xdr:to>
    <xdr:sp>
      <xdr:nvSpPr>
        <xdr:cNvPr id="19" name="Rectangle 20"/>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xdr:row>
      <xdr:rowOff>171450</xdr:rowOff>
    </xdr:from>
    <xdr:to>
      <xdr:col>11</xdr:col>
      <xdr:colOff>0</xdr:colOff>
      <xdr:row>2</xdr:row>
      <xdr:rowOff>0</xdr:rowOff>
    </xdr:to>
    <xdr:sp>
      <xdr:nvSpPr>
        <xdr:cNvPr id="20" name="Rectangle 21"/>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xdr:row>
      <xdr:rowOff>171450</xdr:rowOff>
    </xdr:from>
    <xdr:to>
      <xdr:col>11</xdr:col>
      <xdr:colOff>0</xdr:colOff>
      <xdr:row>2</xdr:row>
      <xdr:rowOff>0</xdr:rowOff>
    </xdr:to>
    <xdr:sp>
      <xdr:nvSpPr>
        <xdr:cNvPr id="21" name="Rectangle 22"/>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xdr:row>
      <xdr:rowOff>171450</xdr:rowOff>
    </xdr:from>
    <xdr:to>
      <xdr:col>11</xdr:col>
      <xdr:colOff>0</xdr:colOff>
      <xdr:row>2</xdr:row>
      <xdr:rowOff>0</xdr:rowOff>
    </xdr:to>
    <xdr:sp>
      <xdr:nvSpPr>
        <xdr:cNvPr id="22" name="Rectangle 23"/>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1</xdr:row>
      <xdr:rowOff>38100</xdr:rowOff>
    </xdr:from>
    <xdr:to>
      <xdr:col>6</xdr:col>
      <xdr:colOff>866775</xdr:colOff>
      <xdr:row>2</xdr:row>
      <xdr:rowOff>180975</xdr:rowOff>
    </xdr:to>
    <xdr:pic>
      <xdr:nvPicPr>
        <xdr:cNvPr id="23" name="Picture 24"/>
        <xdr:cNvPicPr preferRelativeResize="1">
          <a:picLocks noChangeAspect="1"/>
        </xdr:cNvPicPr>
      </xdr:nvPicPr>
      <xdr:blipFill>
        <a:blip r:embed="rId1"/>
        <a:stretch>
          <a:fillRect/>
        </a:stretch>
      </xdr:blipFill>
      <xdr:spPr>
        <a:xfrm>
          <a:off x="6762750" y="219075"/>
          <a:ext cx="676275" cy="314325"/>
        </a:xfrm>
        <a:prstGeom prst="rect">
          <a:avLst/>
        </a:prstGeom>
        <a:noFill/>
        <a:ln w="9525" cmpd="sng">
          <a:noFill/>
        </a:ln>
      </xdr:spPr>
    </xdr:pic>
    <xdr:clientData/>
  </xdr:twoCellAnchor>
  <xdr:twoCellAnchor>
    <xdr:from>
      <xdr:col>11</xdr:col>
      <xdr:colOff>0</xdr:colOff>
      <xdr:row>36</xdr:row>
      <xdr:rowOff>171450</xdr:rowOff>
    </xdr:from>
    <xdr:to>
      <xdr:col>11</xdr:col>
      <xdr:colOff>0</xdr:colOff>
      <xdr:row>37</xdr:row>
      <xdr:rowOff>0</xdr:rowOff>
    </xdr:to>
    <xdr:sp>
      <xdr:nvSpPr>
        <xdr:cNvPr id="24" name="Rectangle 25"/>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171450</xdr:rowOff>
    </xdr:from>
    <xdr:to>
      <xdr:col>11</xdr:col>
      <xdr:colOff>0</xdr:colOff>
      <xdr:row>37</xdr:row>
      <xdr:rowOff>0</xdr:rowOff>
    </xdr:to>
    <xdr:sp>
      <xdr:nvSpPr>
        <xdr:cNvPr id="25" name="Rectangle 26"/>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171450</xdr:rowOff>
    </xdr:from>
    <xdr:to>
      <xdr:col>11</xdr:col>
      <xdr:colOff>0</xdr:colOff>
      <xdr:row>37</xdr:row>
      <xdr:rowOff>0</xdr:rowOff>
    </xdr:to>
    <xdr:sp>
      <xdr:nvSpPr>
        <xdr:cNvPr id="26" name="Rectangle 27"/>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171450</xdr:rowOff>
    </xdr:from>
    <xdr:to>
      <xdr:col>11</xdr:col>
      <xdr:colOff>0</xdr:colOff>
      <xdr:row>37</xdr:row>
      <xdr:rowOff>0</xdr:rowOff>
    </xdr:to>
    <xdr:sp>
      <xdr:nvSpPr>
        <xdr:cNvPr id="27" name="Rectangle 28"/>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171450</xdr:rowOff>
    </xdr:from>
    <xdr:to>
      <xdr:col>11</xdr:col>
      <xdr:colOff>0</xdr:colOff>
      <xdr:row>37</xdr:row>
      <xdr:rowOff>0</xdr:rowOff>
    </xdr:to>
    <xdr:sp>
      <xdr:nvSpPr>
        <xdr:cNvPr id="28" name="Rectangle 29"/>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171450</xdr:rowOff>
    </xdr:from>
    <xdr:to>
      <xdr:col>11</xdr:col>
      <xdr:colOff>0</xdr:colOff>
      <xdr:row>37</xdr:row>
      <xdr:rowOff>0</xdr:rowOff>
    </xdr:to>
    <xdr:sp>
      <xdr:nvSpPr>
        <xdr:cNvPr id="29" name="Rectangle 30"/>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171450</xdr:rowOff>
    </xdr:from>
    <xdr:to>
      <xdr:col>11</xdr:col>
      <xdr:colOff>0</xdr:colOff>
      <xdr:row>37</xdr:row>
      <xdr:rowOff>0</xdr:rowOff>
    </xdr:to>
    <xdr:sp>
      <xdr:nvSpPr>
        <xdr:cNvPr id="30" name="Rectangle 31"/>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171450</xdr:rowOff>
    </xdr:from>
    <xdr:to>
      <xdr:col>11</xdr:col>
      <xdr:colOff>0</xdr:colOff>
      <xdr:row>37</xdr:row>
      <xdr:rowOff>0</xdr:rowOff>
    </xdr:to>
    <xdr:sp>
      <xdr:nvSpPr>
        <xdr:cNvPr id="31" name="Rectangle 32"/>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171450</xdr:rowOff>
    </xdr:from>
    <xdr:to>
      <xdr:col>11</xdr:col>
      <xdr:colOff>0</xdr:colOff>
      <xdr:row>37</xdr:row>
      <xdr:rowOff>0</xdr:rowOff>
    </xdr:to>
    <xdr:sp>
      <xdr:nvSpPr>
        <xdr:cNvPr id="32" name="Rectangle 33"/>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171450</xdr:rowOff>
    </xdr:from>
    <xdr:to>
      <xdr:col>11</xdr:col>
      <xdr:colOff>0</xdr:colOff>
      <xdr:row>37</xdr:row>
      <xdr:rowOff>0</xdr:rowOff>
    </xdr:to>
    <xdr:sp>
      <xdr:nvSpPr>
        <xdr:cNvPr id="33" name="Rectangle 34"/>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171450</xdr:rowOff>
    </xdr:from>
    <xdr:to>
      <xdr:col>11</xdr:col>
      <xdr:colOff>0</xdr:colOff>
      <xdr:row>37</xdr:row>
      <xdr:rowOff>0</xdr:rowOff>
    </xdr:to>
    <xdr:sp>
      <xdr:nvSpPr>
        <xdr:cNvPr id="34" name="Rectangle 35"/>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171450</xdr:rowOff>
    </xdr:from>
    <xdr:to>
      <xdr:col>11</xdr:col>
      <xdr:colOff>0</xdr:colOff>
      <xdr:row>37</xdr:row>
      <xdr:rowOff>0</xdr:rowOff>
    </xdr:to>
    <xdr:sp>
      <xdr:nvSpPr>
        <xdr:cNvPr id="35" name="Rectangle 36"/>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171450</xdr:rowOff>
    </xdr:from>
    <xdr:to>
      <xdr:col>11</xdr:col>
      <xdr:colOff>0</xdr:colOff>
      <xdr:row>37</xdr:row>
      <xdr:rowOff>0</xdr:rowOff>
    </xdr:to>
    <xdr:sp>
      <xdr:nvSpPr>
        <xdr:cNvPr id="36" name="Rectangle 37"/>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171450</xdr:rowOff>
    </xdr:from>
    <xdr:to>
      <xdr:col>11</xdr:col>
      <xdr:colOff>0</xdr:colOff>
      <xdr:row>37</xdr:row>
      <xdr:rowOff>0</xdr:rowOff>
    </xdr:to>
    <xdr:sp>
      <xdr:nvSpPr>
        <xdr:cNvPr id="37" name="Rectangle 38"/>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171450</xdr:rowOff>
    </xdr:from>
    <xdr:to>
      <xdr:col>11</xdr:col>
      <xdr:colOff>0</xdr:colOff>
      <xdr:row>37</xdr:row>
      <xdr:rowOff>0</xdr:rowOff>
    </xdr:to>
    <xdr:sp>
      <xdr:nvSpPr>
        <xdr:cNvPr id="38" name="Rectangle 39"/>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171450</xdr:rowOff>
    </xdr:from>
    <xdr:to>
      <xdr:col>11</xdr:col>
      <xdr:colOff>0</xdr:colOff>
      <xdr:row>37</xdr:row>
      <xdr:rowOff>0</xdr:rowOff>
    </xdr:to>
    <xdr:sp>
      <xdr:nvSpPr>
        <xdr:cNvPr id="39" name="Rectangle 40"/>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171450</xdr:rowOff>
    </xdr:from>
    <xdr:to>
      <xdr:col>11</xdr:col>
      <xdr:colOff>0</xdr:colOff>
      <xdr:row>37</xdr:row>
      <xdr:rowOff>0</xdr:rowOff>
    </xdr:to>
    <xdr:sp>
      <xdr:nvSpPr>
        <xdr:cNvPr id="40" name="Rectangle 41"/>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171450</xdr:rowOff>
    </xdr:from>
    <xdr:to>
      <xdr:col>11</xdr:col>
      <xdr:colOff>0</xdr:colOff>
      <xdr:row>37</xdr:row>
      <xdr:rowOff>0</xdr:rowOff>
    </xdr:to>
    <xdr:sp>
      <xdr:nvSpPr>
        <xdr:cNvPr id="41" name="Rectangle 42"/>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171450</xdr:rowOff>
    </xdr:from>
    <xdr:to>
      <xdr:col>11</xdr:col>
      <xdr:colOff>0</xdr:colOff>
      <xdr:row>37</xdr:row>
      <xdr:rowOff>0</xdr:rowOff>
    </xdr:to>
    <xdr:sp>
      <xdr:nvSpPr>
        <xdr:cNvPr id="42" name="Rectangle 43"/>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171450</xdr:rowOff>
    </xdr:from>
    <xdr:to>
      <xdr:col>11</xdr:col>
      <xdr:colOff>0</xdr:colOff>
      <xdr:row>37</xdr:row>
      <xdr:rowOff>0</xdr:rowOff>
    </xdr:to>
    <xdr:sp>
      <xdr:nvSpPr>
        <xdr:cNvPr id="43" name="Rectangle 44"/>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171450</xdr:rowOff>
    </xdr:from>
    <xdr:to>
      <xdr:col>11</xdr:col>
      <xdr:colOff>0</xdr:colOff>
      <xdr:row>37</xdr:row>
      <xdr:rowOff>0</xdr:rowOff>
    </xdr:to>
    <xdr:sp>
      <xdr:nvSpPr>
        <xdr:cNvPr id="44" name="Rectangle 45"/>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171450</xdr:rowOff>
    </xdr:from>
    <xdr:to>
      <xdr:col>11</xdr:col>
      <xdr:colOff>0</xdr:colOff>
      <xdr:row>37</xdr:row>
      <xdr:rowOff>0</xdr:rowOff>
    </xdr:to>
    <xdr:sp>
      <xdr:nvSpPr>
        <xdr:cNvPr id="45" name="Rectangle 46"/>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35</xdr:row>
      <xdr:rowOff>114300</xdr:rowOff>
    </xdr:from>
    <xdr:to>
      <xdr:col>6</xdr:col>
      <xdr:colOff>828675</xdr:colOff>
      <xdr:row>37</xdr:row>
      <xdr:rowOff>85725</xdr:rowOff>
    </xdr:to>
    <xdr:pic>
      <xdr:nvPicPr>
        <xdr:cNvPr id="46" name="Picture 47"/>
        <xdr:cNvPicPr preferRelativeResize="1">
          <a:picLocks noChangeAspect="1"/>
        </xdr:cNvPicPr>
      </xdr:nvPicPr>
      <xdr:blipFill>
        <a:blip r:embed="rId1"/>
        <a:stretch>
          <a:fillRect/>
        </a:stretch>
      </xdr:blipFill>
      <xdr:spPr>
        <a:xfrm>
          <a:off x="6724650" y="6810375"/>
          <a:ext cx="676275"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xdr:row>
      <xdr:rowOff>171450</xdr:rowOff>
    </xdr:from>
    <xdr:to>
      <xdr:col>8</xdr:col>
      <xdr:colOff>0</xdr:colOff>
      <xdr:row>2</xdr:row>
      <xdr:rowOff>0</xdr:rowOff>
    </xdr:to>
    <xdr:sp>
      <xdr:nvSpPr>
        <xdr:cNvPr id="1" name="Rectangle 4"/>
        <xdr:cNvSpPr>
          <a:spLocks/>
        </xdr:cNvSpPr>
      </xdr:nvSpPr>
      <xdr:spPr>
        <a:xfrm>
          <a:off x="56959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171450</xdr:rowOff>
    </xdr:from>
    <xdr:to>
      <xdr:col>8</xdr:col>
      <xdr:colOff>0</xdr:colOff>
      <xdr:row>2</xdr:row>
      <xdr:rowOff>0</xdr:rowOff>
    </xdr:to>
    <xdr:sp>
      <xdr:nvSpPr>
        <xdr:cNvPr id="2" name="Rectangle 5"/>
        <xdr:cNvSpPr>
          <a:spLocks/>
        </xdr:cNvSpPr>
      </xdr:nvSpPr>
      <xdr:spPr>
        <a:xfrm>
          <a:off x="56959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171450</xdr:rowOff>
    </xdr:from>
    <xdr:to>
      <xdr:col>8</xdr:col>
      <xdr:colOff>0</xdr:colOff>
      <xdr:row>2</xdr:row>
      <xdr:rowOff>0</xdr:rowOff>
    </xdr:to>
    <xdr:sp>
      <xdr:nvSpPr>
        <xdr:cNvPr id="3" name="Rectangle 6"/>
        <xdr:cNvSpPr>
          <a:spLocks/>
        </xdr:cNvSpPr>
      </xdr:nvSpPr>
      <xdr:spPr>
        <a:xfrm>
          <a:off x="56959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171450</xdr:rowOff>
    </xdr:from>
    <xdr:to>
      <xdr:col>8</xdr:col>
      <xdr:colOff>0</xdr:colOff>
      <xdr:row>2</xdr:row>
      <xdr:rowOff>0</xdr:rowOff>
    </xdr:to>
    <xdr:sp>
      <xdr:nvSpPr>
        <xdr:cNvPr id="4" name="Rectangle 7"/>
        <xdr:cNvSpPr>
          <a:spLocks/>
        </xdr:cNvSpPr>
      </xdr:nvSpPr>
      <xdr:spPr>
        <a:xfrm>
          <a:off x="56959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171450</xdr:rowOff>
    </xdr:from>
    <xdr:to>
      <xdr:col>8</xdr:col>
      <xdr:colOff>0</xdr:colOff>
      <xdr:row>2</xdr:row>
      <xdr:rowOff>0</xdr:rowOff>
    </xdr:to>
    <xdr:sp>
      <xdr:nvSpPr>
        <xdr:cNvPr id="5" name="Rectangle 8"/>
        <xdr:cNvSpPr>
          <a:spLocks/>
        </xdr:cNvSpPr>
      </xdr:nvSpPr>
      <xdr:spPr>
        <a:xfrm>
          <a:off x="56959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171450</xdr:rowOff>
    </xdr:from>
    <xdr:to>
      <xdr:col>8</xdr:col>
      <xdr:colOff>0</xdr:colOff>
      <xdr:row>2</xdr:row>
      <xdr:rowOff>0</xdr:rowOff>
    </xdr:to>
    <xdr:sp>
      <xdr:nvSpPr>
        <xdr:cNvPr id="6" name="Rectangle 9"/>
        <xdr:cNvSpPr>
          <a:spLocks/>
        </xdr:cNvSpPr>
      </xdr:nvSpPr>
      <xdr:spPr>
        <a:xfrm>
          <a:off x="56959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171450</xdr:rowOff>
    </xdr:from>
    <xdr:to>
      <xdr:col>8</xdr:col>
      <xdr:colOff>0</xdr:colOff>
      <xdr:row>2</xdr:row>
      <xdr:rowOff>0</xdr:rowOff>
    </xdr:to>
    <xdr:sp>
      <xdr:nvSpPr>
        <xdr:cNvPr id="7" name="Rectangle 10"/>
        <xdr:cNvSpPr>
          <a:spLocks/>
        </xdr:cNvSpPr>
      </xdr:nvSpPr>
      <xdr:spPr>
        <a:xfrm>
          <a:off x="56959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171450</xdr:rowOff>
    </xdr:from>
    <xdr:to>
      <xdr:col>8</xdr:col>
      <xdr:colOff>0</xdr:colOff>
      <xdr:row>2</xdr:row>
      <xdr:rowOff>0</xdr:rowOff>
    </xdr:to>
    <xdr:sp>
      <xdr:nvSpPr>
        <xdr:cNvPr id="8" name="Rectangle 11"/>
        <xdr:cNvSpPr>
          <a:spLocks/>
        </xdr:cNvSpPr>
      </xdr:nvSpPr>
      <xdr:spPr>
        <a:xfrm>
          <a:off x="56959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171450</xdr:rowOff>
    </xdr:from>
    <xdr:to>
      <xdr:col>8</xdr:col>
      <xdr:colOff>409575</xdr:colOff>
      <xdr:row>2</xdr:row>
      <xdr:rowOff>0</xdr:rowOff>
    </xdr:to>
    <xdr:sp>
      <xdr:nvSpPr>
        <xdr:cNvPr id="9" name="Rectangle 12"/>
        <xdr:cNvSpPr>
          <a:spLocks/>
        </xdr:cNvSpPr>
      </xdr:nvSpPr>
      <xdr:spPr>
        <a:xfrm>
          <a:off x="5695950" y="35242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171450</xdr:rowOff>
    </xdr:from>
    <xdr:to>
      <xdr:col>8</xdr:col>
      <xdr:colOff>409575</xdr:colOff>
      <xdr:row>2</xdr:row>
      <xdr:rowOff>0</xdr:rowOff>
    </xdr:to>
    <xdr:sp>
      <xdr:nvSpPr>
        <xdr:cNvPr id="10" name="Rectangle 13"/>
        <xdr:cNvSpPr>
          <a:spLocks/>
        </xdr:cNvSpPr>
      </xdr:nvSpPr>
      <xdr:spPr>
        <a:xfrm>
          <a:off x="5695950" y="35242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171450</xdr:rowOff>
    </xdr:from>
    <xdr:to>
      <xdr:col>8</xdr:col>
      <xdr:colOff>409575</xdr:colOff>
      <xdr:row>2</xdr:row>
      <xdr:rowOff>0</xdr:rowOff>
    </xdr:to>
    <xdr:sp>
      <xdr:nvSpPr>
        <xdr:cNvPr id="11" name="Rectangle 14"/>
        <xdr:cNvSpPr>
          <a:spLocks/>
        </xdr:cNvSpPr>
      </xdr:nvSpPr>
      <xdr:spPr>
        <a:xfrm>
          <a:off x="5695950" y="35242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171450</xdr:rowOff>
    </xdr:from>
    <xdr:to>
      <xdr:col>8</xdr:col>
      <xdr:colOff>409575</xdr:colOff>
      <xdr:row>2</xdr:row>
      <xdr:rowOff>0</xdr:rowOff>
    </xdr:to>
    <xdr:sp>
      <xdr:nvSpPr>
        <xdr:cNvPr id="12" name="Rectangle 15"/>
        <xdr:cNvSpPr>
          <a:spLocks/>
        </xdr:cNvSpPr>
      </xdr:nvSpPr>
      <xdr:spPr>
        <a:xfrm>
          <a:off x="5695950" y="35242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171450</xdr:rowOff>
    </xdr:from>
    <xdr:to>
      <xdr:col>8</xdr:col>
      <xdr:colOff>409575</xdr:colOff>
      <xdr:row>2</xdr:row>
      <xdr:rowOff>0</xdr:rowOff>
    </xdr:to>
    <xdr:sp>
      <xdr:nvSpPr>
        <xdr:cNvPr id="13" name="Rectangle 16"/>
        <xdr:cNvSpPr>
          <a:spLocks/>
        </xdr:cNvSpPr>
      </xdr:nvSpPr>
      <xdr:spPr>
        <a:xfrm>
          <a:off x="5695950" y="35242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171450</xdr:rowOff>
    </xdr:from>
    <xdr:to>
      <xdr:col>8</xdr:col>
      <xdr:colOff>409575</xdr:colOff>
      <xdr:row>2</xdr:row>
      <xdr:rowOff>0</xdr:rowOff>
    </xdr:to>
    <xdr:sp>
      <xdr:nvSpPr>
        <xdr:cNvPr id="14" name="Rectangle 17"/>
        <xdr:cNvSpPr>
          <a:spLocks/>
        </xdr:cNvSpPr>
      </xdr:nvSpPr>
      <xdr:spPr>
        <a:xfrm>
          <a:off x="5695950" y="35242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171450</xdr:rowOff>
    </xdr:from>
    <xdr:to>
      <xdr:col>8</xdr:col>
      <xdr:colOff>409575</xdr:colOff>
      <xdr:row>2</xdr:row>
      <xdr:rowOff>0</xdr:rowOff>
    </xdr:to>
    <xdr:sp>
      <xdr:nvSpPr>
        <xdr:cNvPr id="15" name="Rectangle 18"/>
        <xdr:cNvSpPr>
          <a:spLocks/>
        </xdr:cNvSpPr>
      </xdr:nvSpPr>
      <xdr:spPr>
        <a:xfrm>
          <a:off x="5695950" y="35242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171450</xdr:rowOff>
    </xdr:from>
    <xdr:to>
      <xdr:col>8</xdr:col>
      <xdr:colOff>409575</xdr:colOff>
      <xdr:row>2</xdr:row>
      <xdr:rowOff>0</xdr:rowOff>
    </xdr:to>
    <xdr:sp>
      <xdr:nvSpPr>
        <xdr:cNvPr id="16" name="Rectangle 19"/>
        <xdr:cNvSpPr>
          <a:spLocks/>
        </xdr:cNvSpPr>
      </xdr:nvSpPr>
      <xdr:spPr>
        <a:xfrm>
          <a:off x="5695950" y="35242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171450</xdr:rowOff>
    </xdr:from>
    <xdr:to>
      <xdr:col>8</xdr:col>
      <xdr:colOff>409575</xdr:colOff>
      <xdr:row>2</xdr:row>
      <xdr:rowOff>0</xdr:rowOff>
    </xdr:to>
    <xdr:sp>
      <xdr:nvSpPr>
        <xdr:cNvPr id="17" name="Rectangle 20"/>
        <xdr:cNvSpPr>
          <a:spLocks/>
        </xdr:cNvSpPr>
      </xdr:nvSpPr>
      <xdr:spPr>
        <a:xfrm>
          <a:off x="5695950" y="35242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171450</xdr:rowOff>
    </xdr:from>
    <xdr:to>
      <xdr:col>8</xdr:col>
      <xdr:colOff>409575</xdr:colOff>
      <xdr:row>2</xdr:row>
      <xdr:rowOff>0</xdr:rowOff>
    </xdr:to>
    <xdr:sp>
      <xdr:nvSpPr>
        <xdr:cNvPr id="18" name="Rectangle 21"/>
        <xdr:cNvSpPr>
          <a:spLocks/>
        </xdr:cNvSpPr>
      </xdr:nvSpPr>
      <xdr:spPr>
        <a:xfrm>
          <a:off x="5695950" y="35242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171450</xdr:rowOff>
    </xdr:from>
    <xdr:to>
      <xdr:col>8</xdr:col>
      <xdr:colOff>409575</xdr:colOff>
      <xdr:row>2</xdr:row>
      <xdr:rowOff>0</xdr:rowOff>
    </xdr:to>
    <xdr:sp>
      <xdr:nvSpPr>
        <xdr:cNvPr id="19" name="Rectangle 22"/>
        <xdr:cNvSpPr>
          <a:spLocks/>
        </xdr:cNvSpPr>
      </xdr:nvSpPr>
      <xdr:spPr>
        <a:xfrm>
          <a:off x="5695950" y="35242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171450</xdr:rowOff>
    </xdr:from>
    <xdr:to>
      <xdr:col>8</xdr:col>
      <xdr:colOff>409575</xdr:colOff>
      <xdr:row>2</xdr:row>
      <xdr:rowOff>0</xdr:rowOff>
    </xdr:to>
    <xdr:sp>
      <xdr:nvSpPr>
        <xdr:cNvPr id="20" name="Rectangle 23"/>
        <xdr:cNvSpPr>
          <a:spLocks/>
        </xdr:cNvSpPr>
      </xdr:nvSpPr>
      <xdr:spPr>
        <a:xfrm>
          <a:off x="5695950" y="35242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171450</xdr:rowOff>
    </xdr:from>
    <xdr:to>
      <xdr:col>8</xdr:col>
      <xdr:colOff>409575</xdr:colOff>
      <xdr:row>2</xdr:row>
      <xdr:rowOff>0</xdr:rowOff>
    </xdr:to>
    <xdr:sp>
      <xdr:nvSpPr>
        <xdr:cNvPr id="21" name="Rectangle 24"/>
        <xdr:cNvSpPr>
          <a:spLocks/>
        </xdr:cNvSpPr>
      </xdr:nvSpPr>
      <xdr:spPr>
        <a:xfrm>
          <a:off x="5695950" y="35242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171450</xdr:rowOff>
    </xdr:from>
    <xdr:to>
      <xdr:col>8</xdr:col>
      <xdr:colOff>409575</xdr:colOff>
      <xdr:row>2</xdr:row>
      <xdr:rowOff>0</xdr:rowOff>
    </xdr:to>
    <xdr:sp>
      <xdr:nvSpPr>
        <xdr:cNvPr id="22" name="Rectangle 25"/>
        <xdr:cNvSpPr>
          <a:spLocks/>
        </xdr:cNvSpPr>
      </xdr:nvSpPr>
      <xdr:spPr>
        <a:xfrm>
          <a:off x="5695950" y="35242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28575</xdr:colOff>
      <xdr:row>0</xdr:row>
      <xdr:rowOff>152400</xdr:rowOff>
    </xdr:from>
    <xdr:to>
      <xdr:col>12</xdr:col>
      <xdr:colOff>704850</xdr:colOff>
      <xdr:row>2</xdr:row>
      <xdr:rowOff>123825</xdr:rowOff>
    </xdr:to>
    <xdr:pic>
      <xdr:nvPicPr>
        <xdr:cNvPr id="23" name="Picture 26"/>
        <xdr:cNvPicPr preferRelativeResize="1">
          <a:picLocks noChangeAspect="1"/>
        </xdr:cNvPicPr>
      </xdr:nvPicPr>
      <xdr:blipFill>
        <a:blip r:embed="rId1"/>
        <a:stretch>
          <a:fillRect/>
        </a:stretch>
      </xdr:blipFill>
      <xdr:spPr>
        <a:xfrm>
          <a:off x="8410575" y="152400"/>
          <a:ext cx="676275" cy="323850"/>
        </a:xfrm>
        <a:prstGeom prst="rect">
          <a:avLst/>
        </a:prstGeom>
        <a:noFill/>
        <a:ln w="9525" cmpd="sng">
          <a:noFill/>
        </a:ln>
      </xdr:spPr>
    </xdr:pic>
    <xdr:clientData/>
  </xdr:twoCellAnchor>
  <xdr:twoCellAnchor>
    <xdr:from>
      <xdr:col>8</xdr:col>
      <xdr:colOff>0</xdr:colOff>
      <xdr:row>46</xdr:row>
      <xdr:rowOff>171450</xdr:rowOff>
    </xdr:from>
    <xdr:to>
      <xdr:col>8</xdr:col>
      <xdr:colOff>0</xdr:colOff>
      <xdr:row>47</xdr:row>
      <xdr:rowOff>0</xdr:rowOff>
    </xdr:to>
    <xdr:sp>
      <xdr:nvSpPr>
        <xdr:cNvPr id="24" name="Rectangle 27"/>
        <xdr:cNvSpPr>
          <a:spLocks/>
        </xdr:cNvSpPr>
      </xdr:nvSpPr>
      <xdr:spPr>
        <a:xfrm>
          <a:off x="5695950" y="89344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171450</xdr:rowOff>
    </xdr:from>
    <xdr:to>
      <xdr:col>8</xdr:col>
      <xdr:colOff>0</xdr:colOff>
      <xdr:row>47</xdr:row>
      <xdr:rowOff>0</xdr:rowOff>
    </xdr:to>
    <xdr:sp>
      <xdr:nvSpPr>
        <xdr:cNvPr id="25" name="Rectangle 28"/>
        <xdr:cNvSpPr>
          <a:spLocks/>
        </xdr:cNvSpPr>
      </xdr:nvSpPr>
      <xdr:spPr>
        <a:xfrm>
          <a:off x="5695950" y="89344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171450</xdr:rowOff>
    </xdr:from>
    <xdr:to>
      <xdr:col>8</xdr:col>
      <xdr:colOff>0</xdr:colOff>
      <xdr:row>47</xdr:row>
      <xdr:rowOff>0</xdr:rowOff>
    </xdr:to>
    <xdr:sp>
      <xdr:nvSpPr>
        <xdr:cNvPr id="26" name="Rectangle 29"/>
        <xdr:cNvSpPr>
          <a:spLocks/>
        </xdr:cNvSpPr>
      </xdr:nvSpPr>
      <xdr:spPr>
        <a:xfrm>
          <a:off x="5695950" y="89344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171450</xdr:rowOff>
    </xdr:from>
    <xdr:to>
      <xdr:col>8</xdr:col>
      <xdr:colOff>0</xdr:colOff>
      <xdr:row>47</xdr:row>
      <xdr:rowOff>0</xdr:rowOff>
    </xdr:to>
    <xdr:sp>
      <xdr:nvSpPr>
        <xdr:cNvPr id="27" name="Rectangle 30"/>
        <xdr:cNvSpPr>
          <a:spLocks/>
        </xdr:cNvSpPr>
      </xdr:nvSpPr>
      <xdr:spPr>
        <a:xfrm>
          <a:off x="5695950" y="89344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171450</xdr:rowOff>
    </xdr:from>
    <xdr:to>
      <xdr:col>8</xdr:col>
      <xdr:colOff>0</xdr:colOff>
      <xdr:row>47</xdr:row>
      <xdr:rowOff>0</xdr:rowOff>
    </xdr:to>
    <xdr:sp>
      <xdr:nvSpPr>
        <xdr:cNvPr id="28" name="Rectangle 31"/>
        <xdr:cNvSpPr>
          <a:spLocks/>
        </xdr:cNvSpPr>
      </xdr:nvSpPr>
      <xdr:spPr>
        <a:xfrm>
          <a:off x="5695950" y="89344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171450</xdr:rowOff>
    </xdr:from>
    <xdr:to>
      <xdr:col>8</xdr:col>
      <xdr:colOff>0</xdr:colOff>
      <xdr:row>47</xdr:row>
      <xdr:rowOff>0</xdr:rowOff>
    </xdr:to>
    <xdr:sp>
      <xdr:nvSpPr>
        <xdr:cNvPr id="29" name="Rectangle 32"/>
        <xdr:cNvSpPr>
          <a:spLocks/>
        </xdr:cNvSpPr>
      </xdr:nvSpPr>
      <xdr:spPr>
        <a:xfrm>
          <a:off x="5695950" y="89344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171450</xdr:rowOff>
    </xdr:from>
    <xdr:to>
      <xdr:col>8</xdr:col>
      <xdr:colOff>0</xdr:colOff>
      <xdr:row>47</xdr:row>
      <xdr:rowOff>0</xdr:rowOff>
    </xdr:to>
    <xdr:sp>
      <xdr:nvSpPr>
        <xdr:cNvPr id="30" name="Rectangle 33"/>
        <xdr:cNvSpPr>
          <a:spLocks/>
        </xdr:cNvSpPr>
      </xdr:nvSpPr>
      <xdr:spPr>
        <a:xfrm>
          <a:off x="5695950" y="89344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171450</xdr:rowOff>
    </xdr:from>
    <xdr:to>
      <xdr:col>8</xdr:col>
      <xdr:colOff>0</xdr:colOff>
      <xdr:row>47</xdr:row>
      <xdr:rowOff>0</xdr:rowOff>
    </xdr:to>
    <xdr:sp>
      <xdr:nvSpPr>
        <xdr:cNvPr id="31" name="Rectangle 34"/>
        <xdr:cNvSpPr>
          <a:spLocks/>
        </xdr:cNvSpPr>
      </xdr:nvSpPr>
      <xdr:spPr>
        <a:xfrm>
          <a:off x="5695950" y="89344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171450</xdr:rowOff>
    </xdr:from>
    <xdr:to>
      <xdr:col>8</xdr:col>
      <xdr:colOff>409575</xdr:colOff>
      <xdr:row>47</xdr:row>
      <xdr:rowOff>0</xdr:rowOff>
    </xdr:to>
    <xdr:sp>
      <xdr:nvSpPr>
        <xdr:cNvPr id="32" name="Rectangle 35"/>
        <xdr:cNvSpPr>
          <a:spLocks/>
        </xdr:cNvSpPr>
      </xdr:nvSpPr>
      <xdr:spPr>
        <a:xfrm>
          <a:off x="5695950" y="893445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171450</xdr:rowOff>
    </xdr:from>
    <xdr:to>
      <xdr:col>8</xdr:col>
      <xdr:colOff>409575</xdr:colOff>
      <xdr:row>47</xdr:row>
      <xdr:rowOff>0</xdr:rowOff>
    </xdr:to>
    <xdr:sp>
      <xdr:nvSpPr>
        <xdr:cNvPr id="33" name="Rectangle 36"/>
        <xdr:cNvSpPr>
          <a:spLocks/>
        </xdr:cNvSpPr>
      </xdr:nvSpPr>
      <xdr:spPr>
        <a:xfrm>
          <a:off x="5695950" y="893445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171450</xdr:rowOff>
    </xdr:from>
    <xdr:to>
      <xdr:col>8</xdr:col>
      <xdr:colOff>409575</xdr:colOff>
      <xdr:row>47</xdr:row>
      <xdr:rowOff>0</xdr:rowOff>
    </xdr:to>
    <xdr:sp>
      <xdr:nvSpPr>
        <xdr:cNvPr id="34" name="Rectangle 37"/>
        <xdr:cNvSpPr>
          <a:spLocks/>
        </xdr:cNvSpPr>
      </xdr:nvSpPr>
      <xdr:spPr>
        <a:xfrm>
          <a:off x="5695950" y="893445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171450</xdr:rowOff>
    </xdr:from>
    <xdr:to>
      <xdr:col>8</xdr:col>
      <xdr:colOff>409575</xdr:colOff>
      <xdr:row>47</xdr:row>
      <xdr:rowOff>0</xdr:rowOff>
    </xdr:to>
    <xdr:sp>
      <xdr:nvSpPr>
        <xdr:cNvPr id="35" name="Rectangle 38"/>
        <xdr:cNvSpPr>
          <a:spLocks/>
        </xdr:cNvSpPr>
      </xdr:nvSpPr>
      <xdr:spPr>
        <a:xfrm>
          <a:off x="5695950" y="893445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171450</xdr:rowOff>
    </xdr:from>
    <xdr:to>
      <xdr:col>8</xdr:col>
      <xdr:colOff>409575</xdr:colOff>
      <xdr:row>47</xdr:row>
      <xdr:rowOff>0</xdr:rowOff>
    </xdr:to>
    <xdr:sp>
      <xdr:nvSpPr>
        <xdr:cNvPr id="36" name="Rectangle 39"/>
        <xdr:cNvSpPr>
          <a:spLocks/>
        </xdr:cNvSpPr>
      </xdr:nvSpPr>
      <xdr:spPr>
        <a:xfrm>
          <a:off x="5695950" y="893445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171450</xdr:rowOff>
    </xdr:from>
    <xdr:to>
      <xdr:col>8</xdr:col>
      <xdr:colOff>409575</xdr:colOff>
      <xdr:row>47</xdr:row>
      <xdr:rowOff>0</xdr:rowOff>
    </xdr:to>
    <xdr:sp>
      <xdr:nvSpPr>
        <xdr:cNvPr id="37" name="Rectangle 40"/>
        <xdr:cNvSpPr>
          <a:spLocks/>
        </xdr:cNvSpPr>
      </xdr:nvSpPr>
      <xdr:spPr>
        <a:xfrm>
          <a:off x="5695950" y="893445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171450</xdr:rowOff>
    </xdr:from>
    <xdr:to>
      <xdr:col>8</xdr:col>
      <xdr:colOff>409575</xdr:colOff>
      <xdr:row>47</xdr:row>
      <xdr:rowOff>0</xdr:rowOff>
    </xdr:to>
    <xdr:sp>
      <xdr:nvSpPr>
        <xdr:cNvPr id="38" name="Rectangle 41"/>
        <xdr:cNvSpPr>
          <a:spLocks/>
        </xdr:cNvSpPr>
      </xdr:nvSpPr>
      <xdr:spPr>
        <a:xfrm>
          <a:off x="5695950" y="893445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171450</xdr:rowOff>
    </xdr:from>
    <xdr:to>
      <xdr:col>8</xdr:col>
      <xdr:colOff>409575</xdr:colOff>
      <xdr:row>47</xdr:row>
      <xdr:rowOff>0</xdr:rowOff>
    </xdr:to>
    <xdr:sp>
      <xdr:nvSpPr>
        <xdr:cNvPr id="39" name="Rectangle 42"/>
        <xdr:cNvSpPr>
          <a:spLocks/>
        </xdr:cNvSpPr>
      </xdr:nvSpPr>
      <xdr:spPr>
        <a:xfrm>
          <a:off x="5695950" y="893445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171450</xdr:rowOff>
    </xdr:from>
    <xdr:to>
      <xdr:col>8</xdr:col>
      <xdr:colOff>409575</xdr:colOff>
      <xdr:row>47</xdr:row>
      <xdr:rowOff>0</xdr:rowOff>
    </xdr:to>
    <xdr:sp>
      <xdr:nvSpPr>
        <xdr:cNvPr id="40" name="Rectangle 43"/>
        <xdr:cNvSpPr>
          <a:spLocks/>
        </xdr:cNvSpPr>
      </xdr:nvSpPr>
      <xdr:spPr>
        <a:xfrm>
          <a:off x="5695950" y="893445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171450</xdr:rowOff>
    </xdr:from>
    <xdr:to>
      <xdr:col>8</xdr:col>
      <xdr:colOff>409575</xdr:colOff>
      <xdr:row>47</xdr:row>
      <xdr:rowOff>0</xdr:rowOff>
    </xdr:to>
    <xdr:sp>
      <xdr:nvSpPr>
        <xdr:cNvPr id="41" name="Rectangle 44"/>
        <xdr:cNvSpPr>
          <a:spLocks/>
        </xdr:cNvSpPr>
      </xdr:nvSpPr>
      <xdr:spPr>
        <a:xfrm>
          <a:off x="5695950" y="893445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171450</xdr:rowOff>
    </xdr:from>
    <xdr:to>
      <xdr:col>8</xdr:col>
      <xdr:colOff>409575</xdr:colOff>
      <xdr:row>47</xdr:row>
      <xdr:rowOff>0</xdr:rowOff>
    </xdr:to>
    <xdr:sp>
      <xdr:nvSpPr>
        <xdr:cNvPr id="42" name="Rectangle 45"/>
        <xdr:cNvSpPr>
          <a:spLocks/>
        </xdr:cNvSpPr>
      </xdr:nvSpPr>
      <xdr:spPr>
        <a:xfrm>
          <a:off x="5695950" y="893445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171450</xdr:rowOff>
    </xdr:from>
    <xdr:to>
      <xdr:col>8</xdr:col>
      <xdr:colOff>409575</xdr:colOff>
      <xdr:row>47</xdr:row>
      <xdr:rowOff>0</xdr:rowOff>
    </xdr:to>
    <xdr:sp>
      <xdr:nvSpPr>
        <xdr:cNvPr id="43" name="Rectangle 46"/>
        <xdr:cNvSpPr>
          <a:spLocks/>
        </xdr:cNvSpPr>
      </xdr:nvSpPr>
      <xdr:spPr>
        <a:xfrm>
          <a:off x="5695950" y="893445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171450</xdr:rowOff>
    </xdr:from>
    <xdr:to>
      <xdr:col>8</xdr:col>
      <xdr:colOff>409575</xdr:colOff>
      <xdr:row>47</xdr:row>
      <xdr:rowOff>0</xdr:rowOff>
    </xdr:to>
    <xdr:sp>
      <xdr:nvSpPr>
        <xdr:cNvPr id="44" name="Rectangle 47"/>
        <xdr:cNvSpPr>
          <a:spLocks/>
        </xdr:cNvSpPr>
      </xdr:nvSpPr>
      <xdr:spPr>
        <a:xfrm>
          <a:off x="5695950" y="893445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171450</xdr:rowOff>
    </xdr:from>
    <xdr:to>
      <xdr:col>8</xdr:col>
      <xdr:colOff>409575</xdr:colOff>
      <xdr:row>47</xdr:row>
      <xdr:rowOff>0</xdr:rowOff>
    </xdr:to>
    <xdr:sp>
      <xdr:nvSpPr>
        <xdr:cNvPr id="45" name="Rectangle 48"/>
        <xdr:cNvSpPr>
          <a:spLocks/>
        </xdr:cNvSpPr>
      </xdr:nvSpPr>
      <xdr:spPr>
        <a:xfrm>
          <a:off x="5695950" y="893445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28575</xdr:colOff>
      <xdr:row>45</xdr:row>
      <xdr:rowOff>152400</xdr:rowOff>
    </xdr:from>
    <xdr:to>
      <xdr:col>12</xdr:col>
      <xdr:colOff>704850</xdr:colOff>
      <xdr:row>47</xdr:row>
      <xdr:rowOff>123825</xdr:rowOff>
    </xdr:to>
    <xdr:pic>
      <xdr:nvPicPr>
        <xdr:cNvPr id="46" name="Picture 49"/>
        <xdr:cNvPicPr preferRelativeResize="1">
          <a:picLocks noChangeAspect="1"/>
        </xdr:cNvPicPr>
      </xdr:nvPicPr>
      <xdr:blipFill>
        <a:blip r:embed="rId1"/>
        <a:stretch>
          <a:fillRect/>
        </a:stretch>
      </xdr:blipFill>
      <xdr:spPr>
        <a:xfrm>
          <a:off x="8410575" y="8734425"/>
          <a:ext cx="676275"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182</xdr:row>
      <xdr:rowOff>28575</xdr:rowOff>
    </xdr:from>
    <xdr:to>
      <xdr:col>13</xdr:col>
      <xdr:colOff>0</xdr:colOff>
      <xdr:row>184</xdr:row>
      <xdr:rowOff>161925</xdr:rowOff>
    </xdr:to>
    <xdr:pic>
      <xdr:nvPicPr>
        <xdr:cNvPr id="1" name="Picture 1"/>
        <xdr:cNvPicPr preferRelativeResize="1">
          <a:picLocks noChangeAspect="1"/>
        </xdr:cNvPicPr>
      </xdr:nvPicPr>
      <xdr:blipFill>
        <a:blip r:embed="rId1"/>
        <a:stretch>
          <a:fillRect/>
        </a:stretch>
      </xdr:blipFill>
      <xdr:spPr>
        <a:xfrm>
          <a:off x="10458450" y="30460950"/>
          <a:ext cx="0" cy="495300"/>
        </a:xfrm>
        <a:prstGeom prst="rect">
          <a:avLst/>
        </a:prstGeom>
        <a:noFill/>
        <a:ln w="9525" cmpd="sng">
          <a:noFill/>
        </a:ln>
      </xdr:spPr>
    </xdr:pic>
    <xdr:clientData/>
  </xdr:twoCellAnchor>
  <xdr:twoCellAnchor>
    <xdr:from>
      <xdr:col>9</xdr:col>
      <xdr:colOff>0</xdr:colOff>
      <xdr:row>3</xdr:row>
      <xdr:rowOff>171450</xdr:rowOff>
    </xdr:from>
    <xdr:to>
      <xdr:col>9</xdr:col>
      <xdr:colOff>0</xdr:colOff>
      <xdr:row>4</xdr:row>
      <xdr:rowOff>0</xdr:rowOff>
    </xdr:to>
    <xdr:sp>
      <xdr:nvSpPr>
        <xdr:cNvPr id="2" name="Rectangle 23"/>
        <xdr:cNvSpPr>
          <a:spLocks/>
        </xdr:cNvSpPr>
      </xdr:nvSpPr>
      <xdr:spPr>
        <a:xfrm>
          <a:off x="8239125" y="352425"/>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171450</xdr:rowOff>
    </xdr:from>
    <xdr:to>
      <xdr:col>9</xdr:col>
      <xdr:colOff>0</xdr:colOff>
      <xdr:row>4</xdr:row>
      <xdr:rowOff>0</xdr:rowOff>
    </xdr:to>
    <xdr:sp>
      <xdr:nvSpPr>
        <xdr:cNvPr id="3" name="Rectangle 24"/>
        <xdr:cNvSpPr>
          <a:spLocks/>
        </xdr:cNvSpPr>
      </xdr:nvSpPr>
      <xdr:spPr>
        <a:xfrm>
          <a:off x="8239125" y="352425"/>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171450</xdr:rowOff>
    </xdr:from>
    <xdr:to>
      <xdr:col>9</xdr:col>
      <xdr:colOff>0</xdr:colOff>
      <xdr:row>4</xdr:row>
      <xdr:rowOff>0</xdr:rowOff>
    </xdr:to>
    <xdr:sp>
      <xdr:nvSpPr>
        <xdr:cNvPr id="4" name="Rectangle 25"/>
        <xdr:cNvSpPr>
          <a:spLocks/>
        </xdr:cNvSpPr>
      </xdr:nvSpPr>
      <xdr:spPr>
        <a:xfrm>
          <a:off x="8239125" y="352425"/>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171450</xdr:rowOff>
    </xdr:from>
    <xdr:to>
      <xdr:col>9</xdr:col>
      <xdr:colOff>0</xdr:colOff>
      <xdr:row>4</xdr:row>
      <xdr:rowOff>0</xdr:rowOff>
    </xdr:to>
    <xdr:sp>
      <xdr:nvSpPr>
        <xdr:cNvPr id="5" name="Rectangle 26"/>
        <xdr:cNvSpPr>
          <a:spLocks/>
        </xdr:cNvSpPr>
      </xdr:nvSpPr>
      <xdr:spPr>
        <a:xfrm>
          <a:off x="8239125" y="352425"/>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171450</xdr:rowOff>
    </xdr:from>
    <xdr:to>
      <xdr:col>9</xdr:col>
      <xdr:colOff>0</xdr:colOff>
      <xdr:row>4</xdr:row>
      <xdr:rowOff>0</xdr:rowOff>
    </xdr:to>
    <xdr:sp>
      <xdr:nvSpPr>
        <xdr:cNvPr id="6" name="Rectangle 27"/>
        <xdr:cNvSpPr>
          <a:spLocks/>
        </xdr:cNvSpPr>
      </xdr:nvSpPr>
      <xdr:spPr>
        <a:xfrm>
          <a:off x="8239125" y="352425"/>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171450</xdr:rowOff>
    </xdr:from>
    <xdr:to>
      <xdr:col>9</xdr:col>
      <xdr:colOff>0</xdr:colOff>
      <xdr:row>4</xdr:row>
      <xdr:rowOff>0</xdr:rowOff>
    </xdr:to>
    <xdr:sp>
      <xdr:nvSpPr>
        <xdr:cNvPr id="7" name="Rectangle 28"/>
        <xdr:cNvSpPr>
          <a:spLocks/>
        </xdr:cNvSpPr>
      </xdr:nvSpPr>
      <xdr:spPr>
        <a:xfrm>
          <a:off x="8239125" y="352425"/>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171450</xdr:rowOff>
    </xdr:from>
    <xdr:to>
      <xdr:col>9</xdr:col>
      <xdr:colOff>0</xdr:colOff>
      <xdr:row>4</xdr:row>
      <xdr:rowOff>0</xdr:rowOff>
    </xdr:to>
    <xdr:sp>
      <xdr:nvSpPr>
        <xdr:cNvPr id="8" name="Rectangle 29"/>
        <xdr:cNvSpPr>
          <a:spLocks/>
        </xdr:cNvSpPr>
      </xdr:nvSpPr>
      <xdr:spPr>
        <a:xfrm>
          <a:off x="8239125" y="352425"/>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171450</xdr:rowOff>
    </xdr:from>
    <xdr:to>
      <xdr:col>9</xdr:col>
      <xdr:colOff>0</xdr:colOff>
      <xdr:row>4</xdr:row>
      <xdr:rowOff>0</xdr:rowOff>
    </xdr:to>
    <xdr:sp>
      <xdr:nvSpPr>
        <xdr:cNvPr id="9" name="Rectangle 30"/>
        <xdr:cNvSpPr>
          <a:spLocks/>
        </xdr:cNvSpPr>
      </xdr:nvSpPr>
      <xdr:spPr>
        <a:xfrm>
          <a:off x="8239125" y="352425"/>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171450</xdr:rowOff>
    </xdr:from>
    <xdr:to>
      <xdr:col>6</xdr:col>
      <xdr:colOff>409575</xdr:colOff>
      <xdr:row>4</xdr:row>
      <xdr:rowOff>0</xdr:rowOff>
    </xdr:to>
    <xdr:sp>
      <xdr:nvSpPr>
        <xdr:cNvPr id="10" name="Rectangle 31"/>
        <xdr:cNvSpPr>
          <a:spLocks/>
        </xdr:cNvSpPr>
      </xdr:nvSpPr>
      <xdr:spPr>
        <a:xfrm>
          <a:off x="6115050" y="352425"/>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171450</xdr:rowOff>
    </xdr:from>
    <xdr:to>
      <xdr:col>6</xdr:col>
      <xdr:colOff>409575</xdr:colOff>
      <xdr:row>4</xdr:row>
      <xdr:rowOff>0</xdr:rowOff>
    </xdr:to>
    <xdr:sp>
      <xdr:nvSpPr>
        <xdr:cNvPr id="11" name="Rectangle 32"/>
        <xdr:cNvSpPr>
          <a:spLocks/>
        </xdr:cNvSpPr>
      </xdr:nvSpPr>
      <xdr:spPr>
        <a:xfrm>
          <a:off x="6115050" y="352425"/>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171450</xdr:rowOff>
    </xdr:from>
    <xdr:to>
      <xdr:col>6</xdr:col>
      <xdr:colOff>409575</xdr:colOff>
      <xdr:row>4</xdr:row>
      <xdr:rowOff>0</xdr:rowOff>
    </xdr:to>
    <xdr:sp>
      <xdr:nvSpPr>
        <xdr:cNvPr id="12" name="Rectangle 33"/>
        <xdr:cNvSpPr>
          <a:spLocks/>
        </xdr:cNvSpPr>
      </xdr:nvSpPr>
      <xdr:spPr>
        <a:xfrm>
          <a:off x="6115050" y="352425"/>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171450</xdr:rowOff>
    </xdr:from>
    <xdr:to>
      <xdr:col>6</xdr:col>
      <xdr:colOff>409575</xdr:colOff>
      <xdr:row>4</xdr:row>
      <xdr:rowOff>0</xdr:rowOff>
    </xdr:to>
    <xdr:sp>
      <xdr:nvSpPr>
        <xdr:cNvPr id="13" name="Rectangle 34"/>
        <xdr:cNvSpPr>
          <a:spLocks/>
        </xdr:cNvSpPr>
      </xdr:nvSpPr>
      <xdr:spPr>
        <a:xfrm>
          <a:off x="6115050" y="352425"/>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171450</xdr:rowOff>
    </xdr:from>
    <xdr:to>
      <xdr:col>6</xdr:col>
      <xdr:colOff>409575</xdr:colOff>
      <xdr:row>4</xdr:row>
      <xdr:rowOff>0</xdr:rowOff>
    </xdr:to>
    <xdr:sp>
      <xdr:nvSpPr>
        <xdr:cNvPr id="14" name="Rectangle 35"/>
        <xdr:cNvSpPr>
          <a:spLocks/>
        </xdr:cNvSpPr>
      </xdr:nvSpPr>
      <xdr:spPr>
        <a:xfrm>
          <a:off x="6115050" y="352425"/>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171450</xdr:rowOff>
    </xdr:from>
    <xdr:to>
      <xdr:col>6</xdr:col>
      <xdr:colOff>409575</xdr:colOff>
      <xdr:row>4</xdr:row>
      <xdr:rowOff>0</xdr:rowOff>
    </xdr:to>
    <xdr:sp>
      <xdr:nvSpPr>
        <xdr:cNvPr id="15" name="Rectangle 36"/>
        <xdr:cNvSpPr>
          <a:spLocks/>
        </xdr:cNvSpPr>
      </xdr:nvSpPr>
      <xdr:spPr>
        <a:xfrm>
          <a:off x="6115050" y="352425"/>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171450</xdr:rowOff>
    </xdr:from>
    <xdr:to>
      <xdr:col>6</xdr:col>
      <xdr:colOff>409575</xdr:colOff>
      <xdr:row>4</xdr:row>
      <xdr:rowOff>0</xdr:rowOff>
    </xdr:to>
    <xdr:sp>
      <xdr:nvSpPr>
        <xdr:cNvPr id="16" name="Rectangle 37"/>
        <xdr:cNvSpPr>
          <a:spLocks/>
        </xdr:cNvSpPr>
      </xdr:nvSpPr>
      <xdr:spPr>
        <a:xfrm>
          <a:off x="6115050" y="352425"/>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171450</xdr:rowOff>
    </xdr:from>
    <xdr:to>
      <xdr:col>6</xdr:col>
      <xdr:colOff>409575</xdr:colOff>
      <xdr:row>4</xdr:row>
      <xdr:rowOff>0</xdr:rowOff>
    </xdr:to>
    <xdr:sp>
      <xdr:nvSpPr>
        <xdr:cNvPr id="17" name="Rectangle 38"/>
        <xdr:cNvSpPr>
          <a:spLocks/>
        </xdr:cNvSpPr>
      </xdr:nvSpPr>
      <xdr:spPr>
        <a:xfrm>
          <a:off x="6115050" y="352425"/>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171450</xdr:rowOff>
    </xdr:from>
    <xdr:to>
      <xdr:col>6</xdr:col>
      <xdr:colOff>409575</xdr:colOff>
      <xdr:row>4</xdr:row>
      <xdr:rowOff>0</xdr:rowOff>
    </xdr:to>
    <xdr:sp>
      <xdr:nvSpPr>
        <xdr:cNvPr id="18" name="Rectangle 39"/>
        <xdr:cNvSpPr>
          <a:spLocks/>
        </xdr:cNvSpPr>
      </xdr:nvSpPr>
      <xdr:spPr>
        <a:xfrm>
          <a:off x="6115050" y="352425"/>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171450</xdr:rowOff>
    </xdr:from>
    <xdr:to>
      <xdr:col>6</xdr:col>
      <xdr:colOff>409575</xdr:colOff>
      <xdr:row>4</xdr:row>
      <xdr:rowOff>0</xdr:rowOff>
    </xdr:to>
    <xdr:sp>
      <xdr:nvSpPr>
        <xdr:cNvPr id="19" name="Rectangle 40"/>
        <xdr:cNvSpPr>
          <a:spLocks/>
        </xdr:cNvSpPr>
      </xdr:nvSpPr>
      <xdr:spPr>
        <a:xfrm>
          <a:off x="6115050" y="352425"/>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171450</xdr:rowOff>
    </xdr:from>
    <xdr:to>
      <xdr:col>6</xdr:col>
      <xdr:colOff>409575</xdr:colOff>
      <xdr:row>4</xdr:row>
      <xdr:rowOff>0</xdr:rowOff>
    </xdr:to>
    <xdr:sp>
      <xdr:nvSpPr>
        <xdr:cNvPr id="20" name="Rectangle 41"/>
        <xdr:cNvSpPr>
          <a:spLocks/>
        </xdr:cNvSpPr>
      </xdr:nvSpPr>
      <xdr:spPr>
        <a:xfrm>
          <a:off x="6115050" y="352425"/>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171450</xdr:rowOff>
    </xdr:from>
    <xdr:to>
      <xdr:col>6</xdr:col>
      <xdr:colOff>409575</xdr:colOff>
      <xdr:row>4</xdr:row>
      <xdr:rowOff>0</xdr:rowOff>
    </xdr:to>
    <xdr:sp>
      <xdr:nvSpPr>
        <xdr:cNvPr id="21" name="Rectangle 42"/>
        <xdr:cNvSpPr>
          <a:spLocks/>
        </xdr:cNvSpPr>
      </xdr:nvSpPr>
      <xdr:spPr>
        <a:xfrm>
          <a:off x="6115050" y="352425"/>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171450</xdr:rowOff>
    </xdr:from>
    <xdr:to>
      <xdr:col>6</xdr:col>
      <xdr:colOff>409575</xdr:colOff>
      <xdr:row>4</xdr:row>
      <xdr:rowOff>0</xdr:rowOff>
    </xdr:to>
    <xdr:sp>
      <xdr:nvSpPr>
        <xdr:cNvPr id="22" name="Rectangle 43"/>
        <xdr:cNvSpPr>
          <a:spLocks/>
        </xdr:cNvSpPr>
      </xdr:nvSpPr>
      <xdr:spPr>
        <a:xfrm>
          <a:off x="6115050" y="352425"/>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171450</xdr:rowOff>
    </xdr:from>
    <xdr:to>
      <xdr:col>6</xdr:col>
      <xdr:colOff>409575</xdr:colOff>
      <xdr:row>4</xdr:row>
      <xdr:rowOff>0</xdr:rowOff>
    </xdr:to>
    <xdr:sp>
      <xdr:nvSpPr>
        <xdr:cNvPr id="23" name="Rectangle 44"/>
        <xdr:cNvSpPr>
          <a:spLocks/>
        </xdr:cNvSpPr>
      </xdr:nvSpPr>
      <xdr:spPr>
        <a:xfrm>
          <a:off x="6115050" y="352425"/>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2</xdr:row>
      <xdr:rowOff>66675</xdr:rowOff>
    </xdr:from>
    <xdr:to>
      <xdr:col>11</xdr:col>
      <xdr:colOff>161925</xdr:colOff>
      <xdr:row>4</xdr:row>
      <xdr:rowOff>38100</xdr:rowOff>
    </xdr:to>
    <xdr:pic>
      <xdr:nvPicPr>
        <xdr:cNvPr id="24" name="Picture 46"/>
        <xdr:cNvPicPr preferRelativeResize="1">
          <a:picLocks noChangeAspect="1"/>
        </xdr:cNvPicPr>
      </xdr:nvPicPr>
      <xdr:blipFill>
        <a:blip r:embed="rId1"/>
        <a:stretch>
          <a:fillRect/>
        </a:stretch>
      </xdr:blipFill>
      <xdr:spPr>
        <a:xfrm>
          <a:off x="9029700" y="66675"/>
          <a:ext cx="676275" cy="333375"/>
        </a:xfrm>
        <a:prstGeom prst="rect">
          <a:avLst/>
        </a:prstGeom>
        <a:noFill/>
        <a:ln w="9525" cmpd="sng">
          <a:noFill/>
        </a:ln>
      </xdr:spPr>
    </xdr:pic>
    <xdr:clientData/>
  </xdr:twoCellAnchor>
  <xdr:twoCellAnchor>
    <xdr:from>
      <xdr:col>9</xdr:col>
      <xdr:colOff>0</xdr:colOff>
      <xdr:row>50</xdr:row>
      <xdr:rowOff>171450</xdr:rowOff>
    </xdr:from>
    <xdr:to>
      <xdr:col>9</xdr:col>
      <xdr:colOff>0</xdr:colOff>
      <xdr:row>51</xdr:row>
      <xdr:rowOff>0</xdr:rowOff>
    </xdr:to>
    <xdr:sp>
      <xdr:nvSpPr>
        <xdr:cNvPr id="25" name="Rectangle 47"/>
        <xdr:cNvSpPr>
          <a:spLocks/>
        </xdr:cNvSpPr>
      </xdr:nvSpPr>
      <xdr:spPr>
        <a:xfrm>
          <a:off x="8239125" y="7162800"/>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50</xdr:row>
      <xdr:rowOff>171450</xdr:rowOff>
    </xdr:from>
    <xdr:to>
      <xdr:col>9</xdr:col>
      <xdr:colOff>0</xdr:colOff>
      <xdr:row>51</xdr:row>
      <xdr:rowOff>0</xdr:rowOff>
    </xdr:to>
    <xdr:sp>
      <xdr:nvSpPr>
        <xdr:cNvPr id="26" name="Rectangle 48"/>
        <xdr:cNvSpPr>
          <a:spLocks/>
        </xdr:cNvSpPr>
      </xdr:nvSpPr>
      <xdr:spPr>
        <a:xfrm>
          <a:off x="8239125" y="7162800"/>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50</xdr:row>
      <xdr:rowOff>171450</xdr:rowOff>
    </xdr:from>
    <xdr:to>
      <xdr:col>9</xdr:col>
      <xdr:colOff>0</xdr:colOff>
      <xdr:row>51</xdr:row>
      <xdr:rowOff>0</xdr:rowOff>
    </xdr:to>
    <xdr:sp>
      <xdr:nvSpPr>
        <xdr:cNvPr id="27" name="Rectangle 49"/>
        <xdr:cNvSpPr>
          <a:spLocks/>
        </xdr:cNvSpPr>
      </xdr:nvSpPr>
      <xdr:spPr>
        <a:xfrm>
          <a:off x="8239125" y="7162800"/>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50</xdr:row>
      <xdr:rowOff>171450</xdr:rowOff>
    </xdr:from>
    <xdr:to>
      <xdr:col>9</xdr:col>
      <xdr:colOff>0</xdr:colOff>
      <xdr:row>51</xdr:row>
      <xdr:rowOff>0</xdr:rowOff>
    </xdr:to>
    <xdr:sp>
      <xdr:nvSpPr>
        <xdr:cNvPr id="28" name="Rectangle 50"/>
        <xdr:cNvSpPr>
          <a:spLocks/>
        </xdr:cNvSpPr>
      </xdr:nvSpPr>
      <xdr:spPr>
        <a:xfrm>
          <a:off x="8239125" y="7162800"/>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50</xdr:row>
      <xdr:rowOff>171450</xdr:rowOff>
    </xdr:from>
    <xdr:to>
      <xdr:col>9</xdr:col>
      <xdr:colOff>0</xdr:colOff>
      <xdr:row>51</xdr:row>
      <xdr:rowOff>0</xdr:rowOff>
    </xdr:to>
    <xdr:sp>
      <xdr:nvSpPr>
        <xdr:cNvPr id="29" name="Rectangle 51"/>
        <xdr:cNvSpPr>
          <a:spLocks/>
        </xdr:cNvSpPr>
      </xdr:nvSpPr>
      <xdr:spPr>
        <a:xfrm>
          <a:off x="8239125" y="7162800"/>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50</xdr:row>
      <xdr:rowOff>171450</xdr:rowOff>
    </xdr:from>
    <xdr:to>
      <xdr:col>9</xdr:col>
      <xdr:colOff>0</xdr:colOff>
      <xdr:row>51</xdr:row>
      <xdr:rowOff>0</xdr:rowOff>
    </xdr:to>
    <xdr:sp>
      <xdr:nvSpPr>
        <xdr:cNvPr id="30" name="Rectangle 52"/>
        <xdr:cNvSpPr>
          <a:spLocks/>
        </xdr:cNvSpPr>
      </xdr:nvSpPr>
      <xdr:spPr>
        <a:xfrm>
          <a:off x="8239125" y="7162800"/>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50</xdr:row>
      <xdr:rowOff>171450</xdr:rowOff>
    </xdr:from>
    <xdr:to>
      <xdr:col>9</xdr:col>
      <xdr:colOff>0</xdr:colOff>
      <xdr:row>51</xdr:row>
      <xdr:rowOff>0</xdr:rowOff>
    </xdr:to>
    <xdr:sp>
      <xdr:nvSpPr>
        <xdr:cNvPr id="31" name="Rectangle 53"/>
        <xdr:cNvSpPr>
          <a:spLocks/>
        </xdr:cNvSpPr>
      </xdr:nvSpPr>
      <xdr:spPr>
        <a:xfrm>
          <a:off x="8239125" y="7162800"/>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50</xdr:row>
      <xdr:rowOff>171450</xdr:rowOff>
    </xdr:from>
    <xdr:to>
      <xdr:col>9</xdr:col>
      <xdr:colOff>0</xdr:colOff>
      <xdr:row>51</xdr:row>
      <xdr:rowOff>0</xdr:rowOff>
    </xdr:to>
    <xdr:sp>
      <xdr:nvSpPr>
        <xdr:cNvPr id="32" name="Rectangle 54"/>
        <xdr:cNvSpPr>
          <a:spLocks/>
        </xdr:cNvSpPr>
      </xdr:nvSpPr>
      <xdr:spPr>
        <a:xfrm>
          <a:off x="8239125" y="7162800"/>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50</xdr:row>
      <xdr:rowOff>171450</xdr:rowOff>
    </xdr:from>
    <xdr:to>
      <xdr:col>6</xdr:col>
      <xdr:colOff>409575</xdr:colOff>
      <xdr:row>51</xdr:row>
      <xdr:rowOff>0</xdr:rowOff>
    </xdr:to>
    <xdr:sp>
      <xdr:nvSpPr>
        <xdr:cNvPr id="33" name="Rectangle 55"/>
        <xdr:cNvSpPr>
          <a:spLocks/>
        </xdr:cNvSpPr>
      </xdr:nvSpPr>
      <xdr:spPr>
        <a:xfrm>
          <a:off x="6115050" y="716280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50</xdr:row>
      <xdr:rowOff>171450</xdr:rowOff>
    </xdr:from>
    <xdr:to>
      <xdr:col>6</xdr:col>
      <xdr:colOff>409575</xdr:colOff>
      <xdr:row>51</xdr:row>
      <xdr:rowOff>0</xdr:rowOff>
    </xdr:to>
    <xdr:sp>
      <xdr:nvSpPr>
        <xdr:cNvPr id="34" name="Rectangle 56"/>
        <xdr:cNvSpPr>
          <a:spLocks/>
        </xdr:cNvSpPr>
      </xdr:nvSpPr>
      <xdr:spPr>
        <a:xfrm>
          <a:off x="6115050" y="716280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50</xdr:row>
      <xdr:rowOff>171450</xdr:rowOff>
    </xdr:from>
    <xdr:to>
      <xdr:col>6</xdr:col>
      <xdr:colOff>409575</xdr:colOff>
      <xdr:row>51</xdr:row>
      <xdr:rowOff>0</xdr:rowOff>
    </xdr:to>
    <xdr:sp>
      <xdr:nvSpPr>
        <xdr:cNvPr id="35" name="Rectangle 57"/>
        <xdr:cNvSpPr>
          <a:spLocks/>
        </xdr:cNvSpPr>
      </xdr:nvSpPr>
      <xdr:spPr>
        <a:xfrm>
          <a:off x="6115050" y="716280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50</xdr:row>
      <xdr:rowOff>171450</xdr:rowOff>
    </xdr:from>
    <xdr:to>
      <xdr:col>6</xdr:col>
      <xdr:colOff>409575</xdr:colOff>
      <xdr:row>51</xdr:row>
      <xdr:rowOff>0</xdr:rowOff>
    </xdr:to>
    <xdr:sp>
      <xdr:nvSpPr>
        <xdr:cNvPr id="36" name="Rectangle 58"/>
        <xdr:cNvSpPr>
          <a:spLocks/>
        </xdr:cNvSpPr>
      </xdr:nvSpPr>
      <xdr:spPr>
        <a:xfrm>
          <a:off x="6115050" y="716280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50</xdr:row>
      <xdr:rowOff>171450</xdr:rowOff>
    </xdr:from>
    <xdr:to>
      <xdr:col>6</xdr:col>
      <xdr:colOff>409575</xdr:colOff>
      <xdr:row>51</xdr:row>
      <xdr:rowOff>0</xdr:rowOff>
    </xdr:to>
    <xdr:sp>
      <xdr:nvSpPr>
        <xdr:cNvPr id="37" name="Rectangle 59"/>
        <xdr:cNvSpPr>
          <a:spLocks/>
        </xdr:cNvSpPr>
      </xdr:nvSpPr>
      <xdr:spPr>
        <a:xfrm>
          <a:off x="6115050" y="716280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50</xdr:row>
      <xdr:rowOff>171450</xdr:rowOff>
    </xdr:from>
    <xdr:to>
      <xdr:col>6</xdr:col>
      <xdr:colOff>409575</xdr:colOff>
      <xdr:row>51</xdr:row>
      <xdr:rowOff>0</xdr:rowOff>
    </xdr:to>
    <xdr:sp>
      <xdr:nvSpPr>
        <xdr:cNvPr id="38" name="Rectangle 60"/>
        <xdr:cNvSpPr>
          <a:spLocks/>
        </xdr:cNvSpPr>
      </xdr:nvSpPr>
      <xdr:spPr>
        <a:xfrm>
          <a:off x="6115050" y="716280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50</xdr:row>
      <xdr:rowOff>171450</xdr:rowOff>
    </xdr:from>
    <xdr:to>
      <xdr:col>6</xdr:col>
      <xdr:colOff>409575</xdr:colOff>
      <xdr:row>51</xdr:row>
      <xdr:rowOff>0</xdr:rowOff>
    </xdr:to>
    <xdr:sp>
      <xdr:nvSpPr>
        <xdr:cNvPr id="39" name="Rectangle 61"/>
        <xdr:cNvSpPr>
          <a:spLocks/>
        </xdr:cNvSpPr>
      </xdr:nvSpPr>
      <xdr:spPr>
        <a:xfrm>
          <a:off x="6115050" y="716280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50</xdr:row>
      <xdr:rowOff>171450</xdr:rowOff>
    </xdr:from>
    <xdr:to>
      <xdr:col>6</xdr:col>
      <xdr:colOff>409575</xdr:colOff>
      <xdr:row>51</xdr:row>
      <xdr:rowOff>0</xdr:rowOff>
    </xdr:to>
    <xdr:sp>
      <xdr:nvSpPr>
        <xdr:cNvPr id="40" name="Rectangle 62"/>
        <xdr:cNvSpPr>
          <a:spLocks/>
        </xdr:cNvSpPr>
      </xdr:nvSpPr>
      <xdr:spPr>
        <a:xfrm>
          <a:off x="6115050" y="716280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50</xdr:row>
      <xdr:rowOff>171450</xdr:rowOff>
    </xdr:from>
    <xdr:to>
      <xdr:col>6</xdr:col>
      <xdr:colOff>409575</xdr:colOff>
      <xdr:row>51</xdr:row>
      <xdr:rowOff>0</xdr:rowOff>
    </xdr:to>
    <xdr:sp>
      <xdr:nvSpPr>
        <xdr:cNvPr id="41" name="Rectangle 63"/>
        <xdr:cNvSpPr>
          <a:spLocks/>
        </xdr:cNvSpPr>
      </xdr:nvSpPr>
      <xdr:spPr>
        <a:xfrm>
          <a:off x="6115050" y="716280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50</xdr:row>
      <xdr:rowOff>171450</xdr:rowOff>
    </xdr:from>
    <xdr:to>
      <xdr:col>6</xdr:col>
      <xdr:colOff>409575</xdr:colOff>
      <xdr:row>51</xdr:row>
      <xdr:rowOff>0</xdr:rowOff>
    </xdr:to>
    <xdr:sp>
      <xdr:nvSpPr>
        <xdr:cNvPr id="42" name="Rectangle 64"/>
        <xdr:cNvSpPr>
          <a:spLocks/>
        </xdr:cNvSpPr>
      </xdr:nvSpPr>
      <xdr:spPr>
        <a:xfrm>
          <a:off x="6115050" y="716280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50</xdr:row>
      <xdr:rowOff>171450</xdr:rowOff>
    </xdr:from>
    <xdr:to>
      <xdr:col>6</xdr:col>
      <xdr:colOff>409575</xdr:colOff>
      <xdr:row>51</xdr:row>
      <xdr:rowOff>0</xdr:rowOff>
    </xdr:to>
    <xdr:sp>
      <xdr:nvSpPr>
        <xdr:cNvPr id="43" name="Rectangle 65"/>
        <xdr:cNvSpPr>
          <a:spLocks/>
        </xdr:cNvSpPr>
      </xdr:nvSpPr>
      <xdr:spPr>
        <a:xfrm>
          <a:off x="6115050" y="716280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50</xdr:row>
      <xdr:rowOff>171450</xdr:rowOff>
    </xdr:from>
    <xdr:to>
      <xdr:col>6</xdr:col>
      <xdr:colOff>409575</xdr:colOff>
      <xdr:row>51</xdr:row>
      <xdr:rowOff>0</xdr:rowOff>
    </xdr:to>
    <xdr:sp>
      <xdr:nvSpPr>
        <xdr:cNvPr id="44" name="Rectangle 66"/>
        <xdr:cNvSpPr>
          <a:spLocks/>
        </xdr:cNvSpPr>
      </xdr:nvSpPr>
      <xdr:spPr>
        <a:xfrm>
          <a:off x="6115050" y="716280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50</xdr:row>
      <xdr:rowOff>171450</xdr:rowOff>
    </xdr:from>
    <xdr:to>
      <xdr:col>6</xdr:col>
      <xdr:colOff>409575</xdr:colOff>
      <xdr:row>51</xdr:row>
      <xdr:rowOff>0</xdr:rowOff>
    </xdr:to>
    <xdr:sp>
      <xdr:nvSpPr>
        <xdr:cNvPr id="45" name="Rectangle 67"/>
        <xdr:cNvSpPr>
          <a:spLocks/>
        </xdr:cNvSpPr>
      </xdr:nvSpPr>
      <xdr:spPr>
        <a:xfrm>
          <a:off x="6115050" y="716280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50</xdr:row>
      <xdr:rowOff>171450</xdr:rowOff>
    </xdr:from>
    <xdr:to>
      <xdr:col>6</xdr:col>
      <xdr:colOff>409575</xdr:colOff>
      <xdr:row>51</xdr:row>
      <xdr:rowOff>0</xdr:rowOff>
    </xdr:to>
    <xdr:sp>
      <xdr:nvSpPr>
        <xdr:cNvPr id="46" name="Rectangle 68"/>
        <xdr:cNvSpPr>
          <a:spLocks/>
        </xdr:cNvSpPr>
      </xdr:nvSpPr>
      <xdr:spPr>
        <a:xfrm>
          <a:off x="6115050" y="716280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49</xdr:row>
      <xdr:rowOff>66675</xdr:rowOff>
    </xdr:from>
    <xdr:to>
      <xdr:col>11</xdr:col>
      <xdr:colOff>161925</xdr:colOff>
      <xdr:row>51</xdr:row>
      <xdr:rowOff>38100</xdr:rowOff>
    </xdr:to>
    <xdr:pic>
      <xdr:nvPicPr>
        <xdr:cNvPr id="47" name="Picture 69"/>
        <xdr:cNvPicPr preferRelativeResize="1">
          <a:picLocks noChangeAspect="1"/>
        </xdr:cNvPicPr>
      </xdr:nvPicPr>
      <xdr:blipFill>
        <a:blip r:embed="rId1"/>
        <a:stretch>
          <a:fillRect/>
        </a:stretch>
      </xdr:blipFill>
      <xdr:spPr>
        <a:xfrm>
          <a:off x="9029700" y="6877050"/>
          <a:ext cx="676275" cy="333375"/>
        </a:xfrm>
        <a:prstGeom prst="rect">
          <a:avLst/>
        </a:prstGeom>
        <a:noFill/>
        <a:ln w="9525" cmpd="sng">
          <a:noFill/>
        </a:ln>
      </xdr:spPr>
    </xdr:pic>
    <xdr:clientData/>
  </xdr:twoCellAnchor>
  <xdr:twoCellAnchor>
    <xdr:from>
      <xdr:col>9</xdr:col>
      <xdr:colOff>0</xdr:colOff>
      <xdr:row>98</xdr:row>
      <xdr:rowOff>171450</xdr:rowOff>
    </xdr:from>
    <xdr:to>
      <xdr:col>9</xdr:col>
      <xdr:colOff>0</xdr:colOff>
      <xdr:row>99</xdr:row>
      <xdr:rowOff>0</xdr:rowOff>
    </xdr:to>
    <xdr:sp>
      <xdr:nvSpPr>
        <xdr:cNvPr id="48" name="Rectangle 70"/>
        <xdr:cNvSpPr>
          <a:spLocks/>
        </xdr:cNvSpPr>
      </xdr:nvSpPr>
      <xdr:spPr>
        <a:xfrm>
          <a:off x="8239125" y="15754350"/>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98</xdr:row>
      <xdr:rowOff>171450</xdr:rowOff>
    </xdr:from>
    <xdr:to>
      <xdr:col>9</xdr:col>
      <xdr:colOff>0</xdr:colOff>
      <xdr:row>99</xdr:row>
      <xdr:rowOff>0</xdr:rowOff>
    </xdr:to>
    <xdr:sp>
      <xdr:nvSpPr>
        <xdr:cNvPr id="49" name="Rectangle 71"/>
        <xdr:cNvSpPr>
          <a:spLocks/>
        </xdr:cNvSpPr>
      </xdr:nvSpPr>
      <xdr:spPr>
        <a:xfrm>
          <a:off x="8239125" y="15754350"/>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98</xdr:row>
      <xdr:rowOff>171450</xdr:rowOff>
    </xdr:from>
    <xdr:to>
      <xdr:col>9</xdr:col>
      <xdr:colOff>0</xdr:colOff>
      <xdr:row>99</xdr:row>
      <xdr:rowOff>0</xdr:rowOff>
    </xdr:to>
    <xdr:sp>
      <xdr:nvSpPr>
        <xdr:cNvPr id="50" name="Rectangle 72"/>
        <xdr:cNvSpPr>
          <a:spLocks/>
        </xdr:cNvSpPr>
      </xdr:nvSpPr>
      <xdr:spPr>
        <a:xfrm>
          <a:off x="8239125" y="15754350"/>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98</xdr:row>
      <xdr:rowOff>171450</xdr:rowOff>
    </xdr:from>
    <xdr:to>
      <xdr:col>9</xdr:col>
      <xdr:colOff>0</xdr:colOff>
      <xdr:row>99</xdr:row>
      <xdr:rowOff>0</xdr:rowOff>
    </xdr:to>
    <xdr:sp>
      <xdr:nvSpPr>
        <xdr:cNvPr id="51" name="Rectangle 73"/>
        <xdr:cNvSpPr>
          <a:spLocks/>
        </xdr:cNvSpPr>
      </xdr:nvSpPr>
      <xdr:spPr>
        <a:xfrm>
          <a:off x="8239125" y="15754350"/>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98</xdr:row>
      <xdr:rowOff>171450</xdr:rowOff>
    </xdr:from>
    <xdr:to>
      <xdr:col>9</xdr:col>
      <xdr:colOff>0</xdr:colOff>
      <xdr:row>99</xdr:row>
      <xdr:rowOff>0</xdr:rowOff>
    </xdr:to>
    <xdr:sp>
      <xdr:nvSpPr>
        <xdr:cNvPr id="52" name="Rectangle 74"/>
        <xdr:cNvSpPr>
          <a:spLocks/>
        </xdr:cNvSpPr>
      </xdr:nvSpPr>
      <xdr:spPr>
        <a:xfrm>
          <a:off x="8239125" y="15754350"/>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98</xdr:row>
      <xdr:rowOff>171450</xdr:rowOff>
    </xdr:from>
    <xdr:to>
      <xdr:col>9</xdr:col>
      <xdr:colOff>0</xdr:colOff>
      <xdr:row>99</xdr:row>
      <xdr:rowOff>0</xdr:rowOff>
    </xdr:to>
    <xdr:sp>
      <xdr:nvSpPr>
        <xdr:cNvPr id="53" name="Rectangle 75"/>
        <xdr:cNvSpPr>
          <a:spLocks/>
        </xdr:cNvSpPr>
      </xdr:nvSpPr>
      <xdr:spPr>
        <a:xfrm>
          <a:off x="8239125" y="15754350"/>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98</xdr:row>
      <xdr:rowOff>171450</xdr:rowOff>
    </xdr:from>
    <xdr:to>
      <xdr:col>9</xdr:col>
      <xdr:colOff>0</xdr:colOff>
      <xdr:row>99</xdr:row>
      <xdr:rowOff>0</xdr:rowOff>
    </xdr:to>
    <xdr:sp>
      <xdr:nvSpPr>
        <xdr:cNvPr id="54" name="Rectangle 76"/>
        <xdr:cNvSpPr>
          <a:spLocks/>
        </xdr:cNvSpPr>
      </xdr:nvSpPr>
      <xdr:spPr>
        <a:xfrm>
          <a:off x="8239125" y="15754350"/>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98</xdr:row>
      <xdr:rowOff>171450</xdr:rowOff>
    </xdr:from>
    <xdr:to>
      <xdr:col>9</xdr:col>
      <xdr:colOff>0</xdr:colOff>
      <xdr:row>99</xdr:row>
      <xdr:rowOff>0</xdr:rowOff>
    </xdr:to>
    <xdr:sp>
      <xdr:nvSpPr>
        <xdr:cNvPr id="55" name="Rectangle 77"/>
        <xdr:cNvSpPr>
          <a:spLocks/>
        </xdr:cNvSpPr>
      </xdr:nvSpPr>
      <xdr:spPr>
        <a:xfrm>
          <a:off x="8239125" y="15754350"/>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98</xdr:row>
      <xdr:rowOff>171450</xdr:rowOff>
    </xdr:from>
    <xdr:to>
      <xdr:col>6</xdr:col>
      <xdr:colOff>409575</xdr:colOff>
      <xdr:row>99</xdr:row>
      <xdr:rowOff>0</xdr:rowOff>
    </xdr:to>
    <xdr:sp>
      <xdr:nvSpPr>
        <xdr:cNvPr id="56" name="Rectangle 78"/>
        <xdr:cNvSpPr>
          <a:spLocks/>
        </xdr:cNvSpPr>
      </xdr:nvSpPr>
      <xdr:spPr>
        <a:xfrm>
          <a:off x="6115050" y="1575435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98</xdr:row>
      <xdr:rowOff>171450</xdr:rowOff>
    </xdr:from>
    <xdr:to>
      <xdr:col>6</xdr:col>
      <xdr:colOff>409575</xdr:colOff>
      <xdr:row>99</xdr:row>
      <xdr:rowOff>0</xdr:rowOff>
    </xdr:to>
    <xdr:sp>
      <xdr:nvSpPr>
        <xdr:cNvPr id="57" name="Rectangle 79"/>
        <xdr:cNvSpPr>
          <a:spLocks/>
        </xdr:cNvSpPr>
      </xdr:nvSpPr>
      <xdr:spPr>
        <a:xfrm>
          <a:off x="6115050" y="1575435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98</xdr:row>
      <xdr:rowOff>171450</xdr:rowOff>
    </xdr:from>
    <xdr:to>
      <xdr:col>6</xdr:col>
      <xdr:colOff>409575</xdr:colOff>
      <xdr:row>99</xdr:row>
      <xdr:rowOff>0</xdr:rowOff>
    </xdr:to>
    <xdr:sp>
      <xdr:nvSpPr>
        <xdr:cNvPr id="58" name="Rectangle 80"/>
        <xdr:cNvSpPr>
          <a:spLocks/>
        </xdr:cNvSpPr>
      </xdr:nvSpPr>
      <xdr:spPr>
        <a:xfrm>
          <a:off x="6115050" y="1575435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98</xdr:row>
      <xdr:rowOff>171450</xdr:rowOff>
    </xdr:from>
    <xdr:to>
      <xdr:col>6</xdr:col>
      <xdr:colOff>409575</xdr:colOff>
      <xdr:row>99</xdr:row>
      <xdr:rowOff>0</xdr:rowOff>
    </xdr:to>
    <xdr:sp>
      <xdr:nvSpPr>
        <xdr:cNvPr id="59" name="Rectangle 81"/>
        <xdr:cNvSpPr>
          <a:spLocks/>
        </xdr:cNvSpPr>
      </xdr:nvSpPr>
      <xdr:spPr>
        <a:xfrm>
          <a:off x="6115050" y="1575435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98</xdr:row>
      <xdr:rowOff>171450</xdr:rowOff>
    </xdr:from>
    <xdr:to>
      <xdr:col>6</xdr:col>
      <xdr:colOff>409575</xdr:colOff>
      <xdr:row>99</xdr:row>
      <xdr:rowOff>0</xdr:rowOff>
    </xdr:to>
    <xdr:sp>
      <xdr:nvSpPr>
        <xdr:cNvPr id="60" name="Rectangle 82"/>
        <xdr:cNvSpPr>
          <a:spLocks/>
        </xdr:cNvSpPr>
      </xdr:nvSpPr>
      <xdr:spPr>
        <a:xfrm>
          <a:off x="6115050" y="1575435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98</xdr:row>
      <xdr:rowOff>171450</xdr:rowOff>
    </xdr:from>
    <xdr:to>
      <xdr:col>6</xdr:col>
      <xdr:colOff>409575</xdr:colOff>
      <xdr:row>99</xdr:row>
      <xdr:rowOff>0</xdr:rowOff>
    </xdr:to>
    <xdr:sp>
      <xdr:nvSpPr>
        <xdr:cNvPr id="61" name="Rectangle 83"/>
        <xdr:cNvSpPr>
          <a:spLocks/>
        </xdr:cNvSpPr>
      </xdr:nvSpPr>
      <xdr:spPr>
        <a:xfrm>
          <a:off x="6115050" y="1575435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98</xdr:row>
      <xdr:rowOff>171450</xdr:rowOff>
    </xdr:from>
    <xdr:to>
      <xdr:col>6</xdr:col>
      <xdr:colOff>409575</xdr:colOff>
      <xdr:row>99</xdr:row>
      <xdr:rowOff>0</xdr:rowOff>
    </xdr:to>
    <xdr:sp>
      <xdr:nvSpPr>
        <xdr:cNvPr id="62" name="Rectangle 84"/>
        <xdr:cNvSpPr>
          <a:spLocks/>
        </xdr:cNvSpPr>
      </xdr:nvSpPr>
      <xdr:spPr>
        <a:xfrm>
          <a:off x="6115050" y="1575435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98</xdr:row>
      <xdr:rowOff>171450</xdr:rowOff>
    </xdr:from>
    <xdr:to>
      <xdr:col>6</xdr:col>
      <xdr:colOff>409575</xdr:colOff>
      <xdr:row>99</xdr:row>
      <xdr:rowOff>0</xdr:rowOff>
    </xdr:to>
    <xdr:sp>
      <xdr:nvSpPr>
        <xdr:cNvPr id="63" name="Rectangle 85"/>
        <xdr:cNvSpPr>
          <a:spLocks/>
        </xdr:cNvSpPr>
      </xdr:nvSpPr>
      <xdr:spPr>
        <a:xfrm>
          <a:off x="6115050" y="1575435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98</xdr:row>
      <xdr:rowOff>171450</xdr:rowOff>
    </xdr:from>
    <xdr:to>
      <xdr:col>6</xdr:col>
      <xdr:colOff>409575</xdr:colOff>
      <xdr:row>99</xdr:row>
      <xdr:rowOff>0</xdr:rowOff>
    </xdr:to>
    <xdr:sp>
      <xdr:nvSpPr>
        <xdr:cNvPr id="64" name="Rectangle 86"/>
        <xdr:cNvSpPr>
          <a:spLocks/>
        </xdr:cNvSpPr>
      </xdr:nvSpPr>
      <xdr:spPr>
        <a:xfrm>
          <a:off x="6115050" y="1575435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98</xdr:row>
      <xdr:rowOff>171450</xdr:rowOff>
    </xdr:from>
    <xdr:to>
      <xdr:col>6</xdr:col>
      <xdr:colOff>409575</xdr:colOff>
      <xdr:row>99</xdr:row>
      <xdr:rowOff>0</xdr:rowOff>
    </xdr:to>
    <xdr:sp>
      <xdr:nvSpPr>
        <xdr:cNvPr id="65" name="Rectangle 87"/>
        <xdr:cNvSpPr>
          <a:spLocks/>
        </xdr:cNvSpPr>
      </xdr:nvSpPr>
      <xdr:spPr>
        <a:xfrm>
          <a:off x="6115050" y="1575435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98</xdr:row>
      <xdr:rowOff>171450</xdr:rowOff>
    </xdr:from>
    <xdr:to>
      <xdr:col>6</xdr:col>
      <xdr:colOff>409575</xdr:colOff>
      <xdr:row>99</xdr:row>
      <xdr:rowOff>0</xdr:rowOff>
    </xdr:to>
    <xdr:sp>
      <xdr:nvSpPr>
        <xdr:cNvPr id="66" name="Rectangle 88"/>
        <xdr:cNvSpPr>
          <a:spLocks/>
        </xdr:cNvSpPr>
      </xdr:nvSpPr>
      <xdr:spPr>
        <a:xfrm>
          <a:off x="6115050" y="1575435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98</xdr:row>
      <xdr:rowOff>171450</xdr:rowOff>
    </xdr:from>
    <xdr:to>
      <xdr:col>6</xdr:col>
      <xdr:colOff>409575</xdr:colOff>
      <xdr:row>99</xdr:row>
      <xdr:rowOff>0</xdr:rowOff>
    </xdr:to>
    <xdr:sp>
      <xdr:nvSpPr>
        <xdr:cNvPr id="67" name="Rectangle 89"/>
        <xdr:cNvSpPr>
          <a:spLocks/>
        </xdr:cNvSpPr>
      </xdr:nvSpPr>
      <xdr:spPr>
        <a:xfrm>
          <a:off x="6115050" y="1575435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98</xdr:row>
      <xdr:rowOff>171450</xdr:rowOff>
    </xdr:from>
    <xdr:to>
      <xdr:col>6</xdr:col>
      <xdr:colOff>409575</xdr:colOff>
      <xdr:row>99</xdr:row>
      <xdr:rowOff>0</xdr:rowOff>
    </xdr:to>
    <xdr:sp>
      <xdr:nvSpPr>
        <xdr:cNvPr id="68" name="Rectangle 90"/>
        <xdr:cNvSpPr>
          <a:spLocks/>
        </xdr:cNvSpPr>
      </xdr:nvSpPr>
      <xdr:spPr>
        <a:xfrm>
          <a:off x="6115050" y="1575435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98</xdr:row>
      <xdr:rowOff>171450</xdr:rowOff>
    </xdr:from>
    <xdr:to>
      <xdr:col>6</xdr:col>
      <xdr:colOff>409575</xdr:colOff>
      <xdr:row>99</xdr:row>
      <xdr:rowOff>0</xdr:rowOff>
    </xdr:to>
    <xdr:sp>
      <xdr:nvSpPr>
        <xdr:cNvPr id="69" name="Rectangle 91"/>
        <xdr:cNvSpPr>
          <a:spLocks/>
        </xdr:cNvSpPr>
      </xdr:nvSpPr>
      <xdr:spPr>
        <a:xfrm>
          <a:off x="6115050" y="1575435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97</xdr:row>
      <xdr:rowOff>66675</xdr:rowOff>
    </xdr:from>
    <xdr:to>
      <xdr:col>11</xdr:col>
      <xdr:colOff>161925</xdr:colOff>
      <xdr:row>99</xdr:row>
      <xdr:rowOff>38100</xdr:rowOff>
    </xdr:to>
    <xdr:pic>
      <xdr:nvPicPr>
        <xdr:cNvPr id="70" name="Picture 92"/>
        <xdr:cNvPicPr preferRelativeResize="1">
          <a:picLocks noChangeAspect="1"/>
        </xdr:cNvPicPr>
      </xdr:nvPicPr>
      <xdr:blipFill>
        <a:blip r:embed="rId1"/>
        <a:stretch>
          <a:fillRect/>
        </a:stretch>
      </xdr:blipFill>
      <xdr:spPr>
        <a:xfrm>
          <a:off x="9029700" y="15468600"/>
          <a:ext cx="676275" cy="333375"/>
        </a:xfrm>
        <a:prstGeom prst="rect">
          <a:avLst/>
        </a:prstGeom>
        <a:noFill/>
        <a:ln w="9525" cmpd="sng">
          <a:noFill/>
        </a:ln>
      </xdr:spPr>
    </xdr:pic>
    <xdr:clientData/>
  </xdr:twoCellAnchor>
  <xdr:twoCellAnchor>
    <xdr:from>
      <xdr:col>9</xdr:col>
      <xdr:colOff>0</xdr:colOff>
      <xdr:row>137</xdr:row>
      <xdr:rowOff>171450</xdr:rowOff>
    </xdr:from>
    <xdr:to>
      <xdr:col>9</xdr:col>
      <xdr:colOff>0</xdr:colOff>
      <xdr:row>138</xdr:row>
      <xdr:rowOff>0</xdr:rowOff>
    </xdr:to>
    <xdr:sp>
      <xdr:nvSpPr>
        <xdr:cNvPr id="71" name="Rectangle 93"/>
        <xdr:cNvSpPr>
          <a:spLocks/>
        </xdr:cNvSpPr>
      </xdr:nvSpPr>
      <xdr:spPr>
        <a:xfrm>
          <a:off x="8239125" y="22812375"/>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137</xdr:row>
      <xdr:rowOff>171450</xdr:rowOff>
    </xdr:from>
    <xdr:to>
      <xdr:col>9</xdr:col>
      <xdr:colOff>0</xdr:colOff>
      <xdr:row>138</xdr:row>
      <xdr:rowOff>0</xdr:rowOff>
    </xdr:to>
    <xdr:sp>
      <xdr:nvSpPr>
        <xdr:cNvPr id="72" name="Rectangle 94"/>
        <xdr:cNvSpPr>
          <a:spLocks/>
        </xdr:cNvSpPr>
      </xdr:nvSpPr>
      <xdr:spPr>
        <a:xfrm>
          <a:off x="8239125" y="22812375"/>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137</xdr:row>
      <xdr:rowOff>171450</xdr:rowOff>
    </xdr:from>
    <xdr:to>
      <xdr:col>9</xdr:col>
      <xdr:colOff>0</xdr:colOff>
      <xdr:row>138</xdr:row>
      <xdr:rowOff>0</xdr:rowOff>
    </xdr:to>
    <xdr:sp>
      <xdr:nvSpPr>
        <xdr:cNvPr id="73" name="Rectangle 95"/>
        <xdr:cNvSpPr>
          <a:spLocks/>
        </xdr:cNvSpPr>
      </xdr:nvSpPr>
      <xdr:spPr>
        <a:xfrm>
          <a:off x="8239125" y="22812375"/>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137</xdr:row>
      <xdr:rowOff>171450</xdr:rowOff>
    </xdr:from>
    <xdr:to>
      <xdr:col>9</xdr:col>
      <xdr:colOff>0</xdr:colOff>
      <xdr:row>138</xdr:row>
      <xdr:rowOff>0</xdr:rowOff>
    </xdr:to>
    <xdr:sp>
      <xdr:nvSpPr>
        <xdr:cNvPr id="74" name="Rectangle 96"/>
        <xdr:cNvSpPr>
          <a:spLocks/>
        </xdr:cNvSpPr>
      </xdr:nvSpPr>
      <xdr:spPr>
        <a:xfrm>
          <a:off x="8239125" y="22812375"/>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137</xdr:row>
      <xdr:rowOff>171450</xdr:rowOff>
    </xdr:from>
    <xdr:to>
      <xdr:col>9</xdr:col>
      <xdr:colOff>0</xdr:colOff>
      <xdr:row>138</xdr:row>
      <xdr:rowOff>0</xdr:rowOff>
    </xdr:to>
    <xdr:sp>
      <xdr:nvSpPr>
        <xdr:cNvPr id="75" name="Rectangle 97"/>
        <xdr:cNvSpPr>
          <a:spLocks/>
        </xdr:cNvSpPr>
      </xdr:nvSpPr>
      <xdr:spPr>
        <a:xfrm>
          <a:off x="8239125" y="22812375"/>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137</xdr:row>
      <xdr:rowOff>171450</xdr:rowOff>
    </xdr:from>
    <xdr:to>
      <xdr:col>9</xdr:col>
      <xdr:colOff>0</xdr:colOff>
      <xdr:row>138</xdr:row>
      <xdr:rowOff>0</xdr:rowOff>
    </xdr:to>
    <xdr:sp>
      <xdr:nvSpPr>
        <xdr:cNvPr id="76" name="Rectangle 98"/>
        <xdr:cNvSpPr>
          <a:spLocks/>
        </xdr:cNvSpPr>
      </xdr:nvSpPr>
      <xdr:spPr>
        <a:xfrm>
          <a:off x="8239125" y="22812375"/>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137</xdr:row>
      <xdr:rowOff>171450</xdr:rowOff>
    </xdr:from>
    <xdr:to>
      <xdr:col>9</xdr:col>
      <xdr:colOff>0</xdr:colOff>
      <xdr:row>138</xdr:row>
      <xdr:rowOff>0</xdr:rowOff>
    </xdr:to>
    <xdr:sp>
      <xdr:nvSpPr>
        <xdr:cNvPr id="77" name="Rectangle 99"/>
        <xdr:cNvSpPr>
          <a:spLocks/>
        </xdr:cNvSpPr>
      </xdr:nvSpPr>
      <xdr:spPr>
        <a:xfrm>
          <a:off x="8239125" y="22812375"/>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137</xdr:row>
      <xdr:rowOff>171450</xdr:rowOff>
    </xdr:from>
    <xdr:to>
      <xdr:col>9</xdr:col>
      <xdr:colOff>0</xdr:colOff>
      <xdr:row>138</xdr:row>
      <xdr:rowOff>0</xdr:rowOff>
    </xdr:to>
    <xdr:sp>
      <xdr:nvSpPr>
        <xdr:cNvPr id="78" name="Rectangle 100"/>
        <xdr:cNvSpPr>
          <a:spLocks/>
        </xdr:cNvSpPr>
      </xdr:nvSpPr>
      <xdr:spPr>
        <a:xfrm>
          <a:off x="8239125" y="22812375"/>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137</xdr:row>
      <xdr:rowOff>171450</xdr:rowOff>
    </xdr:from>
    <xdr:to>
      <xdr:col>6</xdr:col>
      <xdr:colOff>409575</xdr:colOff>
      <xdr:row>138</xdr:row>
      <xdr:rowOff>0</xdr:rowOff>
    </xdr:to>
    <xdr:sp>
      <xdr:nvSpPr>
        <xdr:cNvPr id="79" name="Rectangle 101"/>
        <xdr:cNvSpPr>
          <a:spLocks/>
        </xdr:cNvSpPr>
      </xdr:nvSpPr>
      <xdr:spPr>
        <a:xfrm>
          <a:off x="6115050" y="22812375"/>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137</xdr:row>
      <xdr:rowOff>171450</xdr:rowOff>
    </xdr:from>
    <xdr:to>
      <xdr:col>6</xdr:col>
      <xdr:colOff>409575</xdr:colOff>
      <xdr:row>138</xdr:row>
      <xdr:rowOff>0</xdr:rowOff>
    </xdr:to>
    <xdr:sp>
      <xdr:nvSpPr>
        <xdr:cNvPr id="80" name="Rectangle 102"/>
        <xdr:cNvSpPr>
          <a:spLocks/>
        </xdr:cNvSpPr>
      </xdr:nvSpPr>
      <xdr:spPr>
        <a:xfrm>
          <a:off x="6115050" y="22812375"/>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137</xdr:row>
      <xdr:rowOff>171450</xdr:rowOff>
    </xdr:from>
    <xdr:to>
      <xdr:col>6</xdr:col>
      <xdr:colOff>409575</xdr:colOff>
      <xdr:row>138</xdr:row>
      <xdr:rowOff>0</xdr:rowOff>
    </xdr:to>
    <xdr:sp>
      <xdr:nvSpPr>
        <xdr:cNvPr id="81" name="Rectangle 103"/>
        <xdr:cNvSpPr>
          <a:spLocks/>
        </xdr:cNvSpPr>
      </xdr:nvSpPr>
      <xdr:spPr>
        <a:xfrm>
          <a:off x="6115050" y="22812375"/>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137</xdr:row>
      <xdr:rowOff>171450</xdr:rowOff>
    </xdr:from>
    <xdr:to>
      <xdr:col>6</xdr:col>
      <xdr:colOff>409575</xdr:colOff>
      <xdr:row>138</xdr:row>
      <xdr:rowOff>0</xdr:rowOff>
    </xdr:to>
    <xdr:sp>
      <xdr:nvSpPr>
        <xdr:cNvPr id="82" name="Rectangle 104"/>
        <xdr:cNvSpPr>
          <a:spLocks/>
        </xdr:cNvSpPr>
      </xdr:nvSpPr>
      <xdr:spPr>
        <a:xfrm>
          <a:off x="6115050" y="22812375"/>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137</xdr:row>
      <xdr:rowOff>171450</xdr:rowOff>
    </xdr:from>
    <xdr:to>
      <xdr:col>6</xdr:col>
      <xdr:colOff>409575</xdr:colOff>
      <xdr:row>138</xdr:row>
      <xdr:rowOff>0</xdr:rowOff>
    </xdr:to>
    <xdr:sp>
      <xdr:nvSpPr>
        <xdr:cNvPr id="83" name="Rectangle 105"/>
        <xdr:cNvSpPr>
          <a:spLocks/>
        </xdr:cNvSpPr>
      </xdr:nvSpPr>
      <xdr:spPr>
        <a:xfrm>
          <a:off x="6115050" y="22812375"/>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137</xdr:row>
      <xdr:rowOff>171450</xdr:rowOff>
    </xdr:from>
    <xdr:to>
      <xdr:col>6</xdr:col>
      <xdr:colOff>409575</xdr:colOff>
      <xdr:row>138</xdr:row>
      <xdr:rowOff>0</xdr:rowOff>
    </xdr:to>
    <xdr:sp>
      <xdr:nvSpPr>
        <xdr:cNvPr id="84" name="Rectangle 106"/>
        <xdr:cNvSpPr>
          <a:spLocks/>
        </xdr:cNvSpPr>
      </xdr:nvSpPr>
      <xdr:spPr>
        <a:xfrm>
          <a:off x="6115050" y="22812375"/>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137</xdr:row>
      <xdr:rowOff>171450</xdr:rowOff>
    </xdr:from>
    <xdr:to>
      <xdr:col>6</xdr:col>
      <xdr:colOff>409575</xdr:colOff>
      <xdr:row>138</xdr:row>
      <xdr:rowOff>0</xdr:rowOff>
    </xdr:to>
    <xdr:sp>
      <xdr:nvSpPr>
        <xdr:cNvPr id="85" name="Rectangle 107"/>
        <xdr:cNvSpPr>
          <a:spLocks/>
        </xdr:cNvSpPr>
      </xdr:nvSpPr>
      <xdr:spPr>
        <a:xfrm>
          <a:off x="6115050" y="22812375"/>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137</xdr:row>
      <xdr:rowOff>171450</xdr:rowOff>
    </xdr:from>
    <xdr:to>
      <xdr:col>6</xdr:col>
      <xdr:colOff>409575</xdr:colOff>
      <xdr:row>138</xdr:row>
      <xdr:rowOff>0</xdr:rowOff>
    </xdr:to>
    <xdr:sp>
      <xdr:nvSpPr>
        <xdr:cNvPr id="86" name="Rectangle 108"/>
        <xdr:cNvSpPr>
          <a:spLocks/>
        </xdr:cNvSpPr>
      </xdr:nvSpPr>
      <xdr:spPr>
        <a:xfrm>
          <a:off x="6115050" y="22812375"/>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137</xdr:row>
      <xdr:rowOff>171450</xdr:rowOff>
    </xdr:from>
    <xdr:to>
      <xdr:col>6</xdr:col>
      <xdr:colOff>409575</xdr:colOff>
      <xdr:row>138</xdr:row>
      <xdr:rowOff>0</xdr:rowOff>
    </xdr:to>
    <xdr:sp>
      <xdr:nvSpPr>
        <xdr:cNvPr id="87" name="Rectangle 109"/>
        <xdr:cNvSpPr>
          <a:spLocks/>
        </xdr:cNvSpPr>
      </xdr:nvSpPr>
      <xdr:spPr>
        <a:xfrm>
          <a:off x="6115050" y="22812375"/>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137</xdr:row>
      <xdr:rowOff>171450</xdr:rowOff>
    </xdr:from>
    <xdr:to>
      <xdr:col>6</xdr:col>
      <xdr:colOff>409575</xdr:colOff>
      <xdr:row>138</xdr:row>
      <xdr:rowOff>0</xdr:rowOff>
    </xdr:to>
    <xdr:sp>
      <xdr:nvSpPr>
        <xdr:cNvPr id="88" name="Rectangle 110"/>
        <xdr:cNvSpPr>
          <a:spLocks/>
        </xdr:cNvSpPr>
      </xdr:nvSpPr>
      <xdr:spPr>
        <a:xfrm>
          <a:off x="6115050" y="22812375"/>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137</xdr:row>
      <xdr:rowOff>171450</xdr:rowOff>
    </xdr:from>
    <xdr:to>
      <xdr:col>6</xdr:col>
      <xdr:colOff>409575</xdr:colOff>
      <xdr:row>138</xdr:row>
      <xdr:rowOff>0</xdr:rowOff>
    </xdr:to>
    <xdr:sp>
      <xdr:nvSpPr>
        <xdr:cNvPr id="89" name="Rectangle 111"/>
        <xdr:cNvSpPr>
          <a:spLocks/>
        </xdr:cNvSpPr>
      </xdr:nvSpPr>
      <xdr:spPr>
        <a:xfrm>
          <a:off x="6115050" y="22812375"/>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137</xdr:row>
      <xdr:rowOff>171450</xdr:rowOff>
    </xdr:from>
    <xdr:to>
      <xdr:col>6</xdr:col>
      <xdr:colOff>409575</xdr:colOff>
      <xdr:row>138</xdr:row>
      <xdr:rowOff>0</xdr:rowOff>
    </xdr:to>
    <xdr:sp>
      <xdr:nvSpPr>
        <xdr:cNvPr id="90" name="Rectangle 112"/>
        <xdr:cNvSpPr>
          <a:spLocks/>
        </xdr:cNvSpPr>
      </xdr:nvSpPr>
      <xdr:spPr>
        <a:xfrm>
          <a:off x="6115050" y="22812375"/>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137</xdr:row>
      <xdr:rowOff>171450</xdr:rowOff>
    </xdr:from>
    <xdr:to>
      <xdr:col>6</xdr:col>
      <xdr:colOff>409575</xdr:colOff>
      <xdr:row>138</xdr:row>
      <xdr:rowOff>0</xdr:rowOff>
    </xdr:to>
    <xdr:sp>
      <xdr:nvSpPr>
        <xdr:cNvPr id="91" name="Rectangle 113"/>
        <xdr:cNvSpPr>
          <a:spLocks/>
        </xdr:cNvSpPr>
      </xdr:nvSpPr>
      <xdr:spPr>
        <a:xfrm>
          <a:off x="6115050" y="22812375"/>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137</xdr:row>
      <xdr:rowOff>171450</xdr:rowOff>
    </xdr:from>
    <xdr:to>
      <xdr:col>6</xdr:col>
      <xdr:colOff>409575</xdr:colOff>
      <xdr:row>138</xdr:row>
      <xdr:rowOff>0</xdr:rowOff>
    </xdr:to>
    <xdr:sp>
      <xdr:nvSpPr>
        <xdr:cNvPr id="92" name="Rectangle 114"/>
        <xdr:cNvSpPr>
          <a:spLocks/>
        </xdr:cNvSpPr>
      </xdr:nvSpPr>
      <xdr:spPr>
        <a:xfrm>
          <a:off x="6115050" y="22812375"/>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136</xdr:row>
      <xdr:rowOff>66675</xdr:rowOff>
    </xdr:from>
    <xdr:to>
      <xdr:col>11</xdr:col>
      <xdr:colOff>161925</xdr:colOff>
      <xdr:row>138</xdr:row>
      <xdr:rowOff>38100</xdr:rowOff>
    </xdr:to>
    <xdr:pic>
      <xdr:nvPicPr>
        <xdr:cNvPr id="93" name="Picture 115"/>
        <xdr:cNvPicPr preferRelativeResize="1">
          <a:picLocks noChangeAspect="1"/>
        </xdr:cNvPicPr>
      </xdr:nvPicPr>
      <xdr:blipFill>
        <a:blip r:embed="rId1"/>
        <a:stretch>
          <a:fillRect/>
        </a:stretch>
      </xdr:blipFill>
      <xdr:spPr>
        <a:xfrm>
          <a:off x="9029700" y="22526625"/>
          <a:ext cx="676275" cy="333375"/>
        </a:xfrm>
        <a:prstGeom prst="rect">
          <a:avLst/>
        </a:prstGeom>
        <a:noFill/>
        <a:ln w="9525" cmpd="sng">
          <a:noFill/>
        </a:ln>
      </xdr:spPr>
    </xdr:pic>
    <xdr:clientData/>
  </xdr:twoCellAnchor>
  <xdr:twoCellAnchor>
    <xdr:from>
      <xdr:col>9</xdr:col>
      <xdr:colOff>0</xdr:colOff>
      <xdr:row>183</xdr:row>
      <xdr:rowOff>171450</xdr:rowOff>
    </xdr:from>
    <xdr:to>
      <xdr:col>9</xdr:col>
      <xdr:colOff>0</xdr:colOff>
      <xdr:row>184</xdr:row>
      <xdr:rowOff>0</xdr:rowOff>
    </xdr:to>
    <xdr:sp>
      <xdr:nvSpPr>
        <xdr:cNvPr id="94" name="Rectangle 116"/>
        <xdr:cNvSpPr>
          <a:spLocks/>
        </xdr:cNvSpPr>
      </xdr:nvSpPr>
      <xdr:spPr>
        <a:xfrm>
          <a:off x="8239125" y="30784800"/>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183</xdr:row>
      <xdr:rowOff>171450</xdr:rowOff>
    </xdr:from>
    <xdr:to>
      <xdr:col>9</xdr:col>
      <xdr:colOff>0</xdr:colOff>
      <xdr:row>184</xdr:row>
      <xdr:rowOff>0</xdr:rowOff>
    </xdr:to>
    <xdr:sp>
      <xdr:nvSpPr>
        <xdr:cNvPr id="95" name="Rectangle 117"/>
        <xdr:cNvSpPr>
          <a:spLocks/>
        </xdr:cNvSpPr>
      </xdr:nvSpPr>
      <xdr:spPr>
        <a:xfrm>
          <a:off x="8239125" y="30784800"/>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183</xdr:row>
      <xdr:rowOff>171450</xdr:rowOff>
    </xdr:from>
    <xdr:to>
      <xdr:col>9</xdr:col>
      <xdr:colOff>0</xdr:colOff>
      <xdr:row>184</xdr:row>
      <xdr:rowOff>0</xdr:rowOff>
    </xdr:to>
    <xdr:sp>
      <xdr:nvSpPr>
        <xdr:cNvPr id="96" name="Rectangle 118"/>
        <xdr:cNvSpPr>
          <a:spLocks/>
        </xdr:cNvSpPr>
      </xdr:nvSpPr>
      <xdr:spPr>
        <a:xfrm>
          <a:off x="8239125" y="30784800"/>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183</xdr:row>
      <xdr:rowOff>171450</xdr:rowOff>
    </xdr:from>
    <xdr:to>
      <xdr:col>9</xdr:col>
      <xdr:colOff>0</xdr:colOff>
      <xdr:row>184</xdr:row>
      <xdr:rowOff>0</xdr:rowOff>
    </xdr:to>
    <xdr:sp>
      <xdr:nvSpPr>
        <xdr:cNvPr id="97" name="Rectangle 119"/>
        <xdr:cNvSpPr>
          <a:spLocks/>
        </xdr:cNvSpPr>
      </xdr:nvSpPr>
      <xdr:spPr>
        <a:xfrm>
          <a:off x="8239125" y="30784800"/>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183</xdr:row>
      <xdr:rowOff>171450</xdr:rowOff>
    </xdr:from>
    <xdr:to>
      <xdr:col>9</xdr:col>
      <xdr:colOff>0</xdr:colOff>
      <xdr:row>184</xdr:row>
      <xdr:rowOff>0</xdr:rowOff>
    </xdr:to>
    <xdr:sp>
      <xdr:nvSpPr>
        <xdr:cNvPr id="98" name="Rectangle 120"/>
        <xdr:cNvSpPr>
          <a:spLocks/>
        </xdr:cNvSpPr>
      </xdr:nvSpPr>
      <xdr:spPr>
        <a:xfrm>
          <a:off x="8239125" y="30784800"/>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183</xdr:row>
      <xdr:rowOff>171450</xdr:rowOff>
    </xdr:from>
    <xdr:to>
      <xdr:col>9</xdr:col>
      <xdr:colOff>0</xdr:colOff>
      <xdr:row>184</xdr:row>
      <xdr:rowOff>0</xdr:rowOff>
    </xdr:to>
    <xdr:sp>
      <xdr:nvSpPr>
        <xdr:cNvPr id="99" name="Rectangle 121"/>
        <xdr:cNvSpPr>
          <a:spLocks/>
        </xdr:cNvSpPr>
      </xdr:nvSpPr>
      <xdr:spPr>
        <a:xfrm>
          <a:off x="8239125" y="30784800"/>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183</xdr:row>
      <xdr:rowOff>171450</xdr:rowOff>
    </xdr:from>
    <xdr:to>
      <xdr:col>9</xdr:col>
      <xdr:colOff>0</xdr:colOff>
      <xdr:row>184</xdr:row>
      <xdr:rowOff>0</xdr:rowOff>
    </xdr:to>
    <xdr:sp>
      <xdr:nvSpPr>
        <xdr:cNvPr id="100" name="Rectangle 122"/>
        <xdr:cNvSpPr>
          <a:spLocks/>
        </xdr:cNvSpPr>
      </xdr:nvSpPr>
      <xdr:spPr>
        <a:xfrm>
          <a:off x="8239125" y="30784800"/>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183</xdr:row>
      <xdr:rowOff>171450</xdr:rowOff>
    </xdr:from>
    <xdr:to>
      <xdr:col>9</xdr:col>
      <xdr:colOff>0</xdr:colOff>
      <xdr:row>184</xdr:row>
      <xdr:rowOff>0</xdr:rowOff>
    </xdr:to>
    <xdr:sp>
      <xdr:nvSpPr>
        <xdr:cNvPr id="101" name="Rectangle 123"/>
        <xdr:cNvSpPr>
          <a:spLocks/>
        </xdr:cNvSpPr>
      </xdr:nvSpPr>
      <xdr:spPr>
        <a:xfrm>
          <a:off x="8239125" y="30784800"/>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183</xdr:row>
      <xdr:rowOff>171450</xdr:rowOff>
    </xdr:from>
    <xdr:to>
      <xdr:col>6</xdr:col>
      <xdr:colOff>409575</xdr:colOff>
      <xdr:row>184</xdr:row>
      <xdr:rowOff>0</xdr:rowOff>
    </xdr:to>
    <xdr:sp>
      <xdr:nvSpPr>
        <xdr:cNvPr id="102" name="Rectangle 124"/>
        <xdr:cNvSpPr>
          <a:spLocks/>
        </xdr:cNvSpPr>
      </xdr:nvSpPr>
      <xdr:spPr>
        <a:xfrm>
          <a:off x="6115050" y="3078480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183</xdr:row>
      <xdr:rowOff>171450</xdr:rowOff>
    </xdr:from>
    <xdr:to>
      <xdr:col>6</xdr:col>
      <xdr:colOff>409575</xdr:colOff>
      <xdr:row>184</xdr:row>
      <xdr:rowOff>0</xdr:rowOff>
    </xdr:to>
    <xdr:sp>
      <xdr:nvSpPr>
        <xdr:cNvPr id="103" name="Rectangle 125"/>
        <xdr:cNvSpPr>
          <a:spLocks/>
        </xdr:cNvSpPr>
      </xdr:nvSpPr>
      <xdr:spPr>
        <a:xfrm>
          <a:off x="6115050" y="3078480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183</xdr:row>
      <xdr:rowOff>171450</xdr:rowOff>
    </xdr:from>
    <xdr:to>
      <xdr:col>6</xdr:col>
      <xdr:colOff>409575</xdr:colOff>
      <xdr:row>184</xdr:row>
      <xdr:rowOff>0</xdr:rowOff>
    </xdr:to>
    <xdr:sp>
      <xdr:nvSpPr>
        <xdr:cNvPr id="104" name="Rectangle 126"/>
        <xdr:cNvSpPr>
          <a:spLocks/>
        </xdr:cNvSpPr>
      </xdr:nvSpPr>
      <xdr:spPr>
        <a:xfrm>
          <a:off x="6115050" y="3078480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183</xdr:row>
      <xdr:rowOff>171450</xdr:rowOff>
    </xdr:from>
    <xdr:to>
      <xdr:col>6</xdr:col>
      <xdr:colOff>409575</xdr:colOff>
      <xdr:row>184</xdr:row>
      <xdr:rowOff>0</xdr:rowOff>
    </xdr:to>
    <xdr:sp>
      <xdr:nvSpPr>
        <xdr:cNvPr id="105" name="Rectangle 127"/>
        <xdr:cNvSpPr>
          <a:spLocks/>
        </xdr:cNvSpPr>
      </xdr:nvSpPr>
      <xdr:spPr>
        <a:xfrm>
          <a:off x="6115050" y="3078480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183</xdr:row>
      <xdr:rowOff>171450</xdr:rowOff>
    </xdr:from>
    <xdr:to>
      <xdr:col>6</xdr:col>
      <xdr:colOff>409575</xdr:colOff>
      <xdr:row>184</xdr:row>
      <xdr:rowOff>0</xdr:rowOff>
    </xdr:to>
    <xdr:sp>
      <xdr:nvSpPr>
        <xdr:cNvPr id="106" name="Rectangle 128"/>
        <xdr:cNvSpPr>
          <a:spLocks/>
        </xdr:cNvSpPr>
      </xdr:nvSpPr>
      <xdr:spPr>
        <a:xfrm>
          <a:off x="6115050" y="3078480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183</xdr:row>
      <xdr:rowOff>171450</xdr:rowOff>
    </xdr:from>
    <xdr:to>
      <xdr:col>6</xdr:col>
      <xdr:colOff>409575</xdr:colOff>
      <xdr:row>184</xdr:row>
      <xdr:rowOff>0</xdr:rowOff>
    </xdr:to>
    <xdr:sp>
      <xdr:nvSpPr>
        <xdr:cNvPr id="107" name="Rectangle 129"/>
        <xdr:cNvSpPr>
          <a:spLocks/>
        </xdr:cNvSpPr>
      </xdr:nvSpPr>
      <xdr:spPr>
        <a:xfrm>
          <a:off x="6115050" y="3078480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183</xdr:row>
      <xdr:rowOff>171450</xdr:rowOff>
    </xdr:from>
    <xdr:to>
      <xdr:col>6</xdr:col>
      <xdr:colOff>409575</xdr:colOff>
      <xdr:row>184</xdr:row>
      <xdr:rowOff>0</xdr:rowOff>
    </xdr:to>
    <xdr:sp>
      <xdr:nvSpPr>
        <xdr:cNvPr id="108" name="Rectangle 130"/>
        <xdr:cNvSpPr>
          <a:spLocks/>
        </xdr:cNvSpPr>
      </xdr:nvSpPr>
      <xdr:spPr>
        <a:xfrm>
          <a:off x="6115050" y="3078480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183</xdr:row>
      <xdr:rowOff>171450</xdr:rowOff>
    </xdr:from>
    <xdr:to>
      <xdr:col>6</xdr:col>
      <xdr:colOff>409575</xdr:colOff>
      <xdr:row>184</xdr:row>
      <xdr:rowOff>0</xdr:rowOff>
    </xdr:to>
    <xdr:sp>
      <xdr:nvSpPr>
        <xdr:cNvPr id="109" name="Rectangle 131"/>
        <xdr:cNvSpPr>
          <a:spLocks/>
        </xdr:cNvSpPr>
      </xdr:nvSpPr>
      <xdr:spPr>
        <a:xfrm>
          <a:off x="6115050" y="3078480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183</xdr:row>
      <xdr:rowOff>171450</xdr:rowOff>
    </xdr:from>
    <xdr:to>
      <xdr:col>6</xdr:col>
      <xdr:colOff>409575</xdr:colOff>
      <xdr:row>184</xdr:row>
      <xdr:rowOff>0</xdr:rowOff>
    </xdr:to>
    <xdr:sp>
      <xdr:nvSpPr>
        <xdr:cNvPr id="110" name="Rectangle 132"/>
        <xdr:cNvSpPr>
          <a:spLocks/>
        </xdr:cNvSpPr>
      </xdr:nvSpPr>
      <xdr:spPr>
        <a:xfrm>
          <a:off x="6115050" y="3078480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183</xdr:row>
      <xdr:rowOff>171450</xdr:rowOff>
    </xdr:from>
    <xdr:to>
      <xdr:col>6</xdr:col>
      <xdr:colOff>409575</xdr:colOff>
      <xdr:row>184</xdr:row>
      <xdr:rowOff>0</xdr:rowOff>
    </xdr:to>
    <xdr:sp>
      <xdr:nvSpPr>
        <xdr:cNvPr id="111" name="Rectangle 133"/>
        <xdr:cNvSpPr>
          <a:spLocks/>
        </xdr:cNvSpPr>
      </xdr:nvSpPr>
      <xdr:spPr>
        <a:xfrm>
          <a:off x="6115050" y="3078480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183</xdr:row>
      <xdr:rowOff>171450</xdr:rowOff>
    </xdr:from>
    <xdr:to>
      <xdr:col>6</xdr:col>
      <xdr:colOff>409575</xdr:colOff>
      <xdr:row>184</xdr:row>
      <xdr:rowOff>0</xdr:rowOff>
    </xdr:to>
    <xdr:sp>
      <xdr:nvSpPr>
        <xdr:cNvPr id="112" name="Rectangle 134"/>
        <xdr:cNvSpPr>
          <a:spLocks/>
        </xdr:cNvSpPr>
      </xdr:nvSpPr>
      <xdr:spPr>
        <a:xfrm>
          <a:off x="6115050" y="3078480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183</xdr:row>
      <xdr:rowOff>171450</xdr:rowOff>
    </xdr:from>
    <xdr:to>
      <xdr:col>6</xdr:col>
      <xdr:colOff>409575</xdr:colOff>
      <xdr:row>184</xdr:row>
      <xdr:rowOff>0</xdr:rowOff>
    </xdr:to>
    <xdr:sp>
      <xdr:nvSpPr>
        <xdr:cNvPr id="113" name="Rectangle 135"/>
        <xdr:cNvSpPr>
          <a:spLocks/>
        </xdr:cNvSpPr>
      </xdr:nvSpPr>
      <xdr:spPr>
        <a:xfrm>
          <a:off x="6115050" y="3078480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183</xdr:row>
      <xdr:rowOff>171450</xdr:rowOff>
    </xdr:from>
    <xdr:to>
      <xdr:col>6</xdr:col>
      <xdr:colOff>409575</xdr:colOff>
      <xdr:row>184</xdr:row>
      <xdr:rowOff>0</xdr:rowOff>
    </xdr:to>
    <xdr:sp>
      <xdr:nvSpPr>
        <xdr:cNvPr id="114" name="Rectangle 136"/>
        <xdr:cNvSpPr>
          <a:spLocks/>
        </xdr:cNvSpPr>
      </xdr:nvSpPr>
      <xdr:spPr>
        <a:xfrm>
          <a:off x="6115050" y="3078480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183</xdr:row>
      <xdr:rowOff>171450</xdr:rowOff>
    </xdr:from>
    <xdr:to>
      <xdr:col>6</xdr:col>
      <xdr:colOff>409575</xdr:colOff>
      <xdr:row>184</xdr:row>
      <xdr:rowOff>0</xdr:rowOff>
    </xdr:to>
    <xdr:sp>
      <xdr:nvSpPr>
        <xdr:cNvPr id="115" name="Rectangle 137"/>
        <xdr:cNvSpPr>
          <a:spLocks/>
        </xdr:cNvSpPr>
      </xdr:nvSpPr>
      <xdr:spPr>
        <a:xfrm>
          <a:off x="6115050" y="3078480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182</xdr:row>
      <xdr:rowOff>66675</xdr:rowOff>
    </xdr:from>
    <xdr:to>
      <xdr:col>11</xdr:col>
      <xdr:colOff>161925</xdr:colOff>
      <xdr:row>184</xdr:row>
      <xdr:rowOff>38100</xdr:rowOff>
    </xdr:to>
    <xdr:pic>
      <xdr:nvPicPr>
        <xdr:cNvPr id="116" name="Picture 138"/>
        <xdr:cNvPicPr preferRelativeResize="1">
          <a:picLocks noChangeAspect="1"/>
        </xdr:cNvPicPr>
      </xdr:nvPicPr>
      <xdr:blipFill>
        <a:blip r:embed="rId1"/>
        <a:stretch>
          <a:fillRect/>
        </a:stretch>
      </xdr:blipFill>
      <xdr:spPr>
        <a:xfrm>
          <a:off x="9029700" y="30499050"/>
          <a:ext cx="676275" cy="333375"/>
        </a:xfrm>
        <a:prstGeom prst="rect">
          <a:avLst/>
        </a:prstGeom>
        <a:noFill/>
        <a:ln w="9525" cmpd="sng">
          <a:noFill/>
        </a:ln>
      </xdr:spPr>
    </xdr:pic>
    <xdr:clientData/>
  </xdr:twoCellAnchor>
  <xdr:twoCellAnchor>
    <xdr:from>
      <xdr:col>9</xdr:col>
      <xdr:colOff>0</xdr:colOff>
      <xdr:row>225</xdr:row>
      <xdr:rowOff>171450</xdr:rowOff>
    </xdr:from>
    <xdr:to>
      <xdr:col>9</xdr:col>
      <xdr:colOff>0</xdr:colOff>
      <xdr:row>226</xdr:row>
      <xdr:rowOff>0</xdr:rowOff>
    </xdr:to>
    <xdr:sp>
      <xdr:nvSpPr>
        <xdr:cNvPr id="117" name="Rectangle 139"/>
        <xdr:cNvSpPr>
          <a:spLocks/>
        </xdr:cNvSpPr>
      </xdr:nvSpPr>
      <xdr:spPr>
        <a:xfrm>
          <a:off x="8239125" y="38385750"/>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225</xdr:row>
      <xdr:rowOff>171450</xdr:rowOff>
    </xdr:from>
    <xdr:to>
      <xdr:col>9</xdr:col>
      <xdr:colOff>0</xdr:colOff>
      <xdr:row>226</xdr:row>
      <xdr:rowOff>0</xdr:rowOff>
    </xdr:to>
    <xdr:sp>
      <xdr:nvSpPr>
        <xdr:cNvPr id="118" name="Rectangle 140"/>
        <xdr:cNvSpPr>
          <a:spLocks/>
        </xdr:cNvSpPr>
      </xdr:nvSpPr>
      <xdr:spPr>
        <a:xfrm>
          <a:off x="8239125" y="38385750"/>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225</xdr:row>
      <xdr:rowOff>171450</xdr:rowOff>
    </xdr:from>
    <xdr:to>
      <xdr:col>9</xdr:col>
      <xdr:colOff>0</xdr:colOff>
      <xdr:row>226</xdr:row>
      <xdr:rowOff>0</xdr:rowOff>
    </xdr:to>
    <xdr:sp>
      <xdr:nvSpPr>
        <xdr:cNvPr id="119" name="Rectangle 141"/>
        <xdr:cNvSpPr>
          <a:spLocks/>
        </xdr:cNvSpPr>
      </xdr:nvSpPr>
      <xdr:spPr>
        <a:xfrm>
          <a:off x="8239125" y="38385750"/>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225</xdr:row>
      <xdr:rowOff>171450</xdr:rowOff>
    </xdr:from>
    <xdr:to>
      <xdr:col>9</xdr:col>
      <xdr:colOff>0</xdr:colOff>
      <xdr:row>226</xdr:row>
      <xdr:rowOff>0</xdr:rowOff>
    </xdr:to>
    <xdr:sp>
      <xdr:nvSpPr>
        <xdr:cNvPr id="120" name="Rectangle 142"/>
        <xdr:cNvSpPr>
          <a:spLocks/>
        </xdr:cNvSpPr>
      </xdr:nvSpPr>
      <xdr:spPr>
        <a:xfrm>
          <a:off x="8239125" y="38385750"/>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225</xdr:row>
      <xdr:rowOff>171450</xdr:rowOff>
    </xdr:from>
    <xdr:to>
      <xdr:col>9</xdr:col>
      <xdr:colOff>0</xdr:colOff>
      <xdr:row>226</xdr:row>
      <xdr:rowOff>0</xdr:rowOff>
    </xdr:to>
    <xdr:sp>
      <xdr:nvSpPr>
        <xdr:cNvPr id="121" name="Rectangle 143"/>
        <xdr:cNvSpPr>
          <a:spLocks/>
        </xdr:cNvSpPr>
      </xdr:nvSpPr>
      <xdr:spPr>
        <a:xfrm>
          <a:off x="8239125" y="38385750"/>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225</xdr:row>
      <xdr:rowOff>171450</xdr:rowOff>
    </xdr:from>
    <xdr:to>
      <xdr:col>9</xdr:col>
      <xdr:colOff>0</xdr:colOff>
      <xdr:row>226</xdr:row>
      <xdr:rowOff>0</xdr:rowOff>
    </xdr:to>
    <xdr:sp>
      <xdr:nvSpPr>
        <xdr:cNvPr id="122" name="Rectangle 144"/>
        <xdr:cNvSpPr>
          <a:spLocks/>
        </xdr:cNvSpPr>
      </xdr:nvSpPr>
      <xdr:spPr>
        <a:xfrm>
          <a:off x="8239125" y="38385750"/>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225</xdr:row>
      <xdr:rowOff>171450</xdr:rowOff>
    </xdr:from>
    <xdr:to>
      <xdr:col>9</xdr:col>
      <xdr:colOff>0</xdr:colOff>
      <xdr:row>226</xdr:row>
      <xdr:rowOff>0</xdr:rowOff>
    </xdr:to>
    <xdr:sp>
      <xdr:nvSpPr>
        <xdr:cNvPr id="123" name="Rectangle 145"/>
        <xdr:cNvSpPr>
          <a:spLocks/>
        </xdr:cNvSpPr>
      </xdr:nvSpPr>
      <xdr:spPr>
        <a:xfrm>
          <a:off x="8239125" y="38385750"/>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225</xdr:row>
      <xdr:rowOff>171450</xdr:rowOff>
    </xdr:from>
    <xdr:to>
      <xdr:col>9</xdr:col>
      <xdr:colOff>0</xdr:colOff>
      <xdr:row>226</xdr:row>
      <xdr:rowOff>0</xdr:rowOff>
    </xdr:to>
    <xdr:sp>
      <xdr:nvSpPr>
        <xdr:cNvPr id="124" name="Rectangle 146"/>
        <xdr:cNvSpPr>
          <a:spLocks/>
        </xdr:cNvSpPr>
      </xdr:nvSpPr>
      <xdr:spPr>
        <a:xfrm>
          <a:off x="8239125" y="38385750"/>
          <a:ext cx="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225</xdr:row>
      <xdr:rowOff>171450</xdr:rowOff>
    </xdr:from>
    <xdr:to>
      <xdr:col>6</xdr:col>
      <xdr:colOff>409575</xdr:colOff>
      <xdr:row>226</xdr:row>
      <xdr:rowOff>0</xdr:rowOff>
    </xdr:to>
    <xdr:sp>
      <xdr:nvSpPr>
        <xdr:cNvPr id="125" name="Rectangle 147"/>
        <xdr:cNvSpPr>
          <a:spLocks/>
        </xdr:cNvSpPr>
      </xdr:nvSpPr>
      <xdr:spPr>
        <a:xfrm>
          <a:off x="6115050" y="3838575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225</xdr:row>
      <xdr:rowOff>171450</xdr:rowOff>
    </xdr:from>
    <xdr:to>
      <xdr:col>6</xdr:col>
      <xdr:colOff>409575</xdr:colOff>
      <xdr:row>226</xdr:row>
      <xdr:rowOff>0</xdr:rowOff>
    </xdr:to>
    <xdr:sp>
      <xdr:nvSpPr>
        <xdr:cNvPr id="126" name="Rectangle 148"/>
        <xdr:cNvSpPr>
          <a:spLocks/>
        </xdr:cNvSpPr>
      </xdr:nvSpPr>
      <xdr:spPr>
        <a:xfrm>
          <a:off x="6115050" y="3838575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225</xdr:row>
      <xdr:rowOff>171450</xdr:rowOff>
    </xdr:from>
    <xdr:to>
      <xdr:col>6</xdr:col>
      <xdr:colOff>409575</xdr:colOff>
      <xdr:row>226</xdr:row>
      <xdr:rowOff>0</xdr:rowOff>
    </xdr:to>
    <xdr:sp>
      <xdr:nvSpPr>
        <xdr:cNvPr id="127" name="Rectangle 149"/>
        <xdr:cNvSpPr>
          <a:spLocks/>
        </xdr:cNvSpPr>
      </xdr:nvSpPr>
      <xdr:spPr>
        <a:xfrm>
          <a:off x="6115050" y="3838575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225</xdr:row>
      <xdr:rowOff>171450</xdr:rowOff>
    </xdr:from>
    <xdr:to>
      <xdr:col>6</xdr:col>
      <xdr:colOff>409575</xdr:colOff>
      <xdr:row>226</xdr:row>
      <xdr:rowOff>0</xdr:rowOff>
    </xdr:to>
    <xdr:sp>
      <xdr:nvSpPr>
        <xdr:cNvPr id="128" name="Rectangle 150"/>
        <xdr:cNvSpPr>
          <a:spLocks/>
        </xdr:cNvSpPr>
      </xdr:nvSpPr>
      <xdr:spPr>
        <a:xfrm>
          <a:off x="6115050" y="3838575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225</xdr:row>
      <xdr:rowOff>171450</xdr:rowOff>
    </xdr:from>
    <xdr:to>
      <xdr:col>6</xdr:col>
      <xdr:colOff>409575</xdr:colOff>
      <xdr:row>226</xdr:row>
      <xdr:rowOff>0</xdr:rowOff>
    </xdr:to>
    <xdr:sp>
      <xdr:nvSpPr>
        <xdr:cNvPr id="129" name="Rectangle 151"/>
        <xdr:cNvSpPr>
          <a:spLocks/>
        </xdr:cNvSpPr>
      </xdr:nvSpPr>
      <xdr:spPr>
        <a:xfrm>
          <a:off x="6115050" y="3838575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225</xdr:row>
      <xdr:rowOff>171450</xdr:rowOff>
    </xdr:from>
    <xdr:to>
      <xdr:col>6</xdr:col>
      <xdr:colOff>409575</xdr:colOff>
      <xdr:row>226</xdr:row>
      <xdr:rowOff>0</xdr:rowOff>
    </xdr:to>
    <xdr:sp>
      <xdr:nvSpPr>
        <xdr:cNvPr id="130" name="Rectangle 152"/>
        <xdr:cNvSpPr>
          <a:spLocks/>
        </xdr:cNvSpPr>
      </xdr:nvSpPr>
      <xdr:spPr>
        <a:xfrm>
          <a:off x="6115050" y="3838575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225</xdr:row>
      <xdr:rowOff>171450</xdr:rowOff>
    </xdr:from>
    <xdr:to>
      <xdr:col>6</xdr:col>
      <xdr:colOff>409575</xdr:colOff>
      <xdr:row>226</xdr:row>
      <xdr:rowOff>0</xdr:rowOff>
    </xdr:to>
    <xdr:sp>
      <xdr:nvSpPr>
        <xdr:cNvPr id="131" name="Rectangle 153"/>
        <xdr:cNvSpPr>
          <a:spLocks/>
        </xdr:cNvSpPr>
      </xdr:nvSpPr>
      <xdr:spPr>
        <a:xfrm>
          <a:off x="6115050" y="3838575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225</xdr:row>
      <xdr:rowOff>171450</xdr:rowOff>
    </xdr:from>
    <xdr:to>
      <xdr:col>6</xdr:col>
      <xdr:colOff>409575</xdr:colOff>
      <xdr:row>226</xdr:row>
      <xdr:rowOff>0</xdr:rowOff>
    </xdr:to>
    <xdr:sp>
      <xdr:nvSpPr>
        <xdr:cNvPr id="132" name="Rectangle 154"/>
        <xdr:cNvSpPr>
          <a:spLocks/>
        </xdr:cNvSpPr>
      </xdr:nvSpPr>
      <xdr:spPr>
        <a:xfrm>
          <a:off x="6115050" y="3838575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225</xdr:row>
      <xdr:rowOff>171450</xdr:rowOff>
    </xdr:from>
    <xdr:to>
      <xdr:col>6</xdr:col>
      <xdr:colOff>409575</xdr:colOff>
      <xdr:row>226</xdr:row>
      <xdr:rowOff>0</xdr:rowOff>
    </xdr:to>
    <xdr:sp>
      <xdr:nvSpPr>
        <xdr:cNvPr id="133" name="Rectangle 155"/>
        <xdr:cNvSpPr>
          <a:spLocks/>
        </xdr:cNvSpPr>
      </xdr:nvSpPr>
      <xdr:spPr>
        <a:xfrm>
          <a:off x="6115050" y="3838575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225</xdr:row>
      <xdr:rowOff>171450</xdr:rowOff>
    </xdr:from>
    <xdr:to>
      <xdr:col>6</xdr:col>
      <xdr:colOff>409575</xdr:colOff>
      <xdr:row>226</xdr:row>
      <xdr:rowOff>0</xdr:rowOff>
    </xdr:to>
    <xdr:sp>
      <xdr:nvSpPr>
        <xdr:cNvPr id="134" name="Rectangle 156"/>
        <xdr:cNvSpPr>
          <a:spLocks/>
        </xdr:cNvSpPr>
      </xdr:nvSpPr>
      <xdr:spPr>
        <a:xfrm>
          <a:off x="6115050" y="3838575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225</xdr:row>
      <xdr:rowOff>171450</xdr:rowOff>
    </xdr:from>
    <xdr:to>
      <xdr:col>6</xdr:col>
      <xdr:colOff>409575</xdr:colOff>
      <xdr:row>226</xdr:row>
      <xdr:rowOff>0</xdr:rowOff>
    </xdr:to>
    <xdr:sp>
      <xdr:nvSpPr>
        <xdr:cNvPr id="135" name="Rectangle 157"/>
        <xdr:cNvSpPr>
          <a:spLocks/>
        </xdr:cNvSpPr>
      </xdr:nvSpPr>
      <xdr:spPr>
        <a:xfrm>
          <a:off x="6115050" y="3838575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225</xdr:row>
      <xdr:rowOff>171450</xdr:rowOff>
    </xdr:from>
    <xdr:to>
      <xdr:col>6</xdr:col>
      <xdr:colOff>409575</xdr:colOff>
      <xdr:row>226</xdr:row>
      <xdr:rowOff>0</xdr:rowOff>
    </xdr:to>
    <xdr:sp>
      <xdr:nvSpPr>
        <xdr:cNvPr id="136" name="Rectangle 158"/>
        <xdr:cNvSpPr>
          <a:spLocks/>
        </xdr:cNvSpPr>
      </xdr:nvSpPr>
      <xdr:spPr>
        <a:xfrm>
          <a:off x="6115050" y="3838575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225</xdr:row>
      <xdr:rowOff>171450</xdr:rowOff>
    </xdr:from>
    <xdr:to>
      <xdr:col>6</xdr:col>
      <xdr:colOff>409575</xdr:colOff>
      <xdr:row>226</xdr:row>
      <xdr:rowOff>0</xdr:rowOff>
    </xdr:to>
    <xdr:sp>
      <xdr:nvSpPr>
        <xdr:cNvPr id="137" name="Rectangle 159"/>
        <xdr:cNvSpPr>
          <a:spLocks/>
        </xdr:cNvSpPr>
      </xdr:nvSpPr>
      <xdr:spPr>
        <a:xfrm>
          <a:off x="6115050" y="3838575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225</xdr:row>
      <xdr:rowOff>171450</xdr:rowOff>
    </xdr:from>
    <xdr:to>
      <xdr:col>6</xdr:col>
      <xdr:colOff>409575</xdr:colOff>
      <xdr:row>226</xdr:row>
      <xdr:rowOff>0</xdr:rowOff>
    </xdr:to>
    <xdr:sp>
      <xdr:nvSpPr>
        <xdr:cNvPr id="138" name="Rectangle 160"/>
        <xdr:cNvSpPr>
          <a:spLocks/>
        </xdr:cNvSpPr>
      </xdr:nvSpPr>
      <xdr:spPr>
        <a:xfrm>
          <a:off x="6115050" y="38385750"/>
          <a:ext cx="4095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224</xdr:row>
      <xdr:rowOff>66675</xdr:rowOff>
    </xdr:from>
    <xdr:to>
      <xdr:col>11</xdr:col>
      <xdr:colOff>161925</xdr:colOff>
      <xdr:row>226</xdr:row>
      <xdr:rowOff>38100</xdr:rowOff>
    </xdr:to>
    <xdr:pic>
      <xdr:nvPicPr>
        <xdr:cNvPr id="139" name="Picture 161"/>
        <xdr:cNvPicPr preferRelativeResize="1">
          <a:picLocks noChangeAspect="1"/>
        </xdr:cNvPicPr>
      </xdr:nvPicPr>
      <xdr:blipFill>
        <a:blip r:embed="rId1"/>
        <a:stretch>
          <a:fillRect/>
        </a:stretch>
      </xdr:blipFill>
      <xdr:spPr>
        <a:xfrm>
          <a:off x="9029700" y="38100000"/>
          <a:ext cx="676275" cy="3333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xdr:row>
      <xdr:rowOff>171450</xdr:rowOff>
    </xdr:from>
    <xdr:to>
      <xdr:col>12</xdr:col>
      <xdr:colOff>0</xdr:colOff>
      <xdr:row>2</xdr:row>
      <xdr:rowOff>0</xdr:rowOff>
    </xdr:to>
    <xdr:sp>
      <xdr:nvSpPr>
        <xdr:cNvPr id="1" name="Rectangle 1"/>
        <xdr:cNvSpPr>
          <a:spLocks/>
        </xdr:cNvSpPr>
      </xdr:nvSpPr>
      <xdr:spPr>
        <a:xfrm>
          <a:off x="105537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xdr:row>
      <xdr:rowOff>171450</xdr:rowOff>
    </xdr:from>
    <xdr:to>
      <xdr:col>12</xdr:col>
      <xdr:colOff>0</xdr:colOff>
      <xdr:row>2</xdr:row>
      <xdr:rowOff>0</xdr:rowOff>
    </xdr:to>
    <xdr:sp>
      <xdr:nvSpPr>
        <xdr:cNvPr id="2" name="Rectangle 2"/>
        <xdr:cNvSpPr>
          <a:spLocks/>
        </xdr:cNvSpPr>
      </xdr:nvSpPr>
      <xdr:spPr>
        <a:xfrm>
          <a:off x="105537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xdr:row>
      <xdr:rowOff>171450</xdr:rowOff>
    </xdr:from>
    <xdr:to>
      <xdr:col>12</xdr:col>
      <xdr:colOff>0</xdr:colOff>
      <xdr:row>2</xdr:row>
      <xdr:rowOff>0</xdr:rowOff>
    </xdr:to>
    <xdr:sp>
      <xdr:nvSpPr>
        <xdr:cNvPr id="3" name="Rectangle 3"/>
        <xdr:cNvSpPr>
          <a:spLocks/>
        </xdr:cNvSpPr>
      </xdr:nvSpPr>
      <xdr:spPr>
        <a:xfrm>
          <a:off x="105537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xdr:row>
      <xdr:rowOff>171450</xdr:rowOff>
    </xdr:from>
    <xdr:to>
      <xdr:col>12</xdr:col>
      <xdr:colOff>0</xdr:colOff>
      <xdr:row>2</xdr:row>
      <xdr:rowOff>0</xdr:rowOff>
    </xdr:to>
    <xdr:sp>
      <xdr:nvSpPr>
        <xdr:cNvPr id="4" name="Rectangle 4"/>
        <xdr:cNvSpPr>
          <a:spLocks/>
        </xdr:cNvSpPr>
      </xdr:nvSpPr>
      <xdr:spPr>
        <a:xfrm>
          <a:off x="105537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xdr:row>
      <xdr:rowOff>171450</xdr:rowOff>
    </xdr:from>
    <xdr:to>
      <xdr:col>12</xdr:col>
      <xdr:colOff>0</xdr:colOff>
      <xdr:row>2</xdr:row>
      <xdr:rowOff>0</xdr:rowOff>
    </xdr:to>
    <xdr:sp>
      <xdr:nvSpPr>
        <xdr:cNvPr id="5" name="Rectangle 5"/>
        <xdr:cNvSpPr>
          <a:spLocks/>
        </xdr:cNvSpPr>
      </xdr:nvSpPr>
      <xdr:spPr>
        <a:xfrm>
          <a:off x="105537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xdr:row>
      <xdr:rowOff>171450</xdr:rowOff>
    </xdr:from>
    <xdr:to>
      <xdr:col>12</xdr:col>
      <xdr:colOff>0</xdr:colOff>
      <xdr:row>2</xdr:row>
      <xdr:rowOff>0</xdr:rowOff>
    </xdr:to>
    <xdr:sp>
      <xdr:nvSpPr>
        <xdr:cNvPr id="6" name="Rectangle 6"/>
        <xdr:cNvSpPr>
          <a:spLocks/>
        </xdr:cNvSpPr>
      </xdr:nvSpPr>
      <xdr:spPr>
        <a:xfrm>
          <a:off x="105537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xdr:row>
      <xdr:rowOff>171450</xdr:rowOff>
    </xdr:from>
    <xdr:to>
      <xdr:col>12</xdr:col>
      <xdr:colOff>0</xdr:colOff>
      <xdr:row>2</xdr:row>
      <xdr:rowOff>0</xdr:rowOff>
    </xdr:to>
    <xdr:sp>
      <xdr:nvSpPr>
        <xdr:cNvPr id="7" name="Rectangle 7"/>
        <xdr:cNvSpPr>
          <a:spLocks/>
        </xdr:cNvSpPr>
      </xdr:nvSpPr>
      <xdr:spPr>
        <a:xfrm>
          <a:off x="105537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xdr:row>
      <xdr:rowOff>171450</xdr:rowOff>
    </xdr:from>
    <xdr:to>
      <xdr:col>12</xdr:col>
      <xdr:colOff>0</xdr:colOff>
      <xdr:row>2</xdr:row>
      <xdr:rowOff>0</xdr:rowOff>
    </xdr:to>
    <xdr:sp>
      <xdr:nvSpPr>
        <xdr:cNvPr id="8" name="Rectangle 8"/>
        <xdr:cNvSpPr>
          <a:spLocks/>
        </xdr:cNvSpPr>
      </xdr:nvSpPr>
      <xdr:spPr>
        <a:xfrm>
          <a:off x="105537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xdr:row>
      <xdr:rowOff>171450</xdr:rowOff>
    </xdr:from>
    <xdr:to>
      <xdr:col>12</xdr:col>
      <xdr:colOff>409575</xdr:colOff>
      <xdr:row>2</xdr:row>
      <xdr:rowOff>0</xdr:rowOff>
    </xdr:to>
    <xdr:sp>
      <xdr:nvSpPr>
        <xdr:cNvPr id="9" name="Rectangle 9"/>
        <xdr:cNvSpPr>
          <a:spLocks/>
        </xdr:cNvSpPr>
      </xdr:nvSpPr>
      <xdr:spPr>
        <a:xfrm>
          <a:off x="105537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xdr:row>
      <xdr:rowOff>171450</xdr:rowOff>
    </xdr:from>
    <xdr:to>
      <xdr:col>12</xdr:col>
      <xdr:colOff>409575</xdr:colOff>
      <xdr:row>2</xdr:row>
      <xdr:rowOff>0</xdr:rowOff>
    </xdr:to>
    <xdr:sp>
      <xdr:nvSpPr>
        <xdr:cNvPr id="10" name="Rectangle 10"/>
        <xdr:cNvSpPr>
          <a:spLocks/>
        </xdr:cNvSpPr>
      </xdr:nvSpPr>
      <xdr:spPr>
        <a:xfrm>
          <a:off x="105537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xdr:row>
      <xdr:rowOff>171450</xdr:rowOff>
    </xdr:from>
    <xdr:to>
      <xdr:col>12</xdr:col>
      <xdr:colOff>409575</xdr:colOff>
      <xdr:row>2</xdr:row>
      <xdr:rowOff>0</xdr:rowOff>
    </xdr:to>
    <xdr:sp>
      <xdr:nvSpPr>
        <xdr:cNvPr id="11" name="Rectangle 11"/>
        <xdr:cNvSpPr>
          <a:spLocks/>
        </xdr:cNvSpPr>
      </xdr:nvSpPr>
      <xdr:spPr>
        <a:xfrm>
          <a:off x="105537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xdr:row>
      <xdr:rowOff>171450</xdr:rowOff>
    </xdr:from>
    <xdr:to>
      <xdr:col>12</xdr:col>
      <xdr:colOff>409575</xdr:colOff>
      <xdr:row>2</xdr:row>
      <xdr:rowOff>0</xdr:rowOff>
    </xdr:to>
    <xdr:sp>
      <xdr:nvSpPr>
        <xdr:cNvPr id="12" name="Rectangle 12"/>
        <xdr:cNvSpPr>
          <a:spLocks/>
        </xdr:cNvSpPr>
      </xdr:nvSpPr>
      <xdr:spPr>
        <a:xfrm>
          <a:off x="105537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xdr:row>
      <xdr:rowOff>171450</xdr:rowOff>
    </xdr:from>
    <xdr:to>
      <xdr:col>12</xdr:col>
      <xdr:colOff>409575</xdr:colOff>
      <xdr:row>2</xdr:row>
      <xdr:rowOff>0</xdr:rowOff>
    </xdr:to>
    <xdr:sp>
      <xdr:nvSpPr>
        <xdr:cNvPr id="13" name="Rectangle 13"/>
        <xdr:cNvSpPr>
          <a:spLocks/>
        </xdr:cNvSpPr>
      </xdr:nvSpPr>
      <xdr:spPr>
        <a:xfrm>
          <a:off x="105537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xdr:row>
      <xdr:rowOff>171450</xdr:rowOff>
    </xdr:from>
    <xdr:to>
      <xdr:col>12</xdr:col>
      <xdr:colOff>409575</xdr:colOff>
      <xdr:row>2</xdr:row>
      <xdr:rowOff>0</xdr:rowOff>
    </xdr:to>
    <xdr:sp>
      <xdr:nvSpPr>
        <xdr:cNvPr id="14" name="Rectangle 14"/>
        <xdr:cNvSpPr>
          <a:spLocks/>
        </xdr:cNvSpPr>
      </xdr:nvSpPr>
      <xdr:spPr>
        <a:xfrm>
          <a:off x="105537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xdr:row>
      <xdr:rowOff>171450</xdr:rowOff>
    </xdr:from>
    <xdr:to>
      <xdr:col>12</xdr:col>
      <xdr:colOff>409575</xdr:colOff>
      <xdr:row>2</xdr:row>
      <xdr:rowOff>0</xdr:rowOff>
    </xdr:to>
    <xdr:sp>
      <xdr:nvSpPr>
        <xdr:cNvPr id="15" name="Rectangle 15"/>
        <xdr:cNvSpPr>
          <a:spLocks/>
        </xdr:cNvSpPr>
      </xdr:nvSpPr>
      <xdr:spPr>
        <a:xfrm>
          <a:off x="105537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xdr:row>
      <xdr:rowOff>171450</xdr:rowOff>
    </xdr:from>
    <xdr:to>
      <xdr:col>12</xdr:col>
      <xdr:colOff>409575</xdr:colOff>
      <xdr:row>2</xdr:row>
      <xdr:rowOff>0</xdr:rowOff>
    </xdr:to>
    <xdr:sp>
      <xdr:nvSpPr>
        <xdr:cNvPr id="16" name="Rectangle 16"/>
        <xdr:cNvSpPr>
          <a:spLocks/>
        </xdr:cNvSpPr>
      </xdr:nvSpPr>
      <xdr:spPr>
        <a:xfrm>
          <a:off x="105537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xdr:row>
      <xdr:rowOff>171450</xdr:rowOff>
    </xdr:from>
    <xdr:to>
      <xdr:col>12</xdr:col>
      <xdr:colOff>409575</xdr:colOff>
      <xdr:row>2</xdr:row>
      <xdr:rowOff>0</xdr:rowOff>
    </xdr:to>
    <xdr:sp>
      <xdr:nvSpPr>
        <xdr:cNvPr id="17" name="Rectangle 17"/>
        <xdr:cNvSpPr>
          <a:spLocks/>
        </xdr:cNvSpPr>
      </xdr:nvSpPr>
      <xdr:spPr>
        <a:xfrm>
          <a:off x="105537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xdr:row>
      <xdr:rowOff>171450</xdr:rowOff>
    </xdr:from>
    <xdr:to>
      <xdr:col>12</xdr:col>
      <xdr:colOff>409575</xdr:colOff>
      <xdr:row>2</xdr:row>
      <xdr:rowOff>0</xdr:rowOff>
    </xdr:to>
    <xdr:sp>
      <xdr:nvSpPr>
        <xdr:cNvPr id="18" name="Rectangle 18"/>
        <xdr:cNvSpPr>
          <a:spLocks/>
        </xdr:cNvSpPr>
      </xdr:nvSpPr>
      <xdr:spPr>
        <a:xfrm>
          <a:off x="105537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xdr:row>
      <xdr:rowOff>171450</xdr:rowOff>
    </xdr:from>
    <xdr:to>
      <xdr:col>12</xdr:col>
      <xdr:colOff>409575</xdr:colOff>
      <xdr:row>2</xdr:row>
      <xdr:rowOff>0</xdr:rowOff>
    </xdr:to>
    <xdr:sp>
      <xdr:nvSpPr>
        <xdr:cNvPr id="19" name="Rectangle 19"/>
        <xdr:cNvSpPr>
          <a:spLocks/>
        </xdr:cNvSpPr>
      </xdr:nvSpPr>
      <xdr:spPr>
        <a:xfrm>
          <a:off x="105537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xdr:row>
      <xdr:rowOff>171450</xdr:rowOff>
    </xdr:from>
    <xdr:to>
      <xdr:col>12</xdr:col>
      <xdr:colOff>409575</xdr:colOff>
      <xdr:row>2</xdr:row>
      <xdr:rowOff>0</xdr:rowOff>
    </xdr:to>
    <xdr:sp>
      <xdr:nvSpPr>
        <xdr:cNvPr id="20" name="Rectangle 20"/>
        <xdr:cNvSpPr>
          <a:spLocks/>
        </xdr:cNvSpPr>
      </xdr:nvSpPr>
      <xdr:spPr>
        <a:xfrm>
          <a:off x="105537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xdr:row>
      <xdr:rowOff>171450</xdr:rowOff>
    </xdr:from>
    <xdr:to>
      <xdr:col>12</xdr:col>
      <xdr:colOff>409575</xdr:colOff>
      <xdr:row>2</xdr:row>
      <xdr:rowOff>0</xdr:rowOff>
    </xdr:to>
    <xdr:sp>
      <xdr:nvSpPr>
        <xdr:cNvPr id="21" name="Rectangle 21"/>
        <xdr:cNvSpPr>
          <a:spLocks/>
        </xdr:cNvSpPr>
      </xdr:nvSpPr>
      <xdr:spPr>
        <a:xfrm>
          <a:off x="105537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xdr:row>
      <xdr:rowOff>171450</xdr:rowOff>
    </xdr:from>
    <xdr:to>
      <xdr:col>12</xdr:col>
      <xdr:colOff>409575</xdr:colOff>
      <xdr:row>2</xdr:row>
      <xdr:rowOff>0</xdr:rowOff>
    </xdr:to>
    <xdr:sp>
      <xdr:nvSpPr>
        <xdr:cNvPr id="22" name="Rectangle 22"/>
        <xdr:cNvSpPr>
          <a:spLocks/>
        </xdr:cNvSpPr>
      </xdr:nvSpPr>
      <xdr:spPr>
        <a:xfrm>
          <a:off x="1055370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190500</xdr:colOff>
      <xdr:row>0</xdr:row>
      <xdr:rowOff>114300</xdr:rowOff>
    </xdr:from>
    <xdr:to>
      <xdr:col>9</xdr:col>
      <xdr:colOff>609600</xdr:colOff>
      <xdr:row>2</xdr:row>
      <xdr:rowOff>85725</xdr:rowOff>
    </xdr:to>
    <xdr:pic>
      <xdr:nvPicPr>
        <xdr:cNvPr id="23" name="Picture 23"/>
        <xdr:cNvPicPr preferRelativeResize="1">
          <a:picLocks noChangeAspect="1"/>
        </xdr:cNvPicPr>
      </xdr:nvPicPr>
      <xdr:blipFill>
        <a:blip r:embed="rId1"/>
        <a:stretch>
          <a:fillRect/>
        </a:stretch>
      </xdr:blipFill>
      <xdr:spPr>
        <a:xfrm>
          <a:off x="10553700" y="114300"/>
          <a:ext cx="0" cy="323850"/>
        </a:xfrm>
        <a:prstGeom prst="rect">
          <a:avLst/>
        </a:prstGeom>
        <a:noFill/>
        <a:ln w="9525" cmpd="sng">
          <a:noFill/>
        </a:ln>
      </xdr:spPr>
    </xdr:pic>
    <xdr:clientData/>
  </xdr:twoCellAnchor>
  <xdr:twoCellAnchor>
    <xdr:from>
      <xdr:col>16</xdr:col>
      <xdr:colOff>95250</xdr:colOff>
      <xdr:row>65533</xdr:row>
      <xdr:rowOff>0</xdr:rowOff>
    </xdr:from>
    <xdr:to>
      <xdr:col>17</xdr:col>
      <xdr:colOff>257175</xdr:colOff>
      <xdr:row>65533</xdr:row>
      <xdr:rowOff>0</xdr:rowOff>
    </xdr:to>
    <xdr:pic>
      <xdr:nvPicPr>
        <xdr:cNvPr id="24" name="Picture 26"/>
        <xdr:cNvPicPr preferRelativeResize="1">
          <a:picLocks noChangeAspect="1"/>
        </xdr:cNvPicPr>
      </xdr:nvPicPr>
      <xdr:blipFill>
        <a:blip r:embed="rId1"/>
        <a:stretch>
          <a:fillRect/>
        </a:stretch>
      </xdr:blipFill>
      <xdr:spPr>
        <a:xfrm>
          <a:off x="10553700" y="8001000"/>
          <a:ext cx="0" cy="0"/>
        </a:xfrm>
        <a:prstGeom prst="rect">
          <a:avLst/>
        </a:prstGeom>
        <a:noFill/>
        <a:ln w="9525" cmpd="sng">
          <a:noFill/>
        </a:ln>
      </xdr:spPr>
    </xdr:pic>
    <xdr:clientData/>
  </xdr:twoCellAnchor>
  <xdr:twoCellAnchor>
    <xdr:from>
      <xdr:col>5</xdr:col>
      <xdr:colOff>733425</xdr:colOff>
      <xdr:row>0</xdr:row>
      <xdr:rowOff>152400</xdr:rowOff>
    </xdr:from>
    <xdr:to>
      <xdr:col>6</xdr:col>
      <xdr:colOff>457200</xdr:colOff>
      <xdr:row>3</xdr:row>
      <xdr:rowOff>47625</xdr:rowOff>
    </xdr:to>
    <xdr:pic>
      <xdr:nvPicPr>
        <xdr:cNvPr id="25" name="Picture 27"/>
        <xdr:cNvPicPr preferRelativeResize="1">
          <a:picLocks noChangeAspect="1"/>
        </xdr:cNvPicPr>
      </xdr:nvPicPr>
      <xdr:blipFill>
        <a:blip r:embed="rId1"/>
        <a:stretch>
          <a:fillRect/>
        </a:stretch>
      </xdr:blipFill>
      <xdr:spPr>
        <a:xfrm>
          <a:off x="8848725" y="152400"/>
          <a:ext cx="771525"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by\LOCALS~1\Temp\Mp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rt\LOCALS~1\Temp\Budgetformulier%20tz%20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lad1"/>
      <sheetName val="Mp1"/>
      <sheetName val="I_0300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ina1"/>
      <sheetName val="pagina2"/>
      <sheetName val="pagina3"/>
      <sheetName val="pagina4"/>
      <sheetName val="pagina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81"/>
  <sheetViews>
    <sheetView showGridLines="0" tabSelected="1" zoomScale="86" zoomScaleNormal="86" zoomScaleSheetLayoutView="86" workbookViewId="0" topLeftCell="A1">
      <selection activeCell="A17" sqref="A17"/>
    </sheetView>
  </sheetViews>
  <sheetFormatPr defaultColWidth="9.140625" defaultRowHeight="12.75" zeroHeight="1"/>
  <cols>
    <col min="1" max="1" width="9.421875" style="18" bestFit="1" customWidth="1"/>
    <col min="2" max="11" width="9.140625" style="18" customWidth="1"/>
    <col min="12" max="12" width="15.8515625" style="18" bestFit="1" customWidth="1"/>
    <col min="13" max="15" width="9.140625" style="18" customWidth="1"/>
    <col min="16" max="16" width="9.140625" style="584" customWidth="1"/>
    <col min="17" max="18" width="9.140625" style="584" hidden="1" customWidth="1"/>
    <col min="19" max="19" width="9.140625" style="0" hidden="1" customWidth="1"/>
    <col min="20" max="20" width="9.140625" style="584" hidden="1" customWidth="1"/>
    <col min="21" max="16384" width="9.140625" style="18" hidden="1" customWidth="1"/>
  </cols>
  <sheetData>
    <row r="1" spans="1:9" ht="12.75">
      <c r="A1" s="369" t="s">
        <v>723</v>
      </c>
      <c r="B1" s="370"/>
      <c r="C1" s="370"/>
      <c r="D1" s="370"/>
      <c r="E1" s="370"/>
      <c r="F1" s="370"/>
      <c r="G1" s="370"/>
      <c r="H1" s="371"/>
      <c r="I1" s="370"/>
    </row>
    <row r="2" spans="1:15" ht="13.5" thickBot="1">
      <c r="A2" s="372"/>
      <c r="B2" s="372"/>
      <c r="C2" s="372"/>
      <c r="D2" s="372"/>
      <c r="E2" s="372"/>
      <c r="F2" s="372"/>
      <c r="G2" s="372"/>
      <c r="H2" s="372"/>
      <c r="I2" s="372"/>
      <c r="J2" s="372"/>
      <c r="K2" s="372"/>
      <c r="L2" s="372"/>
      <c r="M2" s="372"/>
      <c r="N2" s="372"/>
      <c r="O2" s="372"/>
    </row>
    <row r="3" spans="2:14" ht="15" customHeight="1">
      <c r="B3" s="373"/>
      <c r="C3" s="374" t="s">
        <v>724</v>
      </c>
      <c r="D3" s="374"/>
      <c r="E3" s="375"/>
      <c r="F3" s="375"/>
      <c r="G3" s="375"/>
      <c r="H3" s="375"/>
      <c r="I3" s="375"/>
      <c r="J3" s="376"/>
      <c r="K3" s="376"/>
      <c r="L3" s="376"/>
      <c r="M3" s="376"/>
      <c r="N3" s="377"/>
    </row>
    <row r="4" spans="2:14" ht="15" customHeight="1">
      <c r="B4" s="378"/>
      <c r="C4" s="10"/>
      <c r="D4" s="10"/>
      <c r="E4" s="10"/>
      <c r="F4" s="10"/>
      <c r="G4" s="10"/>
      <c r="H4" s="10"/>
      <c r="I4" s="10"/>
      <c r="J4" s="371"/>
      <c r="K4" s="371"/>
      <c r="L4" s="371"/>
      <c r="M4" s="371"/>
      <c r="N4" s="379"/>
    </row>
    <row r="5" spans="2:14" ht="15" customHeight="1">
      <c r="B5" s="378"/>
      <c r="C5" s="380"/>
      <c r="D5" s="10"/>
      <c r="E5" s="837" t="s">
        <v>902</v>
      </c>
      <c r="F5" s="838"/>
      <c r="G5" s="838"/>
      <c r="H5" s="838"/>
      <c r="I5" s="838"/>
      <c r="J5" s="838"/>
      <c r="K5" s="838"/>
      <c r="L5" s="838"/>
      <c r="M5" s="838"/>
      <c r="N5" s="379"/>
    </row>
    <row r="6" spans="2:14" ht="15" customHeight="1">
      <c r="B6" s="378"/>
      <c r="C6" s="10"/>
      <c r="D6" s="10"/>
      <c r="E6" s="838"/>
      <c r="F6" s="838"/>
      <c r="G6" s="838"/>
      <c r="H6" s="838"/>
      <c r="I6" s="838"/>
      <c r="J6" s="838"/>
      <c r="K6" s="838"/>
      <c r="L6" s="838"/>
      <c r="M6" s="838"/>
      <c r="N6" s="379"/>
    </row>
    <row r="7" spans="2:14" ht="15" customHeight="1">
      <c r="B7" s="378"/>
      <c r="C7" s="10"/>
      <c r="D7" s="10"/>
      <c r="E7" s="838"/>
      <c r="F7" s="838"/>
      <c r="G7" s="838"/>
      <c r="H7" s="838"/>
      <c r="I7" s="838"/>
      <c r="J7" s="838"/>
      <c r="K7" s="838"/>
      <c r="L7" s="838"/>
      <c r="M7" s="838"/>
      <c r="N7" s="379"/>
    </row>
    <row r="8" spans="2:16" ht="15" customHeight="1">
      <c r="B8" s="378"/>
      <c r="E8" s="838"/>
      <c r="F8" s="838"/>
      <c r="G8" s="838"/>
      <c r="H8" s="838"/>
      <c r="I8" s="838"/>
      <c r="J8" s="838"/>
      <c r="K8" s="838"/>
      <c r="L8" s="838"/>
      <c r="M8" s="838"/>
      <c r="N8" s="379"/>
      <c r="P8" s="18"/>
    </row>
    <row r="9" spans="2:14" ht="15" customHeight="1">
      <c r="B9" s="378"/>
      <c r="C9" s="10"/>
      <c r="D9" s="10"/>
      <c r="E9" s="839" t="s">
        <v>725</v>
      </c>
      <c r="F9" s="839"/>
      <c r="G9" s="839"/>
      <c r="H9" s="839"/>
      <c r="I9" s="839"/>
      <c r="J9" s="839"/>
      <c r="K9" s="839"/>
      <c r="L9" s="839"/>
      <c r="M9" s="839"/>
      <c r="N9" s="379"/>
    </row>
    <row r="10" spans="2:14" ht="15" customHeight="1">
      <c r="B10" s="378"/>
      <c r="C10" s="10"/>
      <c r="D10" s="10"/>
      <c r="E10" s="839"/>
      <c r="F10" s="839"/>
      <c r="G10" s="839"/>
      <c r="H10" s="839"/>
      <c r="I10" s="839"/>
      <c r="J10" s="839"/>
      <c r="K10" s="839"/>
      <c r="L10" s="839"/>
      <c r="M10" s="839"/>
      <c r="N10" s="379"/>
    </row>
    <row r="11" spans="2:14" ht="15" customHeight="1">
      <c r="B11" s="378"/>
      <c r="C11" s="10"/>
      <c r="D11" s="10"/>
      <c r="E11" s="839"/>
      <c r="F11" s="839"/>
      <c r="G11" s="839"/>
      <c r="H11" s="839"/>
      <c r="I11" s="839"/>
      <c r="J11" s="839"/>
      <c r="K11" s="839"/>
      <c r="L11" s="839"/>
      <c r="M11" s="839"/>
      <c r="N11" s="379"/>
    </row>
    <row r="12" spans="2:14" ht="15" customHeight="1">
      <c r="B12" s="378"/>
      <c r="C12" s="10"/>
      <c r="D12" s="10"/>
      <c r="E12" s="371"/>
      <c r="F12" s="371"/>
      <c r="G12" s="371"/>
      <c r="H12" s="371"/>
      <c r="I12" s="371"/>
      <c r="J12" s="371"/>
      <c r="K12" s="371"/>
      <c r="L12" s="371"/>
      <c r="M12" s="371"/>
      <c r="N12" s="379"/>
    </row>
    <row r="13" spans="2:14" ht="15" customHeight="1">
      <c r="B13" s="378"/>
      <c r="C13" s="10"/>
      <c r="D13" s="10"/>
      <c r="E13" s="840" t="str">
        <f>IF(E14=TRUE,"      Invulvelden gearceerd","      Invulvelden niet gearceerd")</f>
        <v>      Invulvelden gearceerd</v>
      </c>
      <c r="F13" s="841"/>
      <c r="G13" s="841"/>
      <c r="H13" s="842"/>
      <c r="L13" s="381"/>
      <c r="N13" s="382"/>
    </row>
    <row r="14" spans="1:15" ht="15" customHeight="1" thickBot="1">
      <c r="A14" s="383"/>
      <c r="B14" s="384"/>
      <c r="C14" s="385"/>
      <c r="D14" s="385"/>
      <c r="E14" s="386" t="b">
        <v>1</v>
      </c>
      <c r="F14" s="387"/>
      <c r="G14" s="387"/>
      <c r="H14" s="385"/>
      <c r="I14" s="385"/>
      <c r="J14" s="388"/>
      <c r="K14" s="387"/>
      <c r="L14" s="387"/>
      <c r="M14" s="389"/>
      <c r="N14" s="390"/>
      <c r="O14" s="383"/>
    </row>
    <row r="15" spans="1:15" ht="15" customHeight="1">
      <c r="A15" s="383"/>
      <c r="B15" s="17"/>
      <c r="C15" s="12"/>
      <c r="D15" s="12"/>
      <c r="E15" s="26"/>
      <c r="F15" s="391"/>
      <c r="G15" s="391"/>
      <c r="H15" s="12"/>
      <c r="I15" s="12"/>
      <c r="J15" s="26"/>
      <c r="K15" s="391"/>
      <c r="L15" s="391"/>
      <c r="M15" s="392"/>
      <c r="N15" s="17"/>
      <c r="O15" s="383"/>
    </row>
    <row r="16" spans="1:15" ht="15" customHeight="1">
      <c r="A16" s="393"/>
      <c r="B16" s="19"/>
      <c r="C16" s="19"/>
      <c r="D16" s="394"/>
      <c r="E16" s="394"/>
      <c r="F16" s="394"/>
      <c r="G16" s="394"/>
      <c r="H16" s="20"/>
      <c r="I16" s="20"/>
      <c r="J16" s="395"/>
      <c r="K16" s="395"/>
      <c r="L16" s="395"/>
      <c r="M16" s="395"/>
      <c r="N16" s="20"/>
      <c r="O16" s="20"/>
    </row>
    <row r="17" spans="1:13" ht="12.75">
      <c r="A17" s="396" t="s">
        <v>1044</v>
      </c>
      <c r="B17" s="21"/>
      <c r="C17" s="21"/>
      <c r="D17" s="21"/>
      <c r="E17" s="21"/>
      <c r="F17" s="21"/>
      <c r="G17" s="21"/>
      <c r="H17" s="21"/>
      <c r="I17" s="21"/>
      <c r="J17" s="397"/>
      <c r="K17" s="397"/>
      <c r="L17" s="397"/>
      <c r="M17" s="370"/>
    </row>
    <row r="18" spans="1:15" ht="23.25">
      <c r="A18" s="371"/>
      <c r="B18" s="371"/>
      <c r="C18" s="371"/>
      <c r="D18" s="371"/>
      <c r="E18" s="380"/>
      <c r="F18" s="9"/>
      <c r="G18" s="398"/>
      <c r="H18" s="10"/>
      <c r="I18" s="10"/>
      <c r="J18" s="798"/>
      <c r="K18" s="371"/>
      <c r="L18" s="371"/>
      <c r="M18" s="399"/>
      <c r="N18" s="371"/>
      <c r="O18" s="371"/>
    </row>
    <row r="19" spans="16:20" s="400" customFormat="1" ht="25.5">
      <c r="P19" s="585"/>
      <c r="Q19" s="585"/>
      <c r="R19" s="585"/>
      <c r="T19" s="585"/>
    </row>
    <row r="20" spans="1:20" s="407" customFormat="1" ht="27.75">
      <c r="A20" s="401" t="s">
        <v>130</v>
      </c>
      <c r="B20" s="402"/>
      <c r="C20" s="402"/>
      <c r="D20" s="402"/>
      <c r="E20" s="403"/>
      <c r="F20" s="404"/>
      <c r="G20" s="404"/>
      <c r="H20" s="404"/>
      <c r="I20" s="404"/>
      <c r="J20" s="405"/>
      <c r="K20" s="405" t="s">
        <v>1031</v>
      </c>
      <c r="L20" s="402"/>
      <c r="M20" s="402"/>
      <c r="N20" s="406"/>
      <c r="P20" s="586"/>
      <c r="Q20" s="586"/>
      <c r="R20" s="586"/>
      <c r="T20" s="586"/>
    </row>
    <row r="21" spans="5:8" ht="15" customHeight="1">
      <c r="E21" s="6"/>
      <c r="H21" s="10"/>
    </row>
    <row r="22" spans="1:14" ht="15" customHeight="1">
      <c r="A22" s="369"/>
      <c r="B22" s="9"/>
      <c r="C22" s="9"/>
      <c r="D22" s="9"/>
      <c r="E22" s="9"/>
      <c r="F22" s="408" t="s">
        <v>726</v>
      </c>
      <c r="G22" s="408" t="s">
        <v>727</v>
      </c>
      <c r="H22" s="9"/>
      <c r="I22" s="9"/>
      <c r="J22" s="409" t="s">
        <v>728</v>
      </c>
      <c r="K22" s="503"/>
      <c r="L22" s="411" t="s">
        <v>886</v>
      </c>
      <c r="M22" s="412"/>
      <c r="N22" s="413"/>
    </row>
    <row r="23" spans="1:14" ht="15" customHeight="1">
      <c r="A23" s="414" t="s">
        <v>490</v>
      </c>
      <c r="B23" s="415"/>
      <c r="C23" s="415"/>
      <c r="D23" s="415"/>
      <c r="E23" s="416"/>
      <c r="F23" s="417">
        <v>600</v>
      </c>
      <c r="G23" s="805"/>
      <c r="H23" s="9"/>
      <c r="I23" s="9"/>
      <c r="J23" s="504" t="s">
        <v>729</v>
      </c>
      <c r="K23" s="505"/>
      <c r="L23" s="418"/>
      <c r="M23" s="419"/>
      <c r="N23" s="420"/>
    </row>
    <row r="24" spans="1:14" ht="15" customHeight="1">
      <c r="A24" s="369"/>
      <c r="B24" s="9" t="s">
        <v>221</v>
      </c>
      <c r="C24" s="9"/>
      <c r="D24" s="9"/>
      <c r="E24" s="9"/>
      <c r="F24" s="421"/>
      <c r="G24" s="421"/>
      <c r="H24" s="9"/>
      <c r="I24" s="9"/>
      <c r="J24" s="422" t="s">
        <v>730</v>
      </c>
      <c r="K24" s="506"/>
      <c r="L24" s="423"/>
      <c r="M24" s="424"/>
      <c r="N24" s="425"/>
    </row>
    <row r="25" spans="1:20" ht="15" customHeight="1">
      <c r="A25" s="369"/>
      <c r="B25" s="9"/>
      <c r="C25" s="9"/>
      <c r="D25" s="9"/>
      <c r="E25" s="9"/>
      <c r="F25" s="421"/>
      <c r="G25" s="421"/>
      <c r="H25" s="9"/>
      <c r="I25" s="9"/>
      <c r="J25" s="507" t="s">
        <v>731</v>
      </c>
      <c r="K25" s="508"/>
      <c r="L25" s="607">
        <v>38971</v>
      </c>
      <c r="M25" s="424"/>
      <c r="N25" s="425"/>
      <c r="P25" s="587"/>
      <c r="Q25" s="595" t="s">
        <v>8</v>
      </c>
      <c r="R25" s="587"/>
      <c r="T25" s="595"/>
    </row>
    <row r="26" spans="1:20" ht="15" customHeight="1">
      <c r="A26" s="369"/>
      <c r="B26" s="9"/>
      <c r="C26" s="9"/>
      <c r="D26" s="9"/>
      <c r="E26" s="9"/>
      <c r="F26" s="421"/>
      <c r="G26" s="421"/>
      <c r="H26" s="9"/>
      <c r="I26" s="9"/>
      <c r="J26" s="426"/>
      <c r="K26" s="10"/>
      <c r="L26" s="427"/>
      <c r="M26" s="427"/>
      <c r="N26" s="427"/>
      <c r="P26" s="587"/>
      <c r="Q26" s="595" t="s">
        <v>187</v>
      </c>
      <c r="R26" s="587"/>
      <c r="T26" s="595">
        <v>1</v>
      </c>
    </row>
    <row r="27" spans="1:20" ht="15" customHeight="1">
      <c r="A27" s="428" t="s">
        <v>58</v>
      </c>
      <c r="B27" s="9"/>
      <c r="C27" s="9"/>
      <c r="D27" s="9"/>
      <c r="E27" s="9"/>
      <c r="F27" s="421"/>
      <c r="G27" s="421"/>
      <c r="H27" s="9"/>
      <c r="I27" s="9"/>
      <c r="J27" s="370"/>
      <c r="K27" s="426"/>
      <c r="L27" s="10"/>
      <c r="M27" s="429"/>
      <c r="N27" s="429"/>
      <c r="P27" s="587"/>
      <c r="Q27" s="595" t="s">
        <v>188</v>
      </c>
      <c r="R27" s="587"/>
      <c r="T27" s="595">
        <v>2</v>
      </c>
    </row>
    <row r="28" spans="1:20" ht="15" customHeight="1">
      <c r="A28" s="9" t="s">
        <v>56</v>
      </c>
      <c r="B28" s="9"/>
      <c r="C28" s="9"/>
      <c r="D28" s="9"/>
      <c r="E28" s="9"/>
      <c r="F28" s="421"/>
      <c r="G28" s="421"/>
      <c r="H28" s="9"/>
      <c r="I28" s="9"/>
      <c r="J28" s="370"/>
      <c r="K28" s="426"/>
      <c r="L28" s="10"/>
      <c r="M28" s="429"/>
      <c r="N28" s="429"/>
      <c r="P28" s="587"/>
      <c r="Q28" s="595" t="s">
        <v>189</v>
      </c>
      <c r="R28" s="587"/>
      <c r="T28" s="595">
        <v>3</v>
      </c>
    </row>
    <row r="29" spans="1:20" ht="15" customHeight="1">
      <c r="A29" s="9" t="s">
        <v>732</v>
      </c>
      <c r="B29" s="9"/>
      <c r="C29" s="9"/>
      <c r="D29" s="9"/>
      <c r="E29" s="9"/>
      <c r="F29" s="421"/>
      <c r="G29" s="421"/>
      <c r="H29" s="9"/>
      <c r="I29" s="9"/>
      <c r="J29" s="370"/>
      <c r="K29" s="426"/>
      <c r="L29" s="10"/>
      <c r="M29" s="429"/>
      <c r="N29" s="429"/>
      <c r="O29" s="429"/>
      <c r="P29" s="587"/>
      <c r="Q29" s="595" t="s">
        <v>190</v>
      </c>
      <c r="R29" s="587"/>
      <c r="T29" s="595">
        <v>4</v>
      </c>
    </row>
    <row r="30" spans="1:20" ht="15" customHeight="1">
      <c r="A30" s="9" t="s">
        <v>733</v>
      </c>
      <c r="B30" s="9"/>
      <c r="C30" s="9"/>
      <c r="D30" s="9"/>
      <c r="E30" s="9"/>
      <c r="F30" s="421"/>
      <c r="G30" s="421"/>
      <c r="H30" s="9"/>
      <c r="I30" s="9"/>
      <c r="J30" s="370"/>
      <c r="K30" s="426"/>
      <c r="L30" s="10"/>
      <c r="M30" s="429"/>
      <c r="N30" s="429"/>
      <c r="O30" s="429"/>
      <c r="P30" s="587"/>
      <c r="Q30" s="595" t="s">
        <v>191</v>
      </c>
      <c r="R30" s="587"/>
      <c r="T30" s="595">
        <v>5</v>
      </c>
    </row>
    <row r="31" spans="1:20" ht="15" customHeight="1">
      <c r="A31" s="9" t="s">
        <v>734</v>
      </c>
      <c r="B31" s="9"/>
      <c r="C31" s="9"/>
      <c r="D31" s="9"/>
      <c r="E31" s="9"/>
      <c r="F31" s="421"/>
      <c r="G31" s="421"/>
      <c r="H31" s="9"/>
      <c r="I31" s="9"/>
      <c r="J31" s="370"/>
      <c r="K31" s="426"/>
      <c r="L31" s="10"/>
      <c r="M31" s="429"/>
      <c r="N31" s="429"/>
      <c r="O31" s="429"/>
      <c r="P31" s="587"/>
      <c r="Q31" s="595" t="s">
        <v>628</v>
      </c>
      <c r="R31" s="587"/>
      <c r="T31" s="595">
        <v>6</v>
      </c>
    </row>
    <row r="32" spans="1:20" ht="15" customHeight="1">
      <c r="A32" s="9" t="s">
        <v>59</v>
      </c>
      <c r="B32" s="9"/>
      <c r="C32" s="9"/>
      <c r="D32" s="9"/>
      <c r="E32" s="9"/>
      <c r="F32" s="392"/>
      <c r="G32" s="392"/>
      <c r="H32" s="9"/>
      <c r="I32" s="9"/>
      <c r="J32" s="370"/>
      <c r="K32" s="426"/>
      <c r="L32" s="10"/>
      <c r="M32" s="429"/>
      <c r="N32" s="429"/>
      <c r="O32" s="429"/>
      <c r="P32" s="587"/>
      <c r="Q32" s="595" t="s">
        <v>735</v>
      </c>
      <c r="R32" s="587"/>
      <c r="T32" s="595">
        <v>32</v>
      </c>
    </row>
    <row r="33" spans="1:20" ht="15" customHeight="1">
      <c r="A33" s="9" t="s">
        <v>443</v>
      </c>
      <c r="B33" s="9"/>
      <c r="C33" s="9"/>
      <c r="D33" s="9"/>
      <c r="E33" s="9"/>
      <c r="F33" s="392"/>
      <c r="G33" s="392"/>
      <c r="H33" s="9"/>
      <c r="I33" s="9"/>
      <c r="J33" s="370"/>
      <c r="K33" s="426"/>
      <c r="L33" s="10"/>
      <c r="M33" s="429"/>
      <c r="N33" s="429"/>
      <c r="O33" s="429"/>
      <c r="P33" s="587"/>
      <c r="Q33" s="595" t="s">
        <v>192</v>
      </c>
      <c r="R33" s="587"/>
      <c r="T33" s="595">
        <v>7</v>
      </c>
    </row>
    <row r="34" spans="1:20" ht="15" customHeight="1">
      <c r="A34" s="9" t="s">
        <v>442</v>
      </c>
      <c r="B34" s="9"/>
      <c r="C34" s="9"/>
      <c r="D34" s="9"/>
      <c r="E34" s="9"/>
      <c r="F34" s="9"/>
      <c r="G34" s="9"/>
      <c r="H34" s="9"/>
      <c r="I34" s="9"/>
      <c r="J34" s="370"/>
      <c r="K34" s="426"/>
      <c r="L34" s="10"/>
      <c r="M34" s="429"/>
      <c r="N34" s="429"/>
      <c r="O34" s="429"/>
      <c r="P34" s="587"/>
      <c r="Q34" s="595" t="s">
        <v>193</v>
      </c>
      <c r="R34" s="587"/>
      <c r="T34" s="595">
        <v>8</v>
      </c>
    </row>
    <row r="35" spans="1:20" ht="15" customHeight="1">
      <c r="A35" s="430" t="s">
        <v>736</v>
      </c>
      <c r="B35" s="415"/>
      <c r="C35" s="431"/>
      <c r="D35" s="431"/>
      <c r="E35" s="431"/>
      <c r="F35" s="432"/>
      <c r="G35" s="433" t="s">
        <v>329</v>
      </c>
      <c r="H35" s="9"/>
      <c r="I35" s="9"/>
      <c r="J35" s="370"/>
      <c r="K35" s="426"/>
      <c r="L35" s="10"/>
      <c r="M35" s="429"/>
      <c r="N35" s="429"/>
      <c r="O35" s="429"/>
      <c r="P35" s="587"/>
      <c r="Q35" s="595" t="s">
        <v>139</v>
      </c>
      <c r="R35" s="587"/>
      <c r="T35" s="595">
        <v>9</v>
      </c>
    </row>
    <row r="36" spans="1:20" ht="15" customHeight="1">
      <c r="A36" s="9"/>
      <c r="B36" s="9"/>
      <c r="C36" s="9"/>
      <c r="D36" s="9"/>
      <c r="E36" s="9"/>
      <c r="F36" s="9"/>
      <c r="G36" s="9"/>
      <c r="H36" s="9"/>
      <c r="I36" s="9"/>
      <c r="J36" s="370"/>
      <c r="K36" s="426"/>
      <c r="L36" s="10"/>
      <c r="M36" s="429"/>
      <c r="N36" s="429"/>
      <c r="O36" s="429"/>
      <c r="P36" s="587"/>
      <c r="Q36" s="595" t="s">
        <v>194</v>
      </c>
      <c r="R36" s="587"/>
      <c r="S36" s="18"/>
      <c r="T36" s="595">
        <v>10</v>
      </c>
    </row>
    <row r="37" spans="1:20" ht="15" customHeight="1">
      <c r="A37" s="434" t="s">
        <v>737</v>
      </c>
      <c r="B37" s="435"/>
      <c r="C37" s="436"/>
      <c r="D37" s="437"/>
      <c r="E37" s="437"/>
      <c r="F37" s="437"/>
      <c r="G37" s="438"/>
      <c r="H37" s="9"/>
      <c r="I37" s="434" t="s">
        <v>738</v>
      </c>
      <c r="J37" s="435"/>
      <c r="K37" s="845" t="s">
        <v>8</v>
      </c>
      <c r="L37" s="846"/>
      <c r="M37" s="846"/>
      <c r="N37" s="846"/>
      <c r="O37" s="847"/>
      <c r="P37" s="587"/>
      <c r="Q37" s="596" t="s">
        <v>642</v>
      </c>
      <c r="R37" s="587"/>
      <c r="S37" s="18"/>
      <c r="T37" s="595">
        <v>11</v>
      </c>
    </row>
    <row r="38" spans="1:20" ht="15" customHeight="1">
      <c r="A38" s="430" t="s">
        <v>321</v>
      </c>
      <c r="B38" s="415"/>
      <c r="C38" s="439"/>
      <c r="D38" s="440"/>
      <c r="E38" s="440"/>
      <c r="F38" s="440"/>
      <c r="G38" s="441"/>
      <c r="H38" s="9"/>
      <c r="I38" s="430" t="s">
        <v>321</v>
      </c>
      <c r="J38" s="415"/>
      <c r="K38" s="439"/>
      <c r="L38" s="440"/>
      <c r="M38" s="440"/>
      <c r="N38" s="440"/>
      <c r="O38" s="441"/>
      <c r="P38" s="587"/>
      <c r="Q38" s="595" t="s">
        <v>629</v>
      </c>
      <c r="R38" s="587"/>
      <c r="S38" s="18"/>
      <c r="T38" s="595">
        <v>12</v>
      </c>
    </row>
    <row r="39" spans="1:20" ht="15" customHeight="1">
      <c r="A39" s="434" t="s">
        <v>739</v>
      </c>
      <c r="B39" s="442"/>
      <c r="C39" s="443"/>
      <c r="D39" s="444"/>
      <c r="E39" s="444"/>
      <c r="F39" s="444"/>
      <c r="G39" s="445"/>
      <c r="H39" s="9"/>
      <c r="I39" s="434" t="s">
        <v>739</v>
      </c>
      <c r="J39" s="442"/>
      <c r="K39" s="443"/>
      <c r="L39" s="444"/>
      <c r="M39" s="444"/>
      <c r="N39" s="444"/>
      <c r="O39" s="445"/>
      <c r="P39" s="587"/>
      <c r="Q39" s="595" t="s">
        <v>140</v>
      </c>
      <c r="R39" s="587"/>
      <c r="S39" s="18"/>
      <c r="T39" s="595">
        <v>13</v>
      </c>
    </row>
    <row r="40" spans="1:20" ht="15" customHeight="1">
      <c r="A40" s="430" t="s">
        <v>741</v>
      </c>
      <c r="B40" s="415"/>
      <c r="C40" s="439"/>
      <c r="D40" s="440"/>
      <c r="E40" s="440"/>
      <c r="F40" s="440"/>
      <c r="G40" s="441"/>
      <c r="H40" s="9"/>
      <c r="I40" s="430" t="s">
        <v>741</v>
      </c>
      <c r="J40" s="415"/>
      <c r="K40" s="439"/>
      <c r="L40" s="440"/>
      <c r="M40" s="440"/>
      <c r="N40" s="440"/>
      <c r="O40" s="441"/>
      <c r="P40" s="587"/>
      <c r="Q40" s="595" t="s">
        <v>740</v>
      </c>
      <c r="R40" s="587"/>
      <c r="S40" s="18"/>
      <c r="T40" s="595">
        <v>14</v>
      </c>
    </row>
    <row r="41" spans="1:20" ht="15" customHeight="1">
      <c r="A41" s="446" t="s">
        <v>742</v>
      </c>
      <c r="B41" s="9"/>
      <c r="C41" s="443"/>
      <c r="D41" s="444"/>
      <c r="E41" s="444"/>
      <c r="F41" s="444"/>
      <c r="G41" s="445"/>
      <c r="H41" s="447"/>
      <c r="I41" s="430" t="s">
        <v>742</v>
      </c>
      <c r="J41" s="415"/>
      <c r="K41" s="439"/>
      <c r="L41" s="440"/>
      <c r="M41" s="440"/>
      <c r="N41" s="440"/>
      <c r="O41" s="441"/>
      <c r="P41" s="587"/>
      <c r="Q41" s="595" t="s">
        <v>141</v>
      </c>
      <c r="R41" s="587"/>
      <c r="S41" s="18"/>
      <c r="T41" s="595">
        <v>15</v>
      </c>
    </row>
    <row r="42" spans="1:20" ht="15" customHeight="1">
      <c r="A42" s="430" t="s">
        <v>744</v>
      </c>
      <c r="B42" s="415"/>
      <c r="C42" s="439"/>
      <c r="D42" s="440"/>
      <c r="E42" s="440"/>
      <c r="F42" s="440"/>
      <c r="G42" s="441"/>
      <c r="H42" s="447"/>
      <c r="I42" s="430" t="s">
        <v>744</v>
      </c>
      <c r="J42" s="415"/>
      <c r="K42" s="439"/>
      <c r="L42" s="440"/>
      <c r="M42" s="440"/>
      <c r="N42" s="440"/>
      <c r="O42" s="441"/>
      <c r="P42" s="587"/>
      <c r="Q42" s="595" t="s">
        <v>743</v>
      </c>
      <c r="R42" s="587"/>
      <c r="S42" s="18"/>
      <c r="T42" s="595">
        <v>16</v>
      </c>
    </row>
    <row r="43" spans="1:20" s="12" customFormat="1" ht="15" customHeight="1">
      <c r="A43" s="590"/>
      <c r="B43" s="590"/>
      <c r="C43" s="392"/>
      <c r="D43" s="392"/>
      <c r="E43" s="392"/>
      <c r="F43" s="392"/>
      <c r="G43" s="392"/>
      <c r="H43" s="590"/>
      <c r="I43" s="590"/>
      <c r="J43" s="590"/>
      <c r="K43" s="392"/>
      <c r="L43" s="392"/>
      <c r="M43" s="392"/>
      <c r="N43" s="392"/>
      <c r="O43" s="392"/>
      <c r="P43" s="591"/>
      <c r="Q43" s="595" t="s">
        <v>630</v>
      </c>
      <c r="R43" s="587"/>
      <c r="S43" s="18"/>
      <c r="T43" s="595">
        <v>17</v>
      </c>
    </row>
    <row r="44" spans="1:20" ht="15" customHeight="1">
      <c r="A44" s="434" t="s">
        <v>745</v>
      </c>
      <c r="B44" s="442"/>
      <c r="C44" s="442"/>
      <c r="D44" s="442"/>
      <c r="E44" s="442"/>
      <c r="F44" s="442"/>
      <c r="G44" s="448"/>
      <c r="H44" s="447"/>
      <c r="I44" s="434" t="s">
        <v>746</v>
      </c>
      <c r="J44" s="442"/>
      <c r="K44" s="442"/>
      <c r="L44" s="442"/>
      <c r="M44" s="442"/>
      <c r="N44" s="442"/>
      <c r="O44" s="448"/>
      <c r="P44" s="587"/>
      <c r="Q44" s="595" t="s">
        <v>631</v>
      </c>
      <c r="R44" s="591"/>
      <c r="S44" s="12"/>
      <c r="T44" s="597">
        <v>18</v>
      </c>
    </row>
    <row r="45" spans="1:20" ht="15" customHeight="1">
      <c r="A45" s="449"/>
      <c r="B45" s="450"/>
      <c r="C45" s="450"/>
      <c r="D45" s="450"/>
      <c r="E45" s="450"/>
      <c r="F45" s="450"/>
      <c r="G45" s="451"/>
      <c r="H45" s="447"/>
      <c r="I45" s="452"/>
      <c r="J45" s="453"/>
      <c r="K45" s="453"/>
      <c r="L45" s="453"/>
      <c r="M45" s="453"/>
      <c r="N45" s="453"/>
      <c r="O45" s="410"/>
      <c r="P45" s="587"/>
      <c r="Q45" s="595" t="s">
        <v>632</v>
      </c>
      <c r="R45" s="587"/>
      <c r="S45" s="18"/>
      <c r="T45" s="595">
        <v>19</v>
      </c>
    </row>
    <row r="46" spans="1:20" ht="15" customHeight="1">
      <c r="A46" s="454"/>
      <c r="B46" s="455"/>
      <c r="C46" s="455"/>
      <c r="D46" s="455"/>
      <c r="E46" s="455"/>
      <c r="F46" s="455"/>
      <c r="G46" s="456"/>
      <c r="H46" s="447"/>
      <c r="I46" s="454"/>
      <c r="J46" s="455"/>
      <c r="K46" s="455"/>
      <c r="L46" s="455"/>
      <c r="M46" s="455"/>
      <c r="N46" s="455"/>
      <c r="O46" s="456"/>
      <c r="P46" s="587"/>
      <c r="Q46" s="595" t="s">
        <v>633</v>
      </c>
      <c r="R46" s="587"/>
      <c r="S46" s="18"/>
      <c r="T46" s="595">
        <v>20</v>
      </c>
    </row>
    <row r="47" spans="1:20" ht="15" customHeight="1">
      <c r="A47" s="454"/>
      <c r="B47" s="455"/>
      <c r="C47" s="455"/>
      <c r="D47" s="455"/>
      <c r="E47" s="455"/>
      <c r="F47" s="455"/>
      <c r="G47" s="456"/>
      <c r="H47" s="447"/>
      <c r="I47" s="454"/>
      <c r="J47" s="455"/>
      <c r="K47" s="455"/>
      <c r="L47" s="455"/>
      <c r="M47" s="455"/>
      <c r="N47" s="455"/>
      <c r="O47" s="456"/>
      <c r="P47" s="587"/>
      <c r="Q47" s="595" t="s">
        <v>634</v>
      </c>
      <c r="R47" s="587"/>
      <c r="S47" s="18"/>
      <c r="T47" s="595">
        <v>21</v>
      </c>
    </row>
    <row r="48" spans="1:20" ht="15" customHeight="1">
      <c r="A48" s="457"/>
      <c r="B48" s="458"/>
      <c r="C48" s="458"/>
      <c r="D48" s="458"/>
      <c r="E48" s="458"/>
      <c r="F48" s="458"/>
      <c r="G48" s="459" t="s">
        <v>747</v>
      </c>
      <c r="H48" s="447"/>
      <c r="I48" s="457"/>
      <c r="J48" s="458"/>
      <c r="K48" s="458"/>
      <c r="L48" s="458"/>
      <c r="M48" s="458"/>
      <c r="N48" s="458"/>
      <c r="O48" s="459" t="s">
        <v>747</v>
      </c>
      <c r="P48" s="587"/>
      <c r="Q48" s="595" t="s">
        <v>635</v>
      </c>
      <c r="R48" s="587"/>
      <c r="S48" s="18"/>
      <c r="T48" s="595">
        <v>22</v>
      </c>
    </row>
    <row r="49" spans="1:20" ht="15" customHeight="1">
      <c r="A49" s="788"/>
      <c r="B49" s="441"/>
      <c r="C49" s="458" t="s">
        <v>748</v>
      </c>
      <c r="D49" s="439"/>
      <c r="E49" s="440"/>
      <c r="F49" s="441"/>
      <c r="G49" s="460" t="s">
        <v>749</v>
      </c>
      <c r="H49" s="447"/>
      <c r="I49" s="788"/>
      <c r="J49" s="441"/>
      <c r="K49" s="461" t="s">
        <v>748</v>
      </c>
      <c r="L49" s="439"/>
      <c r="M49" s="440"/>
      <c r="N49" s="441"/>
      <c r="O49" s="461" t="s">
        <v>749</v>
      </c>
      <c r="P49" s="587"/>
      <c r="Q49" s="595" t="s">
        <v>641</v>
      </c>
      <c r="R49" s="587"/>
      <c r="S49" s="18"/>
      <c r="T49" s="595">
        <v>23</v>
      </c>
    </row>
    <row r="50" spans="1:20" ht="15" customHeight="1">
      <c r="A50" s="9"/>
      <c r="B50" s="9"/>
      <c r="C50" s="9"/>
      <c r="D50" s="9"/>
      <c r="E50" s="9"/>
      <c r="F50" s="9"/>
      <c r="G50" s="9"/>
      <c r="H50" s="447"/>
      <c r="I50" s="447"/>
      <c r="J50" s="447"/>
      <c r="K50" s="447"/>
      <c r="L50" s="447"/>
      <c r="M50" s="447"/>
      <c r="N50" s="447"/>
      <c r="O50" s="447"/>
      <c r="P50" s="587"/>
      <c r="Q50" s="595" t="s">
        <v>636</v>
      </c>
      <c r="R50" s="587"/>
      <c r="S50" s="18"/>
      <c r="T50" s="595">
        <v>24</v>
      </c>
    </row>
    <row r="51" spans="1:20" ht="15" customHeight="1">
      <c r="A51" s="392" t="s">
        <v>55</v>
      </c>
      <c r="B51" s="462"/>
      <c r="C51" s="462"/>
      <c r="D51" s="462"/>
      <c r="E51" s="462"/>
      <c r="F51" s="462"/>
      <c r="G51" s="462"/>
      <c r="H51" s="447"/>
      <c r="I51" s="462"/>
      <c r="J51" s="462"/>
      <c r="K51" s="462"/>
      <c r="L51" s="462"/>
      <c r="M51" s="462"/>
      <c r="N51" s="462"/>
      <c r="O51" s="462"/>
      <c r="P51" s="587"/>
      <c r="Q51" s="595" t="s">
        <v>195</v>
      </c>
      <c r="R51" s="587"/>
      <c r="S51" s="18"/>
      <c r="T51" s="595">
        <v>25</v>
      </c>
    </row>
    <row r="52" spans="1:20" ht="15" customHeight="1">
      <c r="A52" s="392" t="s">
        <v>444</v>
      </c>
      <c r="B52" s="462"/>
      <c r="C52" s="462"/>
      <c r="D52" s="462"/>
      <c r="E52" s="462"/>
      <c r="F52" s="462"/>
      <c r="G52" s="462"/>
      <c r="H52" s="447"/>
      <c r="I52" s="462"/>
      <c r="J52" s="462"/>
      <c r="K52" s="462"/>
      <c r="L52" s="462"/>
      <c r="M52" s="462"/>
      <c r="N52" s="462"/>
      <c r="O52" s="462"/>
      <c r="P52" s="587"/>
      <c r="Q52" s="595" t="s">
        <v>637</v>
      </c>
      <c r="R52" s="587"/>
      <c r="S52" s="18"/>
      <c r="T52" s="595">
        <v>26</v>
      </c>
    </row>
    <row r="53" spans="1:20" ht="15" customHeight="1">
      <c r="A53" s="462" t="s">
        <v>445</v>
      </c>
      <c r="B53" s="462"/>
      <c r="C53" s="462"/>
      <c r="D53" s="462"/>
      <c r="E53" s="462"/>
      <c r="F53" s="462"/>
      <c r="G53" s="462"/>
      <c r="H53" s="447"/>
      <c r="I53" s="463"/>
      <c r="J53" s="463"/>
      <c r="K53" s="463"/>
      <c r="L53" s="463"/>
      <c r="M53" s="463"/>
      <c r="N53" s="463"/>
      <c r="O53" s="463"/>
      <c r="P53" s="587"/>
      <c r="Q53" s="595" t="s">
        <v>638</v>
      </c>
      <c r="R53" s="587"/>
      <c r="S53" s="18"/>
      <c r="T53" s="595">
        <v>27</v>
      </c>
    </row>
    <row r="54" spans="1:20" ht="15" customHeight="1">
      <c r="A54" s="462" t="s">
        <v>446</v>
      </c>
      <c r="B54" s="463"/>
      <c r="C54" s="463"/>
      <c r="D54" s="463"/>
      <c r="E54" s="463"/>
      <c r="F54" s="463"/>
      <c r="G54" s="463"/>
      <c r="H54" s="447"/>
      <c r="P54" s="587"/>
      <c r="Q54" s="595" t="s">
        <v>639</v>
      </c>
      <c r="R54" s="587"/>
      <c r="S54" s="18"/>
      <c r="T54" s="595">
        <v>28</v>
      </c>
    </row>
    <row r="55" spans="8:20" ht="15" customHeight="1">
      <c r="H55" s="447"/>
      <c r="I55" s="10"/>
      <c r="J55" s="10"/>
      <c r="K55" s="10"/>
      <c r="L55" s="10"/>
      <c r="M55" s="836"/>
      <c r="N55" s="836"/>
      <c r="P55" s="587"/>
      <c r="Q55" s="595" t="s">
        <v>640</v>
      </c>
      <c r="R55" s="587"/>
      <c r="S55" s="18"/>
      <c r="T55" s="595">
        <v>29</v>
      </c>
    </row>
    <row r="56" spans="1:20" ht="15" customHeight="1">
      <c r="A56" s="27" t="s">
        <v>131</v>
      </c>
      <c r="B56" s="21"/>
      <c r="C56" s="21"/>
      <c r="D56" s="21"/>
      <c r="E56" s="21"/>
      <c r="F56" s="834">
        <f>recapitulatie!E34</f>
        <v>0</v>
      </c>
      <c r="G56" s="835"/>
      <c r="H56" s="462"/>
      <c r="I56" s="27" t="s">
        <v>898</v>
      </c>
      <c r="J56" s="21"/>
      <c r="K56" s="21"/>
      <c r="L56" s="21"/>
      <c r="M56" s="21"/>
      <c r="N56" s="843">
        <f>-recapitulatie!E28</f>
        <v>0</v>
      </c>
      <c r="O56" s="844"/>
      <c r="P56" s="587"/>
      <c r="Q56" s="595" t="s">
        <v>196</v>
      </c>
      <c r="R56" s="587"/>
      <c r="S56" s="18"/>
      <c r="T56" s="595">
        <v>30</v>
      </c>
    </row>
    <row r="57" spans="1:20" ht="15" customHeight="1">
      <c r="A57" s="392"/>
      <c r="B57" s="10"/>
      <c r="C57" s="10"/>
      <c r="D57" s="10"/>
      <c r="E57" s="10"/>
      <c r="F57" s="10"/>
      <c r="G57" s="36"/>
      <c r="H57" s="462"/>
      <c r="I57" s="464" t="s">
        <v>899</v>
      </c>
      <c r="J57" s="21"/>
      <c r="K57" s="21"/>
      <c r="L57" s="21"/>
      <c r="M57" s="21"/>
      <c r="N57" s="832">
        <f>recapitulatie!E29</f>
        <v>0</v>
      </c>
      <c r="O57" s="833"/>
      <c r="P57" s="587"/>
      <c r="Q57" s="595" t="s">
        <v>197</v>
      </c>
      <c r="R57" s="587"/>
      <c r="S57" s="18"/>
      <c r="T57" s="595">
        <v>31</v>
      </c>
    </row>
    <row r="58" spans="1:20" ht="15" customHeight="1">
      <c r="A58" s="598" t="s">
        <v>447</v>
      </c>
      <c r="B58" s="10"/>
      <c r="C58" s="10"/>
      <c r="D58" s="10"/>
      <c r="E58" s="10"/>
      <c r="F58" s="10"/>
      <c r="G58" s="36"/>
      <c r="H58" s="462"/>
      <c r="I58" s="392"/>
      <c r="J58" s="10"/>
      <c r="K58" s="10"/>
      <c r="L58" s="10"/>
      <c r="M58" s="10"/>
      <c r="N58" s="10"/>
      <c r="O58" s="36"/>
      <c r="P58" s="587"/>
      <c r="Q58" s="595"/>
      <c r="R58" s="587"/>
      <c r="S58" s="18"/>
      <c r="T58" s="595"/>
    </row>
    <row r="59" spans="2:20" ht="15" customHeight="1" hidden="1">
      <c r="B59" s="10"/>
      <c r="C59" s="10"/>
      <c r="D59" s="10"/>
      <c r="E59" s="10"/>
      <c r="F59" s="10"/>
      <c r="G59" s="36"/>
      <c r="H59" s="462"/>
      <c r="I59" s="392"/>
      <c r="J59" s="10"/>
      <c r="K59" s="10"/>
      <c r="L59" s="10"/>
      <c r="M59" s="10"/>
      <c r="N59" s="10"/>
      <c r="O59" s="36"/>
      <c r="P59" s="587"/>
      <c r="Q59" s="18"/>
      <c r="R59" s="587"/>
      <c r="S59" s="18"/>
      <c r="T59" s="595"/>
    </row>
    <row r="60" spans="16:20" ht="15" customHeight="1" hidden="1">
      <c r="P60" s="587"/>
      <c r="Q60" s="595"/>
      <c r="R60" s="587"/>
      <c r="S60" s="18"/>
      <c r="T60" s="595"/>
    </row>
    <row r="61" spans="16:20" ht="15" customHeight="1" hidden="1">
      <c r="P61" s="587"/>
      <c r="R61" s="587"/>
      <c r="S61" s="18"/>
      <c r="T61" s="595"/>
    </row>
    <row r="62" ht="15" customHeight="1" hidden="1">
      <c r="S62" s="18"/>
    </row>
    <row r="63" ht="15" customHeight="1" hidden="1">
      <c r="S63" s="18"/>
    </row>
    <row r="64" ht="15" customHeight="1" hidden="1">
      <c r="S64" s="18"/>
    </row>
    <row r="65" ht="15" customHeight="1" hidden="1">
      <c r="S65" s="18"/>
    </row>
    <row r="66" ht="15" customHeight="1" hidden="1">
      <c r="S66" s="18"/>
    </row>
    <row r="67" ht="15" customHeight="1" hidden="1">
      <c r="S67" s="18"/>
    </row>
    <row r="68" ht="15" customHeight="1" hidden="1">
      <c r="S68" s="18"/>
    </row>
    <row r="69" ht="15" customHeight="1" hidden="1">
      <c r="S69" s="18"/>
    </row>
    <row r="70" ht="15" customHeight="1" hidden="1">
      <c r="S70" s="18"/>
    </row>
    <row r="71" ht="15" customHeight="1" hidden="1">
      <c r="S71" s="18"/>
    </row>
    <row r="72" ht="15" customHeight="1" hidden="1">
      <c r="S72" s="18"/>
    </row>
    <row r="73" ht="15" customHeight="1" hidden="1">
      <c r="S73" s="18"/>
    </row>
    <row r="74" ht="15" customHeight="1" hidden="1">
      <c r="S74" s="18"/>
    </row>
    <row r="75" ht="12.75" hidden="1">
      <c r="S75" s="18"/>
    </row>
    <row r="76" ht="12.75" hidden="1">
      <c r="S76" s="18"/>
    </row>
    <row r="77" ht="12.75" hidden="1">
      <c r="S77" s="18"/>
    </row>
    <row r="78" ht="12.75" hidden="1">
      <c r="S78" s="18"/>
    </row>
    <row r="79" ht="12.75" hidden="1">
      <c r="S79" s="18"/>
    </row>
    <row r="80" ht="12.75" hidden="1">
      <c r="S80" s="18"/>
    </row>
    <row r="81" ht="12.75" hidden="1">
      <c r="S81" s="18"/>
    </row>
    <row r="82" ht="12.75" hidden="1"/>
    <row r="83" ht="12.75" hidden="1"/>
  </sheetData>
  <sheetProtection password="CD36" sheet="1" objects="1" scenarios="1"/>
  <mergeCells count="8">
    <mergeCell ref="N57:O57"/>
    <mergeCell ref="F56:G56"/>
    <mergeCell ref="M55:N55"/>
    <mergeCell ref="E5:M8"/>
    <mergeCell ref="E9:M11"/>
    <mergeCell ref="E13:H13"/>
    <mergeCell ref="N56:O56"/>
    <mergeCell ref="K37:O37"/>
  </mergeCells>
  <conditionalFormatting sqref="C37:G42 A49:B49 G35 K37:K42 L49:N49 D49:F49 L38:O42 G23 I49:J49">
    <cfRule type="expression" priority="1" dxfId="0" stopIfTrue="1">
      <formula>$E$14=TRUE</formula>
    </cfRule>
  </conditionalFormatting>
  <conditionalFormatting sqref="E50:G50 F48:G48 L50:O50">
    <cfRule type="expression" priority="2" dxfId="1" stopIfTrue="1">
      <formula>$E$44=TRUE</formula>
    </cfRule>
  </conditionalFormatting>
  <conditionalFormatting sqref="J42:J43">
    <cfRule type="expression" priority="3" dxfId="2" stopIfTrue="1">
      <formula>$J$44=TRUE</formula>
    </cfRule>
  </conditionalFormatting>
  <conditionalFormatting sqref="E13:H13">
    <cfRule type="expression" priority="4" dxfId="0" stopIfTrue="1">
      <formula>$E$14=TRUE</formula>
    </cfRule>
  </conditionalFormatting>
  <dataValidations count="3">
    <dataValidation type="list" allowBlank="1" showInputMessage="1" showErrorMessage="1" error="Hier kan alleen ja of nee ingevuld worden" sqref="G35">
      <formula1>"ja,nee"</formula1>
    </dataValidation>
    <dataValidation type="whole" allowBlank="1" showInputMessage="1" showErrorMessage="1" error="U moet een geldig registratienummer invullen." sqref="G23">
      <formula1>10</formula1>
      <formula2>3000</formula2>
    </dataValidation>
    <dataValidation type="list" allowBlank="1" showInputMessage="1" showErrorMessage="1" sqref="K37:O37">
      <formula1>$Q$25:$Q$57</formula1>
    </dataValidation>
  </dataValidations>
  <printOptions horizontalCentered="1"/>
  <pageMargins left="0.7874015748031497" right="0.7874015748031497" top="0.1968503937007874" bottom="0.1968503937007874" header="0.5118110236220472" footer="0.5118110236220472"/>
  <pageSetup horizontalDpi="600" verticalDpi="600" orientation="landscape" paperSize="9" scale="85" r:id="rId3"/>
  <drawing r:id="rId2"/>
  <legacyDrawing r:id="rId1"/>
</worksheet>
</file>

<file path=xl/worksheets/sheet10.xml><?xml version="1.0" encoding="utf-8"?>
<worksheet xmlns="http://schemas.openxmlformats.org/spreadsheetml/2006/main" xmlns:r="http://schemas.openxmlformats.org/officeDocument/2006/relationships">
  <dimension ref="A1:V43"/>
  <sheetViews>
    <sheetView showGridLines="0" tabSelected="1" zoomScale="90" zoomScaleNormal="90" zoomScaleSheetLayoutView="75" workbookViewId="0" topLeftCell="A1">
      <selection activeCell="A17" sqref="A17"/>
    </sheetView>
  </sheetViews>
  <sheetFormatPr defaultColWidth="9.140625" defaultRowHeight="12.75" customHeight="1" zeroHeight="1"/>
  <cols>
    <col min="1" max="1" width="5.7109375" style="42" customWidth="1"/>
    <col min="2" max="2" width="83.421875" style="11" customWidth="1"/>
    <col min="3" max="5" width="15.57421875" style="11" customWidth="1"/>
    <col min="6" max="6" width="15.00390625" style="11" customWidth="1"/>
    <col min="7" max="16384" width="0" style="11" hidden="1" customWidth="1"/>
  </cols>
  <sheetData>
    <row r="1" spans="1:22" s="3" customFormat="1" ht="14.25" customHeight="1">
      <c r="A1" s="284"/>
      <c r="O1" s="236"/>
      <c r="P1" s="236"/>
      <c r="Q1" s="237"/>
      <c r="R1" s="237"/>
      <c r="S1" s="236"/>
      <c r="T1" s="236"/>
      <c r="U1" s="238"/>
      <c r="V1" s="239"/>
    </row>
    <row r="2" spans="1:19" s="108" customFormat="1" ht="13.5" customHeight="1">
      <c r="A2" s="285" t="str">
        <f>voorblad!$A$20</f>
        <v>Mutatieformulier regiokader gehandicaptenzorg 2006</v>
      </c>
      <c r="B2" s="1"/>
      <c r="C2" s="241" t="str">
        <f>"versie: "&amp;TEXT(voorblad!$L$25,"dd-mm-jjjj")</f>
        <v>versie: 11-09-2006</v>
      </c>
      <c r="D2" s="258" t="b">
        <f>voorblad!E14</f>
        <v>1</v>
      </c>
      <c r="E2" s="2"/>
      <c r="F2" s="244">
        <f>'extreme zorgbehoefte'!H2+1</f>
        <v>20</v>
      </c>
      <c r="G2" s="242"/>
      <c r="H2" s="231"/>
      <c r="I2" s="243"/>
      <c r="J2" s="244">
        <v>1</v>
      </c>
      <c r="K2" s="244"/>
      <c r="L2" s="245"/>
      <c r="M2" s="245"/>
      <c r="N2" s="244"/>
      <c r="O2" s="244"/>
      <c r="P2" s="246"/>
      <c r="Q2" s="247"/>
      <c r="R2" s="2"/>
      <c r="S2" s="2"/>
    </row>
    <row r="3" spans="1:16" s="3" customFormat="1" ht="19.5" customHeight="1">
      <c r="A3" s="230"/>
      <c r="B3" s="232"/>
      <c r="C3" s="230" t="s">
        <v>601</v>
      </c>
      <c r="D3" s="230" t="s">
        <v>601</v>
      </c>
      <c r="E3" s="233"/>
      <c r="F3" s="233"/>
      <c r="G3" s="2"/>
      <c r="H3" s="234"/>
      <c r="I3" s="235"/>
      <c r="J3" s="2"/>
      <c r="K3" s="9"/>
      <c r="L3" s="2"/>
      <c r="M3" s="229"/>
      <c r="N3" s="229"/>
      <c r="O3" s="2"/>
      <c r="P3" s="2"/>
    </row>
    <row r="4" spans="1:6" ht="15" customHeight="1">
      <c r="A4" s="297" t="s">
        <v>369</v>
      </c>
      <c r="B4" s="15"/>
      <c r="C4" s="15"/>
      <c r="D4" s="15"/>
      <c r="E4" s="15"/>
      <c r="F4" s="15"/>
    </row>
    <row r="5" spans="1:6" ht="15" customHeight="1">
      <c r="A5" s="30" t="s">
        <v>147</v>
      </c>
      <c r="B5" s="15"/>
      <c r="C5" s="15"/>
      <c r="D5" s="15"/>
      <c r="E5" s="15"/>
      <c r="F5" s="15"/>
    </row>
    <row r="6" spans="1:6" ht="15" customHeight="1">
      <c r="A6" s="30" t="s">
        <v>890</v>
      </c>
      <c r="B6" s="15"/>
      <c r="C6" s="15"/>
      <c r="D6" s="15"/>
      <c r="E6" s="15"/>
      <c r="F6" s="15"/>
    </row>
    <row r="7" spans="1:2" ht="15" customHeight="1">
      <c r="A7" s="30"/>
      <c r="B7" s="15"/>
    </row>
    <row r="8" spans="1:4" ht="15" customHeight="1">
      <c r="A8" s="30"/>
      <c r="B8" s="208" t="s">
        <v>206</v>
      </c>
      <c r="C8" s="488" t="s">
        <v>441</v>
      </c>
      <c r="D8" s="488" t="s">
        <v>441</v>
      </c>
    </row>
    <row r="9" spans="1:4" ht="15" customHeight="1">
      <c r="A9" s="30"/>
      <c r="B9" s="512" t="s">
        <v>207</v>
      </c>
      <c r="C9" s="513" t="s">
        <v>403</v>
      </c>
      <c r="D9" s="489" t="s">
        <v>403</v>
      </c>
    </row>
    <row r="10" spans="1:4" ht="15" customHeight="1">
      <c r="A10" s="30"/>
      <c r="B10" s="514" t="s">
        <v>208</v>
      </c>
      <c r="C10" s="489" t="s">
        <v>880</v>
      </c>
      <c r="D10" s="489" t="s">
        <v>146</v>
      </c>
    </row>
    <row r="11" spans="1:4" ht="15" customHeight="1">
      <c r="A11" s="492">
        <f>F2*100+1</f>
        <v>2001</v>
      </c>
      <c r="B11" s="48" t="s">
        <v>903</v>
      </c>
      <c r="C11" s="62">
        <f>'extreme zorgbehoefte'!G41</f>
        <v>0</v>
      </c>
      <c r="D11" s="62">
        <v>0</v>
      </c>
    </row>
    <row r="12" spans="1:4" ht="15" customHeight="1">
      <c r="A12" s="492">
        <f aca="true" t="shared" si="0" ref="A12:A28">A11+1</f>
        <v>2002</v>
      </c>
      <c r="B12" s="80"/>
      <c r="C12" s="61"/>
      <c r="D12" s="61"/>
    </row>
    <row r="13" spans="1:4" ht="15" customHeight="1">
      <c r="A13" s="492">
        <f t="shared" si="0"/>
        <v>2003</v>
      </c>
      <c r="B13" s="80"/>
      <c r="C13" s="61"/>
      <c r="D13" s="61"/>
    </row>
    <row r="14" spans="1:4" ht="15" customHeight="1">
      <c r="A14" s="492">
        <f t="shared" si="0"/>
        <v>2004</v>
      </c>
      <c r="B14" s="80"/>
      <c r="C14" s="61"/>
      <c r="D14" s="61"/>
    </row>
    <row r="15" spans="1:4" ht="15" customHeight="1">
      <c r="A15" s="492">
        <f t="shared" si="0"/>
        <v>2005</v>
      </c>
      <c r="B15" s="80"/>
      <c r="C15" s="61"/>
      <c r="D15" s="61"/>
    </row>
    <row r="16" spans="1:4" ht="15" customHeight="1">
      <c r="A16" s="492">
        <f t="shared" si="0"/>
        <v>2006</v>
      </c>
      <c r="B16" s="80"/>
      <c r="C16" s="61"/>
      <c r="D16" s="61"/>
    </row>
    <row r="17" spans="1:4" ht="15" customHeight="1">
      <c r="A17" s="492">
        <f t="shared" si="0"/>
        <v>2007</v>
      </c>
      <c r="B17" s="80"/>
      <c r="C17" s="61"/>
      <c r="D17" s="61"/>
    </row>
    <row r="18" spans="1:4" ht="15" customHeight="1">
      <c r="A18" s="492">
        <f t="shared" si="0"/>
        <v>2008</v>
      </c>
      <c r="B18" s="80"/>
      <c r="C18" s="61"/>
      <c r="D18" s="61"/>
    </row>
    <row r="19" spans="1:4" ht="15" customHeight="1">
      <c r="A19" s="492">
        <f t="shared" si="0"/>
        <v>2009</v>
      </c>
      <c r="B19" s="80"/>
      <c r="C19" s="61"/>
      <c r="D19" s="61"/>
    </row>
    <row r="20" spans="1:4" ht="15" customHeight="1">
      <c r="A20" s="492">
        <f t="shared" si="0"/>
        <v>2010</v>
      </c>
      <c r="B20" s="80"/>
      <c r="C20" s="61"/>
      <c r="D20" s="61"/>
    </row>
    <row r="21" spans="1:4" ht="15" customHeight="1">
      <c r="A21" s="492">
        <f t="shared" si="0"/>
        <v>2011</v>
      </c>
      <c r="B21" s="80"/>
      <c r="C21" s="61"/>
      <c r="D21" s="61"/>
    </row>
    <row r="22" spans="1:4" ht="15" customHeight="1">
      <c r="A22" s="492">
        <f t="shared" si="0"/>
        <v>2012</v>
      </c>
      <c r="B22" s="80"/>
      <c r="C22" s="61"/>
      <c r="D22" s="61"/>
    </row>
    <row r="23" spans="1:4" ht="15" customHeight="1">
      <c r="A23" s="492">
        <f t="shared" si="0"/>
        <v>2013</v>
      </c>
      <c r="B23" s="80"/>
      <c r="C23" s="61"/>
      <c r="D23" s="61"/>
    </row>
    <row r="24" spans="1:4" ht="15" customHeight="1">
      <c r="A24" s="492">
        <f t="shared" si="0"/>
        <v>2014</v>
      </c>
      <c r="B24" s="80"/>
      <c r="C24" s="61"/>
      <c r="D24" s="61"/>
    </row>
    <row r="25" spans="1:4" ht="15" customHeight="1">
      <c r="A25" s="492">
        <f t="shared" si="0"/>
        <v>2015</v>
      </c>
      <c r="B25" s="80"/>
      <c r="C25" s="61"/>
      <c r="D25" s="61"/>
    </row>
    <row r="26" spans="1:4" ht="15" customHeight="1">
      <c r="A26" s="492">
        <f t="shared" si="0"/>
        <v>2016</v>
      </c>
      <c r="B26" s="80"/>
      <c r="C26" s="61"/>
      <c r="D26" s="61"/>
    </row>
    <row r="27" spans="1:5" ht="15" customHeight="1">
      <c r="A27" s="492">
        <f t="shared" si="0"/>
        <v>2017</v>
      </c>
      <c r="B27" s="80"/>
      <c r="C27" s="61"/>
      <c r="D27" s="61"/>
      <c r="E27" s="24"/>
    </row>
    <row r="28" spans="1:5" ht="15" customHeight="1">
      <c r="A28" s="492">
        <f t="shared" si="0"/>
        <v>2018</v>
      </c>
      <c r="B28" s="45" t="s">
        <v>217</v>
      </c>
      <c r="C28" s="62">
        <f>SUM(C11:C27)</f>
        <v>0</v>
      </c>
      <c r="D28" s="62">
        <f>SUM(D11:D27)</f>
        <v>0</v>
      </c>
      <c r="E28" s="817" t="s">
        <v>995</v>
      </c>
    </row>
    <row r="29" ht="10.5" customHeight="1"/>
    <row r="30" ht="15.75" customHeight="1">
      <c r="A30" s="300" t="s">
        <v>40</v>
      </c>
    </row>
    <row r="31" ht="12.75" customHeight="1">
      <c r="A31" s="42" t="s">
        <v>891</v>
      </c>
    </row>
    <row r="32" ht="12.75" customHeight="1">
      <c r="A32" s="42" t="s">
        <v>892</v>
      </c>
    </row>
    <row r="33" ht="12.75" customHeight="1">
      <c r="A33" s="42" t="s">
        <v>893</v>
      </c>
    </row>
    <row r="34" ht="12.75" customHeight="1"/>
    <row r="35" spans="1:5" ht="12.75" customHeight="1">
      <c r="A35" s="30"/>
      <c r="B35" s="13"/>
      <c r="C35" s="205" t="s">
        <v>404</v>
      </c>
      <c r="D35" s="205" t="s">
        <v>216</v>
      </c>
      <c r="E35" s="488" t="s">
        <v>218</v>
      </c>
    </row>
    <row r="36" spans="1:5" ht="12.75" customHeight="1">
      <c r="A36" s="30"/>
      <c r="B36" s="289"/>
      <c r="C36" s="474">
        <v>2006</v>
      </c>
      <c r="D36" s="474">
        <v>2006</v>
      </c>
      <c r="E36" s="489" t="s">
        <v>145</v>
      </c>
    </row>
    <row r="37" spans="1:5" ht="12.75" customHeight="1">
      <c r="A37" s="30"/>
      <c r="B37" s="290"/>
      <c r="C37" s="490"/>
      <c r="D37" s="490"/>
      <c r="E37" s="489"/>
    </row>
    <row r="38" spans="1:6" ht="12.75" customHeight="1">
      <c r="A38" s="492">
        <f>A28+1</f>
        <v>2019</v>
      </c>
      <c r="B38" s="48" t="s">
        <v>41</v>
      </c>
      <c r="C38" s="61"/>
      <c r="D38" s="61"/>
      <c r="E38" s="63">
        <f>D38-C38</f>
        <v>0</v>
      </c>
      <c r="F38" s="817" t="s">
        <v>1020</v>
      </c>
    </row>
    <row r="39" spans="1:5" ht="12.75" customHeight="1">
      <c r="A39" s="492">
        <f>A38+1</f>
        <v>2020</v>
      </c>
      <c r="B39" s="48" t="s">
        <v>49</v>
      </c>
      <c r="C39" s="291"/>
      <c r="D39" s="291"/>
      <c r="E39" s="63">
        <f>D39-C39</f>
        <v>0</v>
      </c>
    </row>
    <row r="40" spans="1:5" ht="12.75" customHeight="1">
      <c r="A40" s="492">
        <f>A39+1</f>
        <v>2021</v>
      </c>
      <c r="B40" s="44" t="s">
        <v>42</v>
      </c>
      <c r="C40" s="292"/>
      <c r="D40" s="292"/>
      <c r="E40" s="63">
        <f>D40-C40</f>
        <v>0</v>
      </c>
    </row>
    <row r="41" spans="1:5" ht="12.75" customHeight="1">
      <c r="A41" s="492">
        <f>A40+1</f>
        <v>2022</v>
      </c>
      <c r="B41" s="264" t="s">
        <v>43</v>
      </c>
      <c r="C41" s="44">
        <f>IF(C38&lt;&gt;0,C38/C40,"")</f>
      </c>
      <c r="D41" s="44">
        <f>IF(D38&lt;&gt;0,D38/D40,"")</f>
      </c>
      <c r="E41" s="44"/>
    </row>
    <row r="42" spans="1:5" ht="12.75" customHeight="1">
      <c r="A42" s="492">
        <f>A41+1</f>
        <v>2023</v>
      </c>
      <c r="B42" s="38" t="s">
        <v>50</v>
      </c>
      <c r="C42" s="44">
        <f>IF(C38&lt;&gt;0,C38/C39,"")</f>
      </c>
      <c r="D42" s="44">
        <f>IF(D38&lt;&gt;0,D38/D39,"")</f>
      </c>
      <c r="E42" s="44"/>
    </row>
    <row r="43" ht="12.75" customHeight="1">
      <c r="A43" s="288"/>
    </row>
    <row r="44" ht="12.75" customHeight="1"/>
  </sheetData>
  <sheetProtection password="CCF6" sheet="1" objects="1" scenarios="1"/>
  <conditionalFormatting sqref="C38:D40 B12:D27">
    <cfRule type="expression" priority="1" dxfId="0" stopIfTrue="1">
      <formula>$D$2=TRUE</formula>
    </cfRule>
  </conditionalFormatting>
  <dataValidations count="2">
    <dataValidation type="whole" operator="lessThanOrEqual" allowBlank="1" showInputMessage="1" showErrorMessage="1" error="De hardheidsclausule 2006 mag maximaal het in de rekenstaat 2006 opgenomen bedrag zijn. Verhogingen en nieuwe cliënten zijn niet toegestaan." sqref="D11:D27">
      <formula1>C11</formula1>
    </dataValidation>
    <dataValidation type="whole" operator="lessThanOrEqual" allowBlank="1" showInputMessage="1" showErrorMessage="1" error="Z-o-m 2006 mag niet hoger zijn dan nu in de rekenstaat opgenomen!" sqref="D38">
      <formula1>C38</formula1>
    </dataValidation>
  </dataValidations>
  <printOptions horizontalCentered="1"/>
  <pageMargins left="0.3937007874015748" right="0.3937007874015748" top="0.1968503937007874" bottom="0.1968503937007874" header="0.5118110236220472" footer="0.5118110236220472"/>
  <pageSetup horizontalDpi="600" verticalDpi="600" orientation="landscape" paperSize="9" scale="85" r:id="rId2"/>
  <headerFooter alignWithMargins="0">
    <oddFooter>&amp;C&amp;A</oddFooter>
  </headerFooter>
  <drawing r:id="rId1"/>
</worksheet>
</file>

<file path=xl/worksheets/sheet11.xml><?xml version="1.0" encoding="utf-8"?>
<worksheet xmlns="http://schemas.openxmlformats.org/spreadsheetml/2006/main" xmlns:r="http://schemas.openxmlformats.org/officeDocument/2006/relationships">
  <dimension ref="A1:V34"/>
  <sheetViews>
    <sheetView showGridLines="0" tabSelected="1" zoomScale="90" zoomScaleNormal="90" zoomScaleSheetLayoutView="75" workbookViewId="0" topLeftCell="A1">
      <selection activeCell="A17" sqref="A17"/>
    </sheetView>
  </sheetViews>
  <sheetFormatPr defaultColWidth="9.140625" defaultRowHeight="12.75" customHeight="1" zeroHeight="1"/>
  <cols>
    <col min="1" max="1" width="5.7109375" style="99" customWidth="1"/>
    <col min="2" max="2" width="63.421875" style="11" customWidth="1"/>
    <col min="3" max="3" width="13.28125" style="11" customWidth="1"/>
    <col min="4" max="4" width="13.140625" style="11" customWidth="1"/>
    <col min="5" max="5" width="15.00390625" style="11" customWidth="1"/>
    <col min="6" max="6" width="19.57421875" style="11" customWidth="1"/>
    <col min="7" max="7" width="14.57421875" style="11" customWidth="1"/>
    <col min="8" max="8" width="9.140625" style="11" customWidth="1"/>
    <col min="9" max="16384" width="9.140625" style="11" hidden="1" customWidth="1"/>
  </cols>
  <sheetData>
    <row r="1" spans="15:22" s="3" customFormat="1" ht="14.25" customHeight="1">
      <c r="O1" s="236"/>
      <c r="P1" s="236"/>
      <c r="Q1" s="237"/>
      <c r="R1" s="237"/>
      <c r="S1" s="236"/>
      <c r="T1" s="236"/>
      <c r="U1" s="238"/>
      <c r="V1" s="239"/>
    </row>
    <row r="2" spans="1:19" s="108" customFormat="1" ht="13.5" customHeight="1">
      <c r="A2" s="110" t="str">
        <f>voorblad!$A$20</f>
        <v>Mutatieformulier regiokader gehandicaptenzorg 2006</v>
      </c>
      <c r="B2" s="1"/>
      <c r="C2" s="228"/>
      <c r="D2" s="241" t="str">
        <f>"versie: "&amp;TEXT(voorblad!$L$25,"dd-mm-jjjj")</f>
        <v>versie: 11-09-2006</v>
      </c>
      <c r="E2" s="259" t="b">
        <f>voorblad!E14</f>
        <v>1</v>
      </c>
      <c r="G2" s="244">
        <f>'hardheidsclausule en z-o-m'!F2+1</f>
        <v>21</v>
      </c>
      <c r="H2" s="231"/>
      <c r="I2" s="243"/>
      <c r="J2" s="244">
        <v>1</v>
      </c>
      <c r="K2" s="244"/>
      <c r="L2" s="245"/>
      <c r="M2" s="245"/>
      <c r="N2" s="244"/>
      <c r="O2" s="244"/>
      <c r="P2" s="246"/>
      <c r="Q2" s="247"/>
      <c r="R2" s="2"/>
      <c r="S2" s="2"/>
    </row>
    <row r="3" spans="1:16" s="3" customFormat="1" ht="19.5" customHeight="1">
      <c r="A3" s="229"/>
      <c r="B3" s="232"/>
      <c r="C3" s="230" t="s">
        <v>601</v>
      </c>
      <c r="D3" s="230" t="s">
        <v>601</v>
      </c>
      <c r="E3" s="233"/>
      <c r="F3" s="233"/>
      <c r="G3" s="2"/>
      <c r="H3" s="234"/>
      <c r="I3" s="235"/>
      <c r="J3" s="2"/>
      <c r="K3" s="9"/>
      <c r="L3" s="2"/>
      <c r="M3" s="229"/>
      <c r="N3" s="229"/>
      <c r="O3" s="2"/>
      <c r="P3" s="2"/>
    </row>
    <row r="4" spans="1:7" ht="15" customHeight="1">
      <c r="A4" s="15"/>
      <c r="B4" s="25"/>
      <c r="C4" s="15"/>
      <c r="D4" s="15"/>
      <c r="E4" s="15"/>
      <c r="F4" s="15"/>
      <c r="G4" s="15"/>
    </row>
    <row r="5" spans="1:7" ht="15" customHeight="1">
      <c r="A5" s="15"/>
      <c r="B5" s="301" t="s">
        <v>370</v>
      </c>
      <c r="C5" s="15"/>
      <c r="D5" s="15"/>
      <c r="E5" s="15"/>
      <c r="F5" s="15"/>
      <c r="G5" s="15"/>
    </row>
    <row r="6" spans="1:7" ht="15" customHeight="1">
      <c r="A6" s="15"/>
      <c r="B6" s="15"/>
      <c r="C6" s="15"/>
      <c r="D6" s="15"/>
      <c r="E6" s="15"/>
      <c r="F6" s="15"/>
      <c r="G6" s="15"/>
    </row>
    <row r="7" spans="1:7" ht="15" customHeight="1">
      <c r="A7" s="15" t="s">
        <v>144</v>
      </c>
      <c r="B7" s="25"/>
      <c r="C7" s="15"/>
      <c r="D7" s="15"/>
      <c r="E7" s="15"/>
      <c r="F7" s="15"/>
      <c r="G7" s="15"/>
    </row>
    <row r="8" spans="1:7" ht="15" customHeight="1">
      <c r="A8" s="15" t="s">
        <v>371</v>
      </c>
      <c r="B8" s="15" t="s">
        <v>372</v>
      </c>
      <c r="C8" s="15"/>
      <c r="D8" s="15"/>
      <c r="E8" s="15"/>
      <c r="F8" s="15"/>
      <c r="G8" s="15"/>
    </row>
    <row r="9" spans="1:7" ht="15" customHeight="1">
      <c r="A9" s="15" t="s">
        <v>298</v>
      </c>
      <c r="B9" s="15" t="s">
        <v>429</v>
      </c>
      <c r="C9" s="15"/>
      <c r="D9" s="15"/>
      <c r="E9" s="15"/>
      <c r="F9" s="15"/>
      <c r="G9" s="15"/>
    </row>
    <row r="10" spans="1:7" ht="15" customHeight="1">
      <c r="A10" s="15" t="s">
        <v>209</v>
      </c>
      <c r="B10" s="15" t="s">
        <v>210</v>
      </c>
      <c r="C10" s="15"/>
      <c r="D10" s="15"/>
      <c r="E10" s="15"/>
      <c r="F10" s="15"/>
      <c r="G10" s="15"/>
    </row>
    <row r="11" spans="1:7" ht="15" customHeight="1">
      <c r="A11" s="15"/>
      <c r="B11" s="25"/>
      <c r="C11" s="15"/>
      <c r="D11" s="15"/>
      <c r="E11" s="15"/>
      <c r="F11" s="15"/>
      <c r="G11" s="15"/>
    </row>
    <row r="12" spans="1:7" ht="15" customHeight="1">
      <c r="A12" s="15" t="s">
        <v>451</v>
      </c>
      <c r="B12" s="15"/>
      <c r="C12" s="15"/>
      <c r="D12" s="15"/>
      <c r="E12" s="15"/>
      <c r="F12" s="15"/>
      <c r="G12" s="15"/>
    </row>
    <row r="13" spans="1:7" ht="15" customHeight="1">
      <c r="A13" s="15" t="s">
        <v>450</v>
      </c>
      <c r="B13" s="15"/>
      <c r="C13" s="15"/>
      <c r="D13" s="15"/>
      <c r="E13" s="15"/>
      <c r="F13" s="15"/>
      <c r="G13" s="15"/>
    </row>
    <row r="14" spans="1:7" ht="15" customHeight="1">
      <c r="A14" s="15"/>
      <c r="B14" s="15"/>
      <c r="C14" s="15"/>
      <c r="D14" s="15"/>
      <c r="E14" s="15"/>
      <c r="F14" s="15"/>
      <c r="G14" s="15"/>
    </row>
    <row r="15" spans="1:7" ht="15" customHeight="1">
      <c r="A15" s="15"/>
      <c r="B15" s="15" t="s">
        <v>643</v>
      </c>
      <c r="C15" s="15"/>
      <c r="D15" s="15"/>
      <c r="E15" s="15"/>
      <c r="G15" s="13"/>
    </row>
    <row r="16" spans="1:7" ht="15" customHeight="1">
      <c r="A16" s="15"/>
      <c r="B16" s="515" t="s">
        <v>448</v>
      </c>
      <c r="C16" s="516" t="s">
        <v>373</v>
      </c>
      <c r="D16" s="517"/>
      <c r="E16" s="518" t="s">
        <v>321</v>
      </c>
      <c r="F16" s="510" t="s">
        <v>661</v>
      </c>
      <c r="G16" s="510" t="s">
        <v>440</v>
      </c>
    </row>
    <row r="17" spans="1:7" ht="15" customHeight="1">
      <c r="A17" s="493">
        <f>G2*100+1</f>
        <v>2101</v>
      </c>
      <c r="B17" s="68"/>
      <c r="C17" s="68"/>
      <c r="D17" s="69"/>
      <c r="E17" s="70"/>
      <c r="F17" s="71"/>
      <c r="G17" s="467"/>
    </row>
    <row r="18" spans="1:7" ht="15" customHeight="1">
      <c r="A18" s="493">
        <f aca="true" t="shared" si="0" ref="A18:A26">A17+1</f>
        <v>2102</v>
      </c>
      <c r="B18" s="72"/>
      <c r="C18" s="72"/>
      <c r="D18" s="73"/>
      <c r="E18" s="74"/>
      <c r="F18" s="75"/>
      <c r="G18" s="467"/>
    </row>
    <row r="19" spans="1:7" ht="15" customHeight="1">
      <c r="A19" s="493">
        <f t="shared" si="0"/>
        <v>2103</v>
      </c>
      <c r="B19" s="76"/>
      <c r="C19" s="76"/>
      <c r="D19" s="77"/>
      <c r="E19" s="78"/>
      <c r="F19" s="79"/>
      <c r="G19" s="467"/>
    </row>
    <row r="20" spans="1:7" ht="15" customHeight="1">
      <c r="A20" s="493">
        <f t="shared" si="0"/>
        <v>2104</v>
      </c>
      <c r="B20" s="72"/>
      <c r="C20" s="72"/>
      <c r="D20" s="73"/>
      <c r="E20" s="74"/>
      <c r="F20" s="75"/>
      <c r="G20" s="467"/>
    </row>
    <row r="21" spans="1:7" ht="15" customHeight="1">
      <c r="A21" s="493">
        <f t="shared" si="0"/>
        <v>2105</v>
      </c>
      <c r="B21" s="76"/>
      <c r="C21" s="76"/>
      <c r="D21" s="77"/>
      <c r="E21" s="78"/>
      <c r="F21" s="79"/>
      <c r="G21" s="467"/>
    </row>
    <row r="22" spans="1:7" ht="15" customHeight="1">
      <c r="A22" s="493">
        <f t="shared" si="0"/>
        <v>2106</v>
      </c>
      <c r="B22" s="72"/>
      <c r="C22" s="72"/>
      <c r="D22" s="73"/>
      <c r="E22" s="74"/>
      <c r="F22" s="75"/>
      <c r="G22" s="467"/>
    </row>
    <row r="23" spans="1:7" ht="15" customHeight="1">
      <c r="A23" s="493">
        <f t="shared" si="0"/>
        <v>2107</v>
      </c>
      <c r="B23" s="76"/>
      <c r="C23" s="76"/>
      <c r="D23" s="77"/>
      <c r="E23" s="78"/>
      <c r="F23" s="79"/>
      <c r="G23" s="467"/>
    </row>
    <row r="24" spans="1:7" ht="15" customHeight="1">
      <c r="A24" s="493">
        <f t="shared" si="0"/>
        <v>2108</v>
      </c>
      <c r="B24" s="72"/>
      <c r="C24" s="72"/>
      <c r="D24" s="73"/>
      <c r="E24" s="74"/>
      <c r="F24" s="75"/>
      <c r="G24" s="467"/>
    </row>
    <row r="25" spans="1:7" ht="15" customHeight="1">
      <c r="A25" s="493">
        <f t="shared" si="0"/>
        <v>2109</v>
      </c>
      <c r="B25" s="76"/>
      <c r="C25" s="76"/>
      <c r="D25" s="77"/>
      <c r="E25" s="78"/>
      <c r="F25" s="79"/>
      <c r="G25" s="467"/>
    </row>
    <row r="26" spans="1:7" ht="15" customHeight="1">
      <c r="A26" s="493">
        <f t="shared" si="0"/>
        <v>2110</v>
      </c>
      <c r="B26" s="72"/>
      <c r="C26" s="72"/>
      <c r="D26" s="73"/>
      <c r="E26" s="74"/>
      <c r="F26" s="75"/>
      <c r="G26" s="467"/>
    </row>
    <row r="27" spans="1:7" ht="15" customHeight="1">
      <c r="A27" s="25"/>
      <c r="B27" s="15"/>
      <c r="C27" s="15"/>
      <c r="D27" s="15"/>
      <c r="E27" s="15"/>
      <c r="F27" s="15"/>
      <c r="G27" s="15"/>
    </row>
    <row r="28" spans="1:7" ht="15" customHeight="1">
      <c r="A28" s="493">
        <f>A26+1</f>
        <v>2111</v>
      </c>
      <c r="B28" s="67" t="s">
        <v>123</v>
      </c>
      <c r="C28" s="58">
        <f>SUM(G17:G26)</f>
        <v>0</v>
      </c>
      <c r="D28" s="23"/>
      <c r="E28" s="24"/>
      <c r="F28" s="24"/>
      <c r="G28" s="15"/>
    </row>
    <row r="29" spans="1:7" ht="15" customHeight="1">
      <c r="A29" s="493">
        <f>A28+1</f>
        <v>2112</v>
      </c>
      <c r="B29" s="32" t="s">
        <v>122</v>
      </c>
      <c r="C29" s="46"/>
      <c r="D29" s="23"/>
      <c r="E29" s="24"/>
      <c r="F29" s="24"/>
      <c r="G29" s="15"/>
    </row>
    <row r="30" spans="1:7" ht="15" customHeight="1">
      <c r="A30" s="493">
        <f>A29+1</f>
        <v>2113</v>
      </c>
      <c r="B30" s="32" t="s">
        <v>493</v>
      </c>
      <c r="C30" s="46"/>
      <c r="D30" s="23"/>
      <c r="E30" s="24"/>
      <c r="F30" s="34"/>
      <c r="G30" s="15"/>
    </row>
    <row r="31" spans="1:7" ht="15" customHeight="1">
      <c r="A31" s="493">
        <f>A30+1</f>
        <v>2114</v>
      </c>
      <c r="B31" s="32" t="s">
        <v>218</v>
      </c>
      <c r="C31" s="58">
        <f>C28+C29-C30</f>
        <v>0</v>
      </c>
      <c r="D31" s="294" t="s">
        <v>52</v>
      </c>
      <c r="E31" s="611">
        <f>1387.1*1.0158</f>
        <v>1409.0161799999998</v>
      </c>
      <c r="F31" s="58">
        <f>(E31+'doorrekening 1'!G5)*C31</f>
        <v>0</v>
      </c>
      <c r="G31" s="818" t="s">
        <v>996</v>
      </c>
    </row>
    <row r="32" spans="2:7" ht="15" customHeight="1">
      <c r="B32" s="15"/>
      <c r="C32" s="15"/>
      <c r="D32" s="15"/>
      <c r="E32" s="15"/>
      <c r="F32" s="15"/>
      <c r="G32" s="15"/>
    </row>
    <row r="33" spans="1:7" ht="15" customHeight="1">
      <c r="A33" s="15" t="s">
        <v>96</v>
      </c>
      <c r="B33" s="15"/>
      <c r="C33" s="15"/>
      <c r="D33" s="15"/>
      <c r="E33" s="15"/>
      <c r="F33" s="15"/>
      <c r="G33" s="15"/>
    </row>
    <row r="34" spans="1:7" ht="15" customHeight="1">
      <c r="A34" s="15" t="s">
        <v>449</v>
      </c>
      <c r="B34" s="15"/>
      <c r="C34" s="15"/>
      <c r="D34" s="15"/>
      <c r="E34" s="15"/>
      <c r="F34" s="15"/>
      <c r="G34" s="15"/>
    </row>
    <row r="35" ht="15" customHeight="1"/>
    <row r="36" ht="15" customHeight="1" hidden="1"/>
    <row r="37" ht="15" customHeight="1" hidden="1"/>
    <row r="38" ht="15" customHeight="1" hidden="1"/>
    <row r="39" ht="15" customHeight="1" hidden="1"/>
    <row r="40" ht="15" customHeight="1" hidden="1"/>
    <row r="41" ht="15" customHeight="1" hidden="1"/>
    <row r="42" ht="15" customHeight="1" hidden="1"/>
    <row r="43" ht="15" customHeight="1" hidden="1"/>
    <row r="44" ht="15" customHeight="1" hidden="1"/>
    <row r="45" ht="15" customHeight="1" hidden="1"/>
    <row r="46" ht="15" customHeight="1" hidden="1"/>
    <row r="47" ht="15" customHeight="1" hidden="1"/>
    <row r="48" ht="15" customHeight="1" hidden="1"/>
    <row r="49" ht="15" customHeight="1" hidden="1"/>
    <row r="50" ht="15" customHeight="1" hidden="1"/>
    <row r="51" ht="15" customHeight="1" hidden="1"/>
    <row r="52" ht="15" customHeight="1" hidden="1"/>
    <row r="53" ht="15" customHeight="1" hidden="1"/>
    <row r="54" ht="15" customHeight="1" hidden="1"/>
    <row r="55" ht="15" customHeight="1" hidden="1"/>
    <row r="56" ht="15" customHeight="1" hidden="1"/>
    <row r="57" ht="15" customHeight="1" hidden="1"/>
    <row r="58" ht="15" customHeight="1" hidden="1"/>
    <row r="59" ht="15" customHeight="1" hidden="1"/>
    <row r="60" ht="15" customHeight="1" hidden="1"/>
    <row r="61" ht="15" customHeight="1" hidden="1"/>
    <row r="62" ht="15" customHeight="1" hidden="1"/>
    <row r="63" ht="15" customHeight="1" hidden="1"/>
    <row r="64" ht="15" customHeight="1" hidden="1"/>
    <row r="65" ht="15" customHeight="1" hidden="1"/>
    <row r="66" ht="15" customHeight="1" hidden="1"/>
    <row r="67" ht="15" customHeight="1" hidden="1"/>
    <row r="68" ht="15" customHeight="1" hidden="1"/>
    <row r="69" ht="15" customHeight="1" hidden="1"/>
    <row r="70" ht="15" customHeight="1" hidden="1"/>
    <row r="71" ht="15" customHeight="1" hidden="1"/>
    <row r="72" ht="15" customHeight="1" hidden="1"/>
    <row r="73" ht="15" customHeight="1" hidden="1"/>
    <row r="74" ht="15" customHeight="1" hidden="1"/>
    <row r="75" ht="15" customHeight="1" hidden="1"/>
    <row r="76" ht="15" customHeight="1" hidden="1"/>
    <row r="77" ht="15" customHeight="1" hidden="1"/>
    <row r="78" ht="15" customHeight="1" hidden="1"/>
    <row r="79" ht="15" customHeight="1" hidden="1"/>
    <row r="80" ht="15" customHeight="1" hidden="1"/>
    <row r="81" ht="15" customHeight="1" hidden="1"/>
    <row r="82" ht="15" customHeight="1" hidden="1"/>
    <row r="83" ht="15" customHeight="1" hidden="1"/>
    <row r="84" ht="15" customHeight="1" hidden="1"/>
    <row r="85" ht="15" customHeight="1" hidden="1"/>
    <row r="86" ht="15" customHeight="1" hidden="1"/>
    <row r="87" ht="15" customHeight="1" hidden="1"/>
    <row r="88" ht="15" customHeight="1" hidden="1"/>
    <row r="89" ht="15" customHeight="1" hidden="1"/>
    <row r="90" ht="15" customHeight="1" hidden="1"/>
    <row r="91" ht="15" customHeight="1" hidden="1"/>
    <row r="92" ht="15" customHeight="1" hidden="1"/>
    <row r="93" ht="12.75" customHeight="1" hidden="1"/>
    <row r="94" ht="12.75" customHeight="1" hidden="1"/>
    <row r="95" ht="12.75" customHeight="1" hidden="1"/>
    <row r="96" ht="12.75" customHeight="1" hidden="1"/>
    <row r="97" ht="12.75" customHeight="1" hidden="1"/>
    <row r="98" ht="12.75" customHeight="1" hidden="1"/>
    <row r="99" ht="12.75" customHeight="1" hidden="1"/>
    <row r="100" ht="12.75" customHeight="1" hidden="1"/>
    <row r="101" ht="12.75" customHeight="1" hidden="1"/>
    <row r="102" ht="12.75" customHeight="1" hidden="1"/>
    <row r="103" ht="12.75" customHeight="1" hidden="1"/>
    <row r="104" ht="12.75" customHeight="1" hidden="1"/>
    <row r="105" ht="12.75" customHeight="1" hidden="1"/>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sheetData>
  <sheetProtection password="CCF6" sheet="1" objects="1" scenarios="1"/>
  <conditionalFormatting sqref="B17:G26 C29:C30">
    <cfRule type="expression" priority="1" dxfId="0" stopIfTrue="1">
      <formula>$E$2=TRUE</formula>
    </cfRule>
  </conditionalFormatting>
  <dataValidations count="1">
    <dataValidation type="whole" allowBlank="1" showInputMessage="1" showErrorMessage="1" error="Geheel getal tussen 0 en 50 invoeren" sqref="G17:G26">
      <formula1>-50</formula1>
      <formula2>50</formula2>
    </dataValidation>
  </dataValidations>
  <printOptions horizontalCentered="1"/>
  <pageMargins left="0.3937007874015748" right="0.3937007874015748" top="0.1968503937007874" bottom="0.1968503937007874" header="0.5118110236220472" footer="0.5118110236220472"/>
  <pageSetup horizontalDpi="600" verticalDpi="600" orientation="landscape" paperSize="9" scale="85" r:id="rId2"/>
  <headerFooter alignWithMargins="0">
    <oddFooter>&amp;C&amp;A</oddFooter>
  </headerFooter>
  <rowBreaks count="3" manualBreakCount="3">
    <brk id="34" max="12" man="1"/>
    <brk id="69" max="12" man="1"/>
    <brk id="105" max="13" man="1"/>
  </rowBreaks>
  <drawing r:id="rId1"/>
</worksheet>
</file>

<file path=xl/worksheets/sheet12.xml><?xml version="1.0" encoding="utf-8"?>
<worksheet xmlns="http://schemas.openxmlformats.org/spreadsheetml/2006/main" xmlns:r="http://schemas.openxmlformats.org/officeDocument/2006/relationships">
  <dimension ref="A1:V26"/>
  <sheetViews>
    <sheetView showGridLines="0" tabSelected="1" zoomScale="90" zoomScaleNormal="90" zoomScaleSheetLayoutView="75" workbookViewId="0" topLeftCell="A1">
      <selection activeCell="A17" sqref="A17"/>
    </sheetView>
  </sheetViews>
  <sheetFormatPr defaultColWidth="9.140625" defaultRowHeight="12.75" customHeight="1" zeroHeight="1"/>
  <cols>
    <col min="1" max="1" width="5.7109375" style="42" customWidth="1"/>
    <col min="2" max="2" width="47.421875" style="11" customWidth="1"/>
    <col min="3" max="3" width="13.8515625" style="11" customWidth="1"/>
    <col min="4" max="4" width="27.7109375" style="11" customWidth="1"/>
    <col min="5" max="7" width="12.7109375" style="11" customWidth="1"/>
    <col min="8" max="8" width="2.421875" style="11" customWidth="1"/>
    <col min="9" max="16384" width="9.140625" style="11" hidden="1" customWidth="1"/>
  </cols>
  <sheetData>
    <row r="1" spans="15:22" s="3" customFormat="1" ht="14.25" customHeight="1">
      <c r="O1" s="236"/>
      <c r="P1" s="236"/>
      <c r="Q1" s="237"/>
      <c r="R1" s="237"/>
      <c r="S1" s="236"/>
      <c r="T1" s="236"/>
      <c r="U1" s="238"/>
      <c r="V1" s="239"/>
    </row>
    <row r="2" spans="1:19" s="108" customFormat="1" ht="13.5" customHeight="1">
      <c r="A2" s="110" t="str">
        <f>voorblad!$A$20</f>
        <v>Mutatieformulier regiokader gehandicaptenzorg 2006</v>
      </c>
      <c r="B2" s="1"/>
      <c r="C2" s="228"/>
      <c r="D2" s="241" t="str">
        <f>"versie: "&amp;TEXT(voorblad!$L$25,"dd-mm-jjjj")</f>
        <v>versie: 11-09-2006</v>
      </c>
      <c r="E2" s="259" t="b">
        <f>voorblad!E14</f>
        <v>1</v>
      </c>
      <c r="G2" s="244">
        <f>deconcentratie!G2+1</f>
        <v>22</v>
      </c>
      <c r="H2" s="231"/>
      <c r="I2" s="243"/>
      <c r="J2" s="244"/>
      <c r="K2" s="244"/>
      <c r="L2" s="245"/>
      <c r="M2" s="245"/>
      <c r="N2" s="244"/>
      <c r="O2" s="244"/>
      <c r="P2" s="246"/>
      <c r="Q2" s="247"/>
      <c r="R2" s="2"/>
      <c r="S2" s="2"/>
    </row>
    <row r="3" spans="1:16" s="3" customFormat="1" ht="19.5" customHeight="1">
      <c r="A3" s="230"/>
      <c r="B3" s="232"/>
      <c r="C3" s="257" t="b">
        <f>voorblad!E14</f>
        <v>1</v>
      </c>
      <c r="D3" s="230" t="s">
        <v>601</v>
      </c>
      <c r="E3" s="233"/>
      <c r="F3" s="233"/>
      <c r="G3" s="2"/>
      <c r="H3" s="234"/>
      <c r="I3" s="235"/>
      <c r="J3" s="2"/>
      <c r="K3" s="9"/>
      <c r="L3" s="2"/>
      <c r="M3" s="229"/>
      <c r="N3" s="229"/>
      <c r="O3" s="2"/>
      <c r="P3" s="2"/>
    </row>
    <row r="4" spans="1:16" s="3" customFormat="1" ht="19.5" customHeight="1">
      <c r="A4" s="230"/>
      <c r="B4" s="502" t="s">
        <v>100</v>
      </c>
      <c r="C4" s="230"/>
      <c r="D4" s="230"/>
      <c r="E4" s="233"/>
      <c r="F4" s="233"/>
      <c r="G4" s="2"/>
      <c r="H4" s="234"/>
      <c r="I4" s="235"/>
      <c r="J4" s="2"/>
      <c r="K4" s="9"/>
      <c r="L4" s="2"/>
      <c r="M4" s="229"/>
      <c r="N4" s="229"/>
      <c r="O4" s="2"/>
      <c r="P4" s="2"/>
    </row>
    <row r="5" spans="1:16" s="3" customFormat="1" ht="19.5" customHeight="1">
      <c r="A5" s="230"/>
      <c r="B5" s="232"/>
      <c r="C5" s="230"/>
      <c r="D5" s="230"/>
      <c r="E5" s="233"/>
      <c r="F5" s="233"/>
      <c r="G5" s="2"/>
      <c r="H5" s="234"/>
      <c r="I5" s="235"/>
      <c r="J5" s="2"/>
      <c r="K5" s="9"/>
      <c r="L5" s="2"/>
      <c r="M5" s="229"/>
      <c r="N5" s="229"/>
      <c r="O5" s="2"/>
      <c r="P5" s="2"/>
    </row>
    <row r="6" spans="2:7" ht="15" customHeight="1">
      <c r="B6" s="208" t="s">
        <v>323</v>
      </c>
      <c r="C6" s="205" t="s">
        <v>97</v>
      </c>
      <c r="D6" s="206" t="s">
        <v>98</v>
      </c>
      <c r="E6" s="205" t="s">
        <v>99</v>
      </c>
      <c r="F6" s="206" t="s">
        <v>36</v>
      </c>
      <c r="G6" s="205" t="s">
        <v>37</v>
      </c>
    </row>
    <row r="7" spans="1:7" ht="15" customHeight="1">
      <c r="A7" s="288"/>
      <c r="B7" s="210"/>
      <c r="C7" s="207" t="s">
        <v>644</v>
      </c>
      <c r="D7" s="519" t="s">
        <v>644</v>
      </c>
      <c r="E7" s="207" t="s">
        <v>573</v>
      </c>
      <c r="F7" s="519" t="s">
        <v>688</v>
      </c>
      <c r="G7" s="207" t="s">
        <v>660</v>
      </c>
    </row>
    <row r="8" spans="1:14" ht="15" customHeight="1">
      <c r="A8" s="494">
        <f>G2*100+1</f>
        <v>2201</v>
      </c>
      <c r="B8" s="44" t="s">
        <v>151</v>
      </c>
      <c r="C8" s="593" t="s">
        <v>152</v>
      </c>
      <c r="D8" s="44" t="s">
        <v>151</v>
      </c>
      <c r="E8" s="283"/>
      <c r="F8" s="283"/>
      <c r="G8" s="59">
        <f aca="true" t="shared" si="0" ref="G8:G13">F8-E8</f>
        <v>0</v>
      </c>
      <c r="L8" s="11" t="s">
        <v>141</v>
      </c>
      <c r="M8" s="11" t="str">
        <f>voorblad!K37</f>
        <v>regio invullen</v>
      </c>
      <c r="N8" s="11">
        <f>IF(L8=M8,1,0)</f>
        <v>0</v>
      </c>
    </row>
    <row r="9" spans="1:14" ht="15" customHeight="1">
      <c r="A9" s="47">
        <f>A8+1</f>
        <v>2202</v>
      </c>
      <c r="B9" s="823"/>
      <c r="C9" s="824"/>
      <c r="D9" s="823"/>
      <c r="E9" s="283"/>
      <c r="F9" s="283"/>
      <c r="G9" s="59">
        <f t="shared" si="0"/>
        <v>0</v>
      </c>
      <c r="L9" s="11" t="s">
        <v>634</v>
      </c>
      <c r="M9" s="11" t="str">
        <f>voorblad!K37</f>
        <v>regio invullen</v>
      </c>
      <c r="N9" s="11">
        <f>IF(L9=M9,1,0)</f>
        <v>0</v>
      </c>
    </row>
    <row r="10" spans="1:14" ht="15" customHeight="1">
      <c r="A10" s="47">
        <f>A9+1</f>
        <v>2203</v>
      </c>
      <c r="B10" s="282"/>
      <c r="C10" s="295"/>
      <c r="D10" s="282"/>
      <c r="E10" s="283"/>
      <c r="F10" s="283"/>
      <c r="G10" s="59">
        <f t="shared" si="0"/>
        <v>0</v>
      </c>
      <c r="L10" s="11" t="s">
        <v>139</v>
      </c>
      <c r="M10" s="11" t="str">
        <f>voorblad!K37</f>
        <v>regio invullen</v>
      </c>
      <c r="N10" s="11">
        <f>IF(L10=M10,1,0)</f>
        <v>0</v>
      </c>
    </row>
    <row r="11" spans="1:14" ht="15" customHeight="1">
      <c r="A11" s="47">
        <f>A10+1</f>
        <v>2204</v>
      </c>
      <c r="B11" s="282"/>
      <c r="C11" s="295"/>
      <c r="D11" s="282"/>
      <c r="E11" s="283"/>
      <c r="F11" s="283"/>
      <c r="G11" s="59">
        <f t="shared" si="0"/>
        <v>0</v>
      </c>
      <c r="L11" s="13" t="s">
        <v>631</v>
      </c>
      <c r="M11" s="11" t="str">
        <f>voorblad!K37</f>
        <v>regio invullen</v>
      </c>
      <c r="N11" s="11">
        <f>IF(L11=M11,1,0)</f>
        <v>0</v>
      </c>
    </row>
    <row r="12" spans="1:14" ht="15" customHeight="1">
      <c r="A12" s="47">
        <f>A11+1</f>
        <v>2205</v>
      </c>
      <c r="B12" s="282"/>
      <c r="C12" s="295"/>
      <c r="D12" s="282"/>
      <c r="E12" s="283"/>
      <c r="F12" s="283"/>
      <c r="G12" s="59">
        <f t="shared" si="0"/>
        <v>0</v>
      </c>
      <c r="N12" s="13">
        <f>SUM(N8:N11)</f>
        <v>0</v>
      </c>
    </row>
    <row r="13" spans="1:7" ht="15" customHeight="1">
      <c r="A13" s="47">
        <f>A12+1</f>
        <v>2206</v>
      </c>
      <c r="B13" s="282"/>
      <c r="C13" s="295"/>
      <c r="D13" s="282"/>
      <c r="E13" s="283"/>
      <c r="F13" s="283"/>
      <c r="G13" s="59">
        <f t="shared" si="0"/>
        <v>0</v>
      </c>
    </row>
    <row r="14" spans="5:7" ht="15" customHeight="1">
      <c r="E14" s="59">
        <f>SUM(E8:E13)</f>
        <v>0</v>
      </c>
      <c r="F14" s="59">
        <f>SUM(F8:F13)</f>
        <v>0</v>
      </c>
      <c r="G14" s="59">
        <f>SUM(G8:G13)</f>
        <v>0</v>
      </c>
    </row>
    <row r="15" spans="1:7" ht="15" customHeight="1">
      <c r="A15" s="42" t="s">
        <v>645</v>
      </c>
      <c r="E15" s="36"/>
      <c r="F15" s="36"/>
      <c r="G15" s="36"/>
    </row>
    <row r="16" spans="5:7" ht="15" customHeight="1">
      <c r="E16" s="36"/>
      <c r="F16" s="36"/>
      <c r="G16" s="36"/>
    </row>
    <row r="17" spans="2:7" ht="15" customHeight="1">
      <c r="B17" s="35" t="s">
        <v>1025</v>
      </c>
      <c r="E17" s="36"/>
      <c r="F17" s="36"/>
      <c r="G17" s="36"/>
    </row>
    <row r="18" spans="2:7" ht="15" customHeight="1">
      <c r="B18" s="88" t="s">
        <v>1022</v>
      </c>
      <c r="C18" s="88" t="s">
        <v>1021</v>
      </c>
      <c r="D18" s="88" t="s">
        <v>321</v>
      </c>
      <c r="E18" s="819" t="s">
        <v>1023</v>
      </c>
      <c r="F18" s="819" t="s">
        <v>1024</v>
      </c>
      <c r="G18" s="36"/>
    </row>
    <row r="19" spans="1:7" ht="15" customHeight="1">
      <c r="A19" s="494">
        <f>A13+1</f>
        <v>2207</v>
      </c>
      <c r="B19" s="44">
        <f>IF(voorblad!C37="","",voorblad!C37)</f>
      </c>
      <c r="C19" s="820" t="str">
        <f>"600 -"&amp;voorblad!G23</f>
        <v>600 -</v>
      </c>
      <c r="D19" s="44">
        <f>IF(voorblad!C38="","",voorblad!C38)</f>
      </c>
      <c r="E19" s="821"/>
      <c r="F19" s="821"/>
      <c r="G19" s="36"/>
    </row>
    <row r="20" spans="1:2" ht="15" customHeight="1">
      <c r="A20" s="11"/>
      <c r="B20" s="11" t="s">
        <v>1026</v>
      </c>
    </row>
    <row r="21" ht="15" customHeight="1">
      <c r="B21" s="13" t="s">
        <v>1027</v>
      </c>
    </row>
    <row r="22" ht="12.75" customHeight="1"/>
    <row r="23" ht="12.75" customHeight="1">
      <c r="B23" s="35" t="s">
        <v>1028</v>
      </c>
    </row>
    <row r="24" ht="12.75" customHeight="1">
      <c r="B24" s="263" t="s">
        <v>263</v>
      </c>
    </row>
    <row r="25" spans="1:2" ht="12.75" customHeight="1">
      <c r="A25" s="494">
        <f>A19+1</f>
        <v>2208</v>
      </c>
      <c r="B25" s="282"/>
    </row>
    <row r="26" ht="12.75" customHeight="1">
      <c r="B26" s="13" t="s">
        <v>1029</v>
      </c>
    </row>
    <row r="27" ht="12.75" customHeight="1"/>
    <row r="28" ht="12.75" customHeight="1" hidden="1"/>
    <row r="29" ht="12.75" customHeight="1" hidden="1"/>
    <row r="30" ht="12.75" customHeight="1" hidden="1"/>
    <row r="31" ht="12.75" customHeight="1" hidden="1"/>
    <row r="32" ht="12.75" customHeight="1" hidden="1"/>
    <row r="33" ht="12.75" customHeight="1" hidden="1"/>
    <row r="34" ht="12.75" customHeight="1" hidden="1"/>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sheetData>
  <sheetProtection password="CD36" sheet="1" objects="1" scenarios="1"/>
  <conditionalFormatting sqref="B10:D13 E8:F13">
    <cfRule type="expression" priority="1" dxfId="0" stopIfTrue="1">
      <formula>$C$3=TRUE</formula>
    </cfRule>
  </conditionalFormatting>
  <conditionalFormatting sqref="E19:F19">
    <cfRule type="expression" priority="2" dxfId="0" stopIfTrue="1">
      <formula>$E$2=TRUE</formula>
    </cfRule>
  </conditionalFormatting>
  <conditionalFormatting sqref="B25">
    <cfRule type="expression" priority="3" dxfId="0" stopIfTrue="1">
      <formula>$C$3=TRUE</formula>
    </cfRule>
  </conditionalFormatting>
  <dataValidations count="3">
    <dataValidation type="whole" operator="lessThanOrEqual" allowBlank="1" showInputMessage="1" showErrorMessage="1" errorTitle="positief bedrag" error="U kunt hier alleen negatieve bedragen invoeren." sqref="E9:F9">
      <formula1>0</formula1>
    </dataValidation>
    <dataValidation type="whole" operator="lessThan" allowBlank="1" showInputMessage="1" showErrorMessage="1" errorTitle="onjuiste regio" error="MO-gelden zijn alleen bedoeld voor de zorgkantoren Amsterdam, Rotterdam, Utrecht en Haaglanden." sqref="E19">
      <formula1>N12*10000000</formula1>
    </dataValidation>
    <dataValidation type="whole" operator="lessThan" allowBlank="1" showInputMessage="1" showErrorMessage="1" errorTitle="onjuiste regio" error="MO-gelden zijn alleen bedoeld voor de zorgkantoren Amsterdam, Rotterdam, Utrecht en Haaglanden." sqref="F19">
      <formula1>N12*10000000</formula1>
    </dataValidation>
  </dataValidations>
  <printOptions horizontalCentered="1"/>
  <pageMargins left="0.3937007874015748" right="0.3937007874015748" top="0.1968503937007874" bottom="0.1968503937007874" header="0.5118110236220472" footer="0.5118110236220472"/>
  <pageSetup horizontalDpi="600" verticalDpi="600" orientation="landscape" paperSize="9" scale="85" r:id="rId2"/>
  <headerFooter alignWithMargins="0">
    <oddFooter>&amp;C&amp;A</oddFooter>
  </headerFooter>
  <drawing r:id="rId1"/>
</worksheet>
</file>

<file path=xl/worksheets/sheet13.xml><?xml version="1.0" encoding="utf-8"?>
<worksheet xmlns="http://schemas.openxmlformats.org/spreadsheetml/2006/main" xmlns:r="http://schemas.openxmlformats.org/officeDocument/2006/relationships">
  <dimension ref="A1:V75"/>
  <sheetViews>
    <sheetView showGridLines="0" tabSelected="1" zoomScale="90" zoomScaleNormal="90" zoomScaleSheetLayoutView="75" workbookViewId="0" topLeftCell="A1">
      <selection activeCell="A17" sqref="A17"/>
    </sheetView>
  </sheetViews>
  <sheetFormatPr defaultColWidth="9.140625" defaultRowHeight="12.75" customHeight="1" zeroHeight="1"/>
  <cols>
    <col min="1" max="1" width="5.7109375" style="42" customWidth="1"/>
    <col min="2" max="2" width="83.421875" style="11" customWidth="1"/>
    <col min="3" max="5" width="15.57421875" style="11" customWidth="1"/>
    <col min="6" max="6" width="15.00390625" style="11" customWidth="1"/>
    <col min="7" max="16384" width="0" style="11" hidden="1" customWidth="1"/>
  </cols>
  <sheetData>
    <row r="1" spans="1:22" s="3" customFormat="1" ht="12.75" customHeight="1">
      <c r="A1" s="284"/>
      <c r="O1" s="236"/>
      <c r="P1" s="236"/>
      <c r="Q1" s="237"/>
      <c r="R1" s="237"/>
      <c r="S1" s="236"/>
      <c r="T1" s="236"/>
      <c r="U1" s="238"/>
      <c r="V1" s="239"/>
    </row>
    <row r="2" spans="1:19" s="108" customFormat="1" ht="12.75" customHeight="1">
      <c r="A2" s="285" t="str">
        <f>voorblad!$A$20</f>
        <v>Mutatieformulier regiokader gehandicaptenzorg 2006</v>
      </c>
      <c r="B2" s="1"/>
      <c r="C2" s="241" t="str">
        <f>"versie: "&amp;TEXT(voorblad!$L$25,"dd-mm-jjjj")</f>
        <v>versie: 11-09-2006</v>
      </c>
      <c r="D2" s="258" t="b">
        <f>voorblad!E14</f>
        <v>1</v>
      </c>
      <c r="E2" s="2"/>
      <c r="F2" s="244">
        <f>'plaatselijk overleg'!G2+1</f>
        <v>23</v>
      </c>
      <c r="G2" s="242"/>
      <c r="H2" s="231"/>
      <c r="I2" s="243"/>
      <c r="J2" s="244">
        <v>1</v>
      </c>
      <c r="K2" s="244"/>
      <c r="L2" s="245"/>
      <c r="M2" s="245"/>
      <c r="N2" s="244"/>
      <c r="O2" s="244"/>
      <c r="P2" s="246"/>
      <c r="Q2" s="247"/>
      <c r="R2" s="2"/>
      <c r="S2" s="2"/>
    </row>
    <row r="3" spans="1:16" s="3" customFormat="1" ht="12.75" customHeight="1">
      <c r="A3" s="230"/>
      <c r="B3" s="232"/>
      <c r="C3" s="230" t="s">
        <v>601</v>
      </c>
      <c r="D3" s="230" t="s">
        <v>601</v>
      </c>
      <c r="E3" s="233"/>
      <c r="F3" s="233"/>
      <c r="G3" s="2"/>
      <c r="H3" s="234"/>
      <c r="I3" s="235"/>
      <c r="J3" s="2"/>
      <c r="K3" s="9"/>
      <c r="L3" s="2"/>
      <c r="M3" s="229"/>
      <c r="N3" s="229"/>
      <c r="O3" s="2"/>
      <c r="P3" s="2"/>
    </row>
    <row r="4" spans="1:6" ht="12.75" customHeight="1">
      <c r="A4" s="297" t="s">
        <v>693</v>
      </c>
      <c r="B4" s="15"/>
      <c r="C4" s="15"/>
      <c r="D4" s="15"/>
      <c r="E4" s="15"/>
      <c r="F4" s="15"/>
    </row>
    <row r="5" spans="1:6" ht="12.75" customHeight="1">
      <c r="A5" s="31"/>
      <c r="B5" s="15"/>
      <c r="C5" s="15"/>
      <c r="D5" s="15"/>
      <c r="E5" s="15"/>
      <c r="F5" s="15"/>
    </row>
    <row r="6" spans="1:6" ht="12.75" customHeight="1">
      <c r="A6" s="31"/>
      <c r="B6" s="15"/>
      <c r="C6" s="15"/>
      <c r="D6" s="15"/>
      <c r="E6" s="15"/>
      <c r="F6" s="15"/>
    </row>
    <row r="7" ht="12.75" customHeight="1"/>
    <row r="8" spans="1:5" ht="12.75" customHeight="1">
      <c r="A8" s="288" t="s">
        <v>894</v>
      </c>
      <c r="C8" s="13"/>
      <c r="D8" s="13"/>
      <c r="E8" s="88" t="s">
        <v>895</v>
      </c>
    </row>
    <row r="9" spans="1:5" ht="12.75" customHeight="1">
      <c r="A9" s="494">
        <f>F2*100+1</f>
        <v>2301</v>
      </c>
      <c r="B9" s="264" t="s">
        <v>11</v>
      </c>
      <c r="C9" s="581"/>
      <c r="D9" s="581"/>
      <c r="E9" s="59">
        <f>'doorrekening 1'!F12</f>
        <v>0</v>
      </c>
    </row>
    <row r="10" spans="1:5" ht="12.75" customHeight="1">
      <c r="A10" s="47">
        <f aca="true" t="shared" si="0" ref="A10:A19">A9+1</f>
        <v>2302</v>
      </c>
      <c r="B10" s="264" t="s">
        <v>12</v>
      </c>
      <c r="C10" s="582"/>
      <c r="D10" s="582"/>
      <c r="E10" s="59">
        <f>'doorrekening 1'!C103</f>
        <v>0</v>
      </c>
    </row>
    <row r="11" spans="1:5" ht="12.75" customHeight="1">
      <c r="A11" s="47">
        <f t="shared" si="0"/>
        <v>2303</v>
      </c>
      <c r="B11" s="264" t="s">
        <v>13</v>
      </c>
      <c r="C11" s="582"/>
      <c r="D11" s="582"/>
      <c r="E11" s="59">
        <f>'doorrekening 1'!C143</f>
        <v>0</v>
      </c>
    </row>
    <row r="12" spans="1:5" ht="12.75" customHeight="1">
      <c r="A12" s="47">
        <f t="shared" si="0"/>
        <v>2304</v>
      </c>
      <c r="B12" s="264" t="s">
        <v>14</v>
      </c>
      <c r="C12" s="582"/>
      <c r="D12" s="582"/>
      <c r="E12" s="59">
        <f>'doorrekening 1'!E283+'doorrekening 1'!M283</f>
        <v>0</v>
      </c>
    </row>
    <row r="13" spans="1:5" ht="12.75" customHeight="1">
      <c r="A13" s="47">
        <f t="shared" si="0"/>
        <v>2305</v>
      </c>
      <c r="B13" s="264" t="s">
        <v>15</v>
      </c>
      <c r="C13" s="582"/>
      <c r="D13" s="582"/>
      <c r="E13" s="59">
        <f>'doorrekening 1'!F167+'doorrekening 1'!F176</f>
        <v>0</v>
      </c>
    </row>
    <row r="14" spans="1:5" ht="12.75" customHeight="1">
      <c r="A14" s="47">
        <f t="shared" si="0"/>
        <v>2306</v>
      </c>
      <c r="B14" s="264" t="s">
        <v>16</v>
      </c>
      <c r="C14" s="582"/>
      <c r="D14" s="582"/>
      <c r="E14" s="59">
        <f>'doorrekening 1'!M188+'doorrekening 1'!M196</f>
        <v>0</v>
      </c>
    </row>
    <row r="15" spans="1:5" ht="12.75" customHeight="1">
      <c r="A15" s="47">
        <f t="shared" si="0"/>
        <v>2307</v>
      </c>
      <c r="B15" s="264" t="s">
        <v>17</v>
      </c>
      <c r="C15" s="582"/>
      <c r="D15" s="582"/>
      <c r="E15" s="59">
        <f>'doorrekening 1'!M166+'doorrekening 1'!M176</f>
        <v>0</v>
      </c>
    </row>
    <row r="16" spans="1:5" ht="12.75" customHeight="1">
      <c r="A16" s="47">
        <f t="shared" si="0"/>
        <v>2308</v>
      </c>
      <c r="B16" s="264" t="s">
        <v>18</v>
      </c>
      <c r="C16" s="582"/>
      <c r="D16" s="582"/>
      <c r="E16" s="59">
        <f>'doorrekening 1'!F193+'doorrekening 1'!F208</f>
        <v>0</v>
      </c>
    </row>
    <row r="17" spans="1:5" ht="12.75" customHeight="1">
      <c r="A17" s="47">
        <f t="shared" si="0"/>
        <v>2309</v>
      </c>
      <c r="B17" s="264" t="s">
        <v>19</v>
      </c>
      <c r="C17" s="582"/>
      <c r="D17" s="582"/>
      <c r="E17" s="59">
        <f>'doorrekening 1'!F218+'doorrekening 1'!F226</f>
        <v>0</v>
      </c>
    </row>
    <row r="18" spans="1:5" ht="12.75" customHeight="1">
      <c r="A18" s="47">
        <f t="shared" si="0"/>
        <v>2310</v>
      </c>
      <c r="B18" s="264" t="s">
        <v>20</v>
      </c>
      <c r="C18" s="582"/>
      <c r="D18" s="582"/>
      <c r="E18" s="59">
        <f>'doorrekening 1'!M216+'doorrekening 1'!M226</f>
        <v>0</v>
      </c>
    </row>
    <row r="19" spans="1:5" ht="12.75" customHeight="1">
      <c r="A19" s="47">
        <f t="shared" si="0"/>
        <v>2311</v>
      </c>
      <c r="B19" s="264" t="s">
        <v>150</v>
      </c>
      <c r="C19" s="582"/>
      <c r="D19" s="583"/>
      <c r="E19" s="59">
        <f>'extramurale zorg'!L248</f>
        <v>0</v>
      </c>
    </row>
    <row r="20" spans="1:5" ht="12.75" customHeight="1">
      <c r="A20" s="494">
        <f>A19+1</f>
        <v>2312</v>
      </c>
      <c r="B20" s="89" t="s">
        <v>369</v>
      </c>
      <c r="C20" s="38"/>
      <c r="D20" s="261"/>
      <c r="E20" s="287">
        <f>('hardheidsclausule en z-o-m'!C28-'hardheidsclausule en z-o-m'!D28)*-1*1.0052</f>
        <v>0</v>
      </c>
    </row>
    <row r="21" spans="1:5" ht="12.75" customHeight="1">
      <c r="A21" s="47">
        <f>A20+1</f>
        <v>2313</v>
      </c>
      <c r="B21" s="89" t="s">
        <v>40</v>
      </c>
      <c r="C21" s="38"/>
      <c r="D21" s="261"/>
      <c r="E21" s="287">
        <f>('hardheidsclausule en z-o-m'!C38-'hardheidsclausule en z-o-m'!D38)*-1*1.0052</f>
        <v>0</v>
      </c>
    </row>
    <row r="22" spans="1:5" ht="12.75" customHeight="1">
      <c r="A22" s="494">
        <f>A21+1</f>
        <v>2314</v>
      </c>
      <c r="B22" s="89" t="s">
        <v>241</v>
      </c>
      <c r="C22" s="38"/>
      <c r="D22" s="261"/>
      <c r="E22" s="287">
        <f>((deconcentratie!C$31)*deconcentratie!E$31)*1.004</f>
        <v>0</v>
      </c>
    </row>
    <row r="23" spans="1:5" ht="12.75" customHeight="1">
      <c r="A23" s="47">
        <f>A22+1</f>
        <v>2315</v>
      </c>
      <c r="B23" s="264" t="s">
        <v>217</v>
      </c>
      <c r="C23" s="582"/>
      <c r="D23" s="582"/>
      <c r="E23" s="831">
        <f>SUM(E9:E22)</f>
        <v>0</v>
      </c>
    </row>
    <row r="24" spans="1:5" ht="12.75" customHeight="1">
      <c r="A24" s="31"/>
      <c r="C24" s="36"/>
      <c r="D24" s="36"/>
      <c r="E24" s="36"/>
    </row>
    <row r="25" spans="1:5" ht="12.75" customHeight="1">
      <c r="A25" s="288" t="s">
        <v>1043</v>
      </c>
      <c r="E25" s="263" t="s">
        <v>895</v>
      </c>
    </row>
    <row r="26" spans="1:5" ht="12.75" customHeight="1">
      <c r="A26" s="47">
        <f>A23+1</f>
        <v>2316</v>
      </c>
      <c r="B26" s="264" t="s">
        <v>1041</v>
      </c>
      <c r="C26" s="38"/>
      <c r="D26" s="261"/>
      <c r="E26" s="830">
        <f>E23</f>
        <v>0</v>
      </c>
    </row>
    <row r="27" spans="1:5" ht="12.75" customHeight="1">
      <c r="A27" s="47">
        <f aca="true" t="shared" si="1" ref="A27:A32">A26+1</f>
        <v>2317</v>
      </c>
      <c r="B27" s="89" t="s">
        <v>1040</v>
      </c>
      <c r="C27" s="38"/>
      <c r="D27" s="261"/>
      <c r="E27" s="830" t="s">
        <v>439</v>
      </c>
    </row>
    <row r="28" spans="1:5" ht="12.75" customHeight="1">
      <c r="A28" s="47">
        <f t="shared" si="1"/>
        <v>2318</v>
      </c>
      <c r="B28" s="89" t="s">
        <v>1035</v>
      </c>
      <c r="C28" s="38"/>
      <c r="D28" s="261"/>
      <c r="E28" s="287">
        <f>'extreme zorgbehoefte'!E41</f>
        <v>0</v>
      </c>
    </row>
    <row r="29" spans="1:5" ht="12.75" customHeight="1">
      <c r="A29" s="495">
        <f t="shared" si="1"/>
        <v>2319</v>
      </c>
      <c r="B29" s="265" t="s">
        <v>1042</v>
      </c>
      <c r="C29" s="56"/>
      <c r="D29" s="266"/>
      <c r="E29" s="268">
        <f>('extramurale zorg'!J89*'extramurale zorg'!K89)+('extramurale zorg'!J90*'extramurale zorg'!K90)</f>
        <v>0</v>
      </c>
    </row>
    <row r="30" spans="1:5" ht="12.75" customHeight="1">
      <c r="A30" s="494">
        <f t="shared" si="1"/>
        <v>2320</v>
      </c>
      <c r="B30" s="265" t="s">
        <v>1036</v>
      </c>
      <c r="C30" s="56"/>
      <c r="D30" s="266"/>
      <c r="E30" s="59">
        <f>'plaatselijk overleg'!E19</f>
        <v>0</v>
      </c>
    </row>
    <row r="31" spans="1:5" ht="12.75" customHeight="1">
      <c r="A31" s="494">
        <f t="shared" si="1"/>
        <v>2321</v>
      </c>
      <c r="B31" s="264" t="s">
        <v>1037</v>
      </c>
      <c r="C31" s="38"/>
      <c r="D31" s="261"/>
      <c r="E31" s="59">
        <f>'plaatselijk overleg'!F19</f>
        <v>0</v>
      </c>
    </row>
    <row r="32" spans="1:5" ht="12.75" customHeight="1">
      <c r="A32" s="494">
        <f t="shared" si="1"/>
        <v>2322</v>
      </c>
      <c r="B32" s="38" t="s">
        <v>1038</v>
      </c>
      <c r="C32" s="38"/>
      <c r="D32" s="38"/>
      <c r="E32" s="59">
        <f>'plaatselijk overleg'!B25</f>
        <v>0</v>
      </c>
    </row>
    <row r="33" spans="1:5" ht="12.75" customHeight="1">
      <c r="A33" s="288"/>
      <c r="B33" s="38"/>
      <c r="C33" s="38"/>
      <c r="D33" s="38"/>
      <c r="E33" s="36"/>
    </row>
    <row r="34" spans="1:5" ht="12.75" customHeight="1">
      <c r="A34" s="494">
        <f>A32+1</f>
        <v>2323</v>
      </c>
      <c r="B34" s="38" t="s">
        <v>1039</v>
      </c>
      <c r="C34" s="38"/>
      <c r="D34" s="38"/>
      <c r="E34" s="59">
        <f>E26+E28+E29</f>
        <v>0</v>
      </c>
    </row>
    <row r="35" ht="12.75" customHeight="1"/>
    <row r="36" spans="1:5" ht="12.75" customHeight="1">
      <c r="A36" s="288" t="s">
        <v>896</v>
      </c>
      <c r="E36" s="263" t="s">
        <v>895</v>
      </c>
    </row>
    <row r="37" spans="1:5" ht="12.75" customHeight="1">
      <c r="A37" s="494">
        <f>A34+1</f>
        <v>2324</v>
      </c>
      <c r="B37" s="39" t="s">
        <v>897</v>
      </c>
      <c r="C37" s="38"/>
      <c r="D37" s="261"/>
      <c r="E37" s="59">
        <f>'plaatselijk overleg'!G14</f>
        <v>0</v>
      </c>
    </row>
    <row r="38" spans="1:5" ht="12.75" customHeight="1">
      <c r="A38" s="288"/>
      <c r="E38" s="13"/>
    </row>
    <row r="39" spans="1:5" ht="12.75" customHeight="1">
      <c r="A39" s="288"/>
      <c r="B39" s="13"/>
      <c r="E39" s="36"/>
    </row>
    <row r="40" spans="1:5" ht="12.75" customHeight="1">
      <c r="A40" s="288"/>
      <c r="B40" s="13"/>
      <c r="E40" s="671"/>
    </row>
    <row r="41" spans="1:5" ht="12.75" customHeight="1">
      <c r="A41" s="288"/>
      <c r="E41" s="36"/>
    </row>
    <row r="42" spans="1:2" ht="12.75" customHeight="1">
      <c r="A42" s="288"/>
      <c r="B42" s="13"/>
    </row>
    <row r="43" spans="1:5" ht="12.75" customHeight="1" hidden="1">
      <c r="A43" s="288"/>
      <c r="B43" s="13"/>
      <c r="E43" s="36"/>
    </row>
    <row r="44" ht="12.75" customHeight="1" hidden="1"/>
    <row r="45" ht="12.75" customHeight="1" hidden="1"/>
    <row r="46" ht="12.75" customHeight="1" hidden="1"/>
    <row r="47" ht="12.75" customHeight="1" hidden="1"/>
    <row r="48" spans="1:22" s="3" customFormat="1" ht="12.75" customHeight="1" hidden="1">
      <c r="A48" s="284"/>
      <c r="O48" s="236"/>
      <c r="P48" s="236"/>
      <c r="Q48" s="237"/>
      <c r="R48" s="237"/>
      <c r="S48" s="236"/>
      <c r="T48" s="236"/>
      <c r="U48" s="238"/>
      <c r="V48" s="239"/>
    </row>
    <row r="49" spans="1:19" s="108" customFormat="1" ht="12.75" customHeight="1" hidden="1">
      <c r="A49" s="285" t="str">
        <f>voorblad!$A$20</f>
        <v>Mutatieformulier regiokader gehandicaptenzorg 2006</v>
      </c>
      <c r="B49" s="1"/>
      <c r="C49" s="228"/>
      <c r="D49" s="241" t="str">
        <f>"versie: "&amp;TEXT(voorblad!$L$25,"dd-mm-jjjj")</f>
        <v>versie: 11-09-2006</v>
      </c>
      <c r="E49" s="2"/>
      <c r="F49" s="244">
        <f>F2+1</f>
        <v>24</v>
      </c>
      <c r="G49" s="242"/>
      <c r="H49" s="231"/>
      <c r="I49" s="243"/>
      <c r="J49" s="244">
        <v>1</v>
      </c>
      <c r="K49" s="244"/>
      <c r="L49" s="245"/>
      <c r="M49" s="245"/>
      <c r="N49" s="244"/>
      <c r="O49" s="244"/>
      <c r="P49" s="246"/>
      <c r="Q49" s="247"/>
      <c r="R49" s="2"/>
      <c r="S49" s="2"/>
    </row>
    <row r="50" spans="1:16" s="3" customFormat="1" ht="12.75" customHeight="1" hidden="1">
      <c r="A50" s="230"/>
      <c r="B50" s="232"/>
      <c r="C50" s="230" t="s">
        <v>601</v>
      </c>
      <c r="D50" s="230" t="s">
        <v>601</v>
      </c>
      <c r="E50" s="233"/>
      <c r="F50" s="233"/>
      <c r="G50" s="2"/>
      <c r="H50" s="234"/>
      <c r="I50" s="235"/>
      <c r="J50" s="2"/>
      <c r="K50" s="9"/>
      <c r="L50" s="2"/>
      <c r="M50" s="229"/>
      <c r="N50" s="229"/>
      <c r="O50" s="2"/>
      <c r="P50" s="2"/>
    </row>
    <row r="51" spans="1:16" s="3" customFormat="1" ht="12.75" customHeight="1" hidden="1">
      <c r="A51" s="230"/>
      <c r="B51" s="232"/>
      <c r="C51" s="230"/>
      <c r="D51" s="230"/>
      <c r="E51" s="233"/>
      <c r="F51" s="233"/>
      <c r="G51" s="2"/>
      <c r="H51" s="234"/>
      <c r="I51" s="235"/>
      <c r="J51" s="2"/>
      <c r="K51" s="9"/>
      <c r="L51" s="2"/>
      <c r="M51" s="229"/>
      <c r="N51" s="229"/>
      <c r="O51" s="2"/>
      <c r="P51" s="2"/>
    </row>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spans="1:5" ht="12.75" customHeight="1" hidden="1">
      <c r="A66" s="288" t="s">
        <v>51</v>
      </c>
      <c r="E66" s="263" t="s">
        <v>156</v>
      </c>
    </row>
    <row r="67" spans="1:5" ht="12.75" customHeight="1" hidden="1">
      <c r="A67" s="47">
        <f>A28+1</f>
        <v>2319</v>
      </c>
      <c r="B67" s="264" t="s">
        <v>369</v>
      </c>
      <c r="C67" s="38"/>
      <c r="D67" s="261"/>
      <c r="E67" s="59">
        <f>'hardheidsclausule en z-o-m'!D28</f>
        <v>0</v>
      </c>
    </row>
    <row r="68" spans="1:5" ht="12.75" customHeight="1" hidden="1">
      <c r="A68" s="47">
        <f aca="true" t="shared" si="2" ref="A68:A75">A67+1</f>
        <v>2320</v>
      </c>
      <c r="B68" s="264" t="s">
        <v>40</v>
      </c>
      <c r="C68" s="38"/>
      <c r="D68" s="261"/>
      <c r="E68" s="293">
        <f>'hardheidsclausule en z-o-m'!E38</f>
        <v>0</v>
      </c>
    </row>
    <row r="69" spans="1:5" ht="12.75" customHeight="1" hidden="1">
      <c r="A69" s="47">
        <f t="shared" si="2"/>
        <v>2321</v>
      </c>
      <c r="B69" s="89" t="s">
        <v>118</v>
      </c>
      <c r="C69" s="38"/>
      <c r="D69" s="261"/>
      <c r="E69" s="59" t="e">
        <f>#REF!</f>
        <v>#REF!</v>
      </c>
    </row>
    <row r="70" spans="1:5" ht="12.75" customHeight="1" hidden="1">
      <c r="A70" s="47">
        <f t="shared" si="2"/>
        <v>2322</v>
      </c>
      <c r="B70" s="97" t="s">
        <v>53</v>
      </c>
      <c r="E70" s="59" t="e">
        <f>#REF!</f>
        <v>#REF!</v>
      </c>
    </row>
    <row r="71" spans="1:5" ht="12.75" customHeight="1" hidden="1">
      <c r="A71" s="47">
        <f t="shared" si="2"/>
        <v>2323</v>
      </c>
      <c r="B71" s="89" t="s">
        <v>54</v>
      </c>
      <c r="C71" s="38"/>
      <c r="D71" s="261"/>
      <c r="E71" s="59" t="e">
        <f>#REF!</f>
        <v>#REF!</v>
      </c>
    </row>
    <row r="72" spans="1:5" ht="12.75" customHeight="1" hidden="1">
      <c r="A72" s="47">
        <f t="shared" si="2"/>
        <v>2324</v>
      </c>
      <c r="B72" s="97" t="s">
        <v>689</v>
      </c>
      <c r="E72" s="59" t="e">
        <f>#REF!</f>
        <v>#REF!</v>
      </c>
    </row>
    <row r="73" spans="1:5" ht="12.75" customHeight="1" hidden="1">
      <c r="A73" s="47">
        <f t="shared" si="2"/>
        <v>2325</v>
      </c>
      <c r="B73" s="264" t="e">
        <f>#REF!</f>
        <v>#REF!</v>
      </c>
      <c r="C73" s="38"/>
      <c r="D73" s="261"/>
      <c r="E73" s="59" t="e">
        <f>#REF!</f>
        <v>#REF!</v>
      </c>
    </row>
    <row r="74" spans="1:5" ht="12.75" customHeight="1" hidden="1">
      <c r="A74" s="47">
        <f t="shared" si="2"/>
        <v>2326</v>
      </c>
      <c r="B74" s="267" t="e">
        <f>#REF!</f>
        <v>#REF!</v>
      </c>
      <c r="C74" s="55"/>
      <c r="D74" s="55"/>
      <c r="E74" s="59" t="e">
        <f>#REF!</f>
        <v>#REF!</v>
      </c>
    </row>
    <row r="75" spans="1:5" ht="12.75" customHeight="1" hidden="1">
      <c r="A75" s="47">
        <f t="shared" si="2"/>
        <v>2327</v>
      </c>
      <c r="B75" s="38" t="s">
        <v>101</v>
      </c>
      <c r="C75" s="38"/>
      <c r="D75" s="38"/>
      <c r="E75" s="59">
        <f>'plaatselijk overleg'!F14</f>
        <v>0</v>
      </c>
    </row>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hidden="1"/>
    <row r="93" ht="12.75" customHeight="1" hidden="1"/>
    <row r="94" ht="12.75" customHeight="1" hidden="1"/>
    <row r="95" ht="12.75" customHeight="1" hidden="1"/>
    <row r="96" ht="12.75" customHeight="1" hidden="1"/>
    <row r="97" ht="12.75" customHeight="1" hidden="1"/>
    <row r="98" ht="12.75" customHeight="1" hidden="1"/>
    <row r="99" ht="12.75" customHeight="1" hidden="1"/>
    <row r="100" ht="12.75" customHeight="1" hidden="1"/>
    <row r="101" ht="12.75" customHeight="1" hidden="1"/>
    <row r="102" ht="12.75" customHeight="1" hidden="1"/>
    <row r="103" ht="12.75" customHeight="1" hidden="1"/>
    <row r="104" ht="12.75" customHeight="1" hidden="1"/>
    <row r="105" ht="12.75" customHeight="1" hidden="1"/>
    <row r="106" ht="12.75" customHeight="1" hidden="1"/>
  </sheetData>
  <sheetProtection password="CD36" sheet="1" objects="1" scenarios="1"/>
  <printOptions horizontalCentered="1"/>
  <pageMargins left="0.3937007874015748" right="0.3937007874015748" top="0.1968503937007874" bottom="0.1968503937007874" header="0.5118110236220472" footer="0.5118110236220472"/>
  <pageSetup horizontalDpi="600" verticalDpi="600" orientation="landscape" paperSize="9" scale="85" r:id="rId2"/>
  <headerFooter alignWithMargins="0">
    <oddFooter>&amp;C&amp;A</oddFooter>
  </headerFooter>
  <rowBreaks count="1" manualBreakCount="1">
    <brk id="47" max="255" man="1"/>
  </rowBreaks>
  <drawing r:id="rId1"/>
</worksheet>
</file>

<file path=xl/worksheets/sheet14.xml><?xml version="1.0" encoding="utf-8"?>
<worksheet xmlns="http://schemas.openxmlformats.org/spreadsheetml/2006/main" xmlns:r="http://schemas.openxmlformats.org/officeDocument/2006/relationships">
  <dimension ref="A1:X327"/>
  <sheetViews>
    <sheetView showGridLines="0" tabSelected="1" zoomScaleSheetLayoutView="75" workbookViewId="0" topLeftCell="A1">
      <selection activeCell="A17" sqref="A17"/>
    </sheetView>
  </sheetViews>
  <sheetFormatPr defaultColWidth="9.140625" defaultRowHeight="12.75"/>
  <cols>
    <col min="1" max="4" width="10.7109375" style="315" customWidth="1"/>
    <col min="5" max="5" width="11.00390625" style="316" customWidth="1"/>
    <col min="6" max="7" width="10.7109375" style="315" customWidth="1"/>
    <col min="8" max="8" width="10.7109375" style="316" customWidth="1"/>
    <col min="9" max="11" width="10.7109375" style="315" customWidth="1"/>
    <col min="12" max="12" width="10.7109375" style="317" customWidth="1"/>
    <col min="13" max="13" width="10.7109375" style="316" customWidth="1"/>
    <col min="14" max="14" width="10.7109375" style="315" hidden="1" customWidth="1"/>
    <col min="15" max="16384" width="10.7109375" style="315" customWidth="1"/>
  </cols>
  <sheetData>
    <row r="1" spans="1:13" ht="11.25">
      <c r="A1" s="322"/>
      <c r="B1" s="322"/>
      <c r="C1" s="322"/>
      <c r="D1" s="322"/>
      <c r="E1" s="323"/>
      <c r="F1" s="322"/>
      <c r="G1" s="322"/>
      <c r="H1" s="323"/>
      <c r="I1" s="322"/>
      <c r="J1" s="322"/>
      <c r="K1" s="322"/>
      <c r="L1" s="333"/>
      <c r="M1" s="323"/>
    </row>
    <row r="2" spans="1:15" ht="12" thickBot="1">
      <c r="A2" s="761" t="s">
        <v>841</v>
      </c>
      <c r="B2" s="325"/>
      <c r="C2" s="325"/>
      <c r="D2" s="325"/>
      <c r="E2" s="325"/>
      <c r="F2" s="325"/>
      <c r="G2" s="325"/>
      <c r="H2" s="336"/>
      <c r="I2" s="761"/>
      <c r="J2" s="761"/>
      <c r="K2" s="762"/>
      <c r="L2" s="762"/>
      <c r="M2" s="763"/>
      <c r="N2" s="322"/>
      <c r="O2" s="322"/>
    </row>
    <row r="3" spans="1:13" ht="11.25">
      <c r="A3" s="318" t="s">
        <v>849</v>
      </c>
      <c r="B3" s="319"/>
      <c r="C3" s="319"/>
      <c r="D3" s="319"/>
      <c r="E3" s="562"/>
      <c r="F3" s="319"/>
      <c r="G3" s="319"/>
      <c r="H3" s="334"/>
      <c r="I3" s="319"/>
      <c r="J3" s="319"/>
      <c r="K3" s="319"/>
      <c r="L3" s="335"/>
      <c r="M3" s="320"/>
    </row>
    <row r="4" spans="1:13" ht="11.25">
      <c r="A4" s="553" t="s">
        <v>61</v>
      </c>
      <c r="B4" s="346"/>
      <c r="C4" s="364" t="str">
        <f>'verblijf met behandeling'!F6</f>
        <v>A</v>
      </c>
      <c r="D4" s="322"/>
      <c r="E4" s="322" t="s">
        <v>840</v>
      </c>
      <c r="F4" s="322"/>
      <c r="G4" s="322"/>
      <c r="H4" s="333"/>
      <c r="I4" s="322"/>
      <c r="J4" s="322"/>
      <c r="K4" s="322"/>
      <c r="L4" s="333"/>
      <c r="M4" s="324"/>
    </row>
    <row r="5" spans="1:13" ht="11.25">
      <c r="A5" s="554" t="s">
        <v>135</v>
      </c>
      <c r="B5" s="347"/>
      <c r="C5" s="353">
        <f>'verblijf met behandeling'!H12</f>
        <v>0</v>
      </c>
      <c r="D5" s="322"/>
      <c r="E5" s="354" t="s">
        <v>484</v>
      </c>
      <c r="F5" s="631"/>
      <c r="G5" s="699">
        <v>1.004</v>
      </c>
      <c r="H5" s="323"/>
      <c r="I5" s="322"/>
      <c r="J5" s="322"/>
      <c r="K5" s="322"/>
      <c r="L5" s="333"/>
      <c r="M5" s="324"/>
    </row>
    <row r="6" spans="1:13" ht="11.25">
      <c r="A6" s="554" t="s">
        <v>136</v>
      </c>
      <c r="B6" s="347"/>
      <c r="C6" s="351">
        <f>'verblijf met behandeling'!J12</f>
        <v>0</v>
      </c>
      <c r="D6" s="322"/>
      <c r="E6" s="612" t="s">
        <v>485</v>
      </c>
      <c r="F6" s="634"/>
      <c r="G6" s="700">
        <v>1.01</v>
      </c>
      <c r="H6" s="323"/>
      <c r="I6" s="322"/>
      <c r="J6" s="322"/>
      <c r="K6" s="322"/>
      <c r="L6" s="333"/>
      <c r="M6" s="324"/>
    </row>
    <row r="7" spans="1:13" ht="11.25">
      <c r="A7" s="554" t="s">
        <v>111</v>
      </c>
      <c r="B7" s="347"/>
      <c r="C7" s="353">
        <f>'verblijf met behandeling'!J14</f>
        <v>0</v>
      </c>
      <c r="D7" s="322"/>
      <c r="E7" s="323"/>
      <c r="F7" s="322"/>
      <c r="G7" s="322"/>
      <c r="H7" s="323"/>
      <c r="I7" s="322" t="s">
        <v>106</v>
      </c>
      <c r="J7" s="322"/>
      <c r="K7" s="333"/>
      <c r="L7" s="333"/>
      <c r="M7" s="324"/>
    </row>
    <row r="8" spans="1:13" ht="11.25">
      <c r="A8" s="554" t="s">
        <v>113</v>
      </c>
      <c r="B8" s="347"/>
      <c r="C8" s="353">
        <f>'verblijf met behandeling'!J16+'verblijf met behandeling'!J17+'verblijf met behandeling'!J18+'verblijf met behandeling'!J20+'verblijf met behandeling'!J22</f>
        <v>0</v>
      </c>
      <c r="D8" s="322"/>
      <c r="E8" s="322"/>
      <c r="F8" s="323"/>
      <c r="G8" s="323"/>
      <c r="H8" s="323"/>
      <c r="I8" s="322"/>
      <c r="J8" s="322"/>
      <c r="K8" s="322"/>
      <c r="L8" s="333"/>
      <c r="M8" s="324"/>
    </row>
    <row r="9" spans="1:13" ht="11.25">
      <c r="A9" s="554" t="s">
        <v>114</v>
      </c>
      <c r="B9" s="347"/>
      <c r="C9" s="353">
        <f>C6-C8</f>
        <v>0</v>
      </c>
      <c r="D9" s="322"/>
      <c r="E9" s="322" t="s">
        <v>852</v>
      </c>
      <c r="F9" s="323"/>
      <c r="G9" s="323"/>
      <c r="H9" s="618" t="s">
        <v>864</v>
      </c>
      <c r="I9" s="345"/>
      <c r="J9" s="345"/>
      <c r="K9" s="345"/>
      <c r="L9" s="615"/>
      <c r="M9" s="649">
        <f>F73-F65</f>
        <v>0</v>
      </c>
    </row>
    <row r="10" spans="1:13" ht="11.25">
      <c r="A10" s="554" t="s">
        <v>119</v>
      </c>
      <c r="B10" s="347"/>
      <c r="C10" s="353">
        <f>'verblijf met behandeling'!J21</f>
        <v>0</v>
      </c>
      <c r="D10" s="322"/>
      <c r="E10" s="354" t="s">
        <v>848</v>
      </c>
      <c r="F10" s="708">
        <f>F55+M39</f>
        <v>0</v>
      </c>
      <c r="G10" s="323"/>
      <c r="H10" s="322"/>
      <c r="I10" s="322"/>
      <c r="J10" s="322"/>
      <c r="K10" s="322"/>
      <c r="L10" s="333"/>
      <c r="M10" s="324"/>
    </row>
    <row r="11" spans="1:13" ht="11.25">
      <c r="A11" s="554" t="s">
        <v>120</v>
      </c>
      <c r="B11" s="347"/>
      <c r="C11" s="353">
        <f>'verblijf met behandeling'!J20</f>
        <v>0</v>
      </c>
      <c r="D11" s="322"/>
      <c r="E11" s="352" t="s">
        <v>107</v>
      </c>
      <c r="F11" s="640">
        <f>M51</f>
        <v>0</v>
      </c>
      <c r="G11" s="323"/>
      <c r="H11" s="618" t="s">
        <v>865</v>
      </c>
      <c r="I11" s="345"/>
      <c r="J11" s="345"/>
      <c r="K11" s="345"/>
      <c r="L11" s="615"/>
      <c r="M11" s="649">
        <f>M73-M65</f>
        <v>0</v>
      </c>
    </row>
    <row r="12" spans="1:13" ht="11.25">
      <c r="A12" s="556" t="s">
        <v>121</v>
      </c>
      <c r="B12" s="348"/>
      <c r="C12" s="367">
        <f>'verblijf met behandeling'!J15</f>
        <v>0</v>
      </c>
      <c r="D12" s="322"/>
      <c r="E12" s="612" t="s">
        <v>396</v>
      </c>
      <c r="F12" s="723">
        <f>F10+F11</f>
        <v>0</v>
      </c>
      <c r="G12" s="323"/>
      <c r="H12" s="322"/>
      <c r="I12" s="322"/>
      <c r="J12" s="322"/>
      <c r="K12" s="322"/>
      <c r="L12" s="333"/>
      <c r="M12" s="324"/>
    </row>
    <row r="13" spans="1:13" ht="11.25">
      <c r="A13" s="321"/>
      <c r="B13" s="322"/>
      <c r="C13" s="339"/>
      <c r="D13" s="322"/>
      <c r="E13" s="323"/>
      <c r="F13" s="322"/>
      <c r="G13" s="323"/>
      <c r="H13" s="678" t="s">
        <v>111</v>
      </c>
      <c r="I13" s="696"/>
      <c r="J13" s="689"/>
      <c r="K13" s="637">
        <v>4012.93</v>
      </c>
      <c r="L13" s="626">
        <f>C7</f>
        <v>0</v>
      </c>
      <c r="M13" s="660">
        <f>ROUND(ROUND(K13*$G$5,2)*L13,0)</f>
        <v>0</v>
      </c>
    </row>
    <row r="14" spans="1:13" ht="11.25">
      <c r="A14" s="321" t="s">
        <v>850</v>
      </c>
      <c r="B14" s="322"/>
      <c r="C14" s="322"/>
      <c r="D14" s="322"/>
      <c r="E14" s="323"/>
      <c r="F14" s="323"/>
      <c r="G14" s="323"/>
      <c r="H14" s="352" t="s">
        <v>89</v>
      </c>
      <c r="I14" s="355"/>
      <c r="J14" s="365"/>
      <c r="K14" s="625">
        <v>0.53</v>
      </c>
      <c r="L14" s="621">
        <f>C17</f>
        <v>0</v>
      </c>
      <c r="M14" s="609">
        <f>ROUND(ROUND(K14*$G$5,2)*L14,0)</f>
        <v>0</v>
      </c>
    </row>
    <row r="15" spans="1:13" ht="11.25">
      <c r="A15" s="354" t="s">
        <v>900</v>
      </c>
      <c r="B15" s="631"/>
      <c r="C15" s="366">
        <f>'verblijf met behandeling'!H43</f>
        <v>0</v>
      </c>
      <c r="D15" s="322"/>
      <c r="E15" s="323"/>
      <c r="F15" s="323"/>
      <c r="G15" s="323"/>
      <c r="H15" s="352" t="s">
        <v>74</v>
      </c>
      <c r="I15" s="355"/>
      <c r="J15" s="355"/>
      <c r="K15" s="633"/>
      <c r="L15" s="650"/>
      <c r="M15" s="662"/>
    </row>
    <row r="16" spans="1:14" ht="11.25">
      <c r="A16" s="354" t="s">
        <v>901</v>
      </c>
      <c r="B16" s="322"/>
      <c r="C16" s="351">
        <f>'verblijf met behandeling'!J43</f>
        <v>0</v>
      </c>
      <c r="D16" s="322"/>
      <c r="E16" s="323"/>
      <c r="F16" s="323"/>
      <c r="G16" s="323"/>
      <c r="H16" s="352" t="s">
        <v>75</v>
      </c>
      <c r="I16" s="355"/>
      <c r="J16" s="365"/>
      <c r="K16" s="622">
        <f>IF(($C$5+C6)&lt;350,N16,0)</f>
        <v>3749.64</v>
      </c>
      <c r="L16" s="621">
        <f>C9</f>
        <v>0</v>
      </c>
      <c r="M16" s="661">
        <f>ROUND(ROUND(K16*$G$5,2)*L16,0)</f>
        <v>0</v>
      </c>
      <c r="N16" s="675">
        <v>3749.64</v>
      </c>
    </row>
    <row r="17" spans="1:16" ht="11.25">
      <c r="A17" s="554" t="s">
        <v>62</v>
      </c>
      <c r="B17" s="347"/>
      <c r="C17" s="353">
        <f>'verblijf met behandeling'!J46</f>
        <v>0</v>
      </c>
      <c r="D17" s="322"/>
      <c r="E17" s="323"/>
      <c r="F17" s="323"/>
      <c r="G17" s="323"/>
      <c r="H17" s="352" t="s">
        <v>76</v>
      </c>
      <c r="I17" s="355"/>
      <c r="J17" s="365"/>
      <c r="K17" s="622">
        <f>IF(($C$5+C6)&gt;350,N17,0)</f>
        <v>0</v>
      </c>
      <c r="L17" s="621">
        <f>C9</f>
        <v>0</v>
      </c>
      <c r="M17" s="661">
        <f>ROUND(ROUND(K17*$G$5,2)*L17,0)</f>
        <v>0</v>
      </c>
      <c r="N17" s="675">
        <v>3285.18</v>
      </c>
      <c r="P17" s="315" t="s">
        <v>221</v>
      </c>
    </row>
    <row r="18" spans="1:14" ht="11.25">
      <c r="A18" s="554" t="s">
        <v>113</v>
      </c>
      <c r="B18" s="347"/>
      <c r="C18" s="353">
        <f>'verblijf met behandeling'!J48+'verblijf met behandeling'!J50+'verblijf met behandeling'!J51</f>
        <v>0</v>
      </c>
      <c r="D18" s="322"/>
      <c r="E18" s="323"/>
      <c r="F18" s="323"/>
      <c r="G18" s="323"/>
      <c r="H18" s="677" t="s">
        <v>90</v>
      </c>
      <c r="I18" s="355"/>
      <c r="J18" s="365"/>
      <c r="K18" s="622">
        <f>IF(($C$5+C6)&lt;350,N18,0)</f>
        <v>3798.96</v>
      </c>
      <c r="L18" s="621">
        <f>IF($C$5&lt;350,C8,0)</f>
        <v>0</v>
      </c>
      <c r="M18" s="661">
        <f>ROUND(ROUND(N18*$G$5,2)*L18,0)</f>
        <v>0</v>
      </c>
      <c r="N18" s="676">
        <v>3798.96</v>
      </c>
    </row>
    <row r="19" spans="1:14" ht="11.25">
      <c r="A19" s="554" t="s">
        <v>127</v>
      </c>
      <c r="B19" s="347"/>
      <c r="C19" s="353">
        <f>C16-C18</f>
        <v>0</v>
      </c>
      <c r="D19" s="322"/>
      <c r="E19" s="323"/>
      <c r="F19" s="323"/>
      <c r="G19" s="323"/>
      <c r="H19" s="677" t="s">
        <v>91</v>
      </c>
      <c r="I19" s="355"/>
      <c r="J19" s="365"/>
      <c r="K19" s="622">
        <f>IF(($C$5+C6)&gt;350,N19,0)</f>
        <v>0</v>
      </c>
      <c r="L19" s="621">
        <f>IF($C$5&gt;350,C8,0)</f>
        <v>0</v>
      </c>
      <c r="M19" s="661">
        <f>ROUND(ROUND(N19*$G$5,2)*L19,0)</f>
        <v>0</v>
      </c>
      <c r="N19" s="676">
        <v>3326.54</v>
      </c>
    </row>
    <row r="20" spans="1:14" ht="11.25">
      <c r="A20" s="554" t="s">
        <v>847</v>
      </c>
      <c r="B20" s="347"/>
      <c r="C20" s="353">
        <f>'verblijf met behandeling'!J48</f>
        <v>0</v>
      </c>
      <c r="D20" s="322"/>
      <c r="E20" s="322"/>
      <c r="F20" s="322"/>
      <c r="G20" s="322"/>
      <c r="H20" s="352" t="s">
        <v>75</v>
      </c>
      <c r="I20" s="355"/>
      <c r="J20" s="365"/>
      <c r="K20" s="548">
        <v>3.76</v>
      </c>
      <c r="L20" s="621">
        <f>IF(($C$5+C6)&lt;350,C19,0)</f>
        <v>0</v>
      </c>
      <c r="M20" s="609">
        <f>ROUND(ROUND(K20*$G$5,2)*L20,0)</f>
        <v>0</v>
      </c>
      <c r="N20" s="701">
        <v>3.76</v>
      </c>
    </row>
    <row r="21" spans="1:14" ht="11.25">
      <c r="A21" s="556" t="s">
        <v>63</v>
      </c>
      <c r="B21" s="348"/>
      <c r="C21" s="367">
        <f>'verblijf met behandeling'!J49</f>
        <v>0</v>
      </c>
      <c r="D21" s="322"/>
      <c r="E21" s="323"/>
      <c r="F21" s="322"/>
      <c r="G21" s="322"/>
      <c r="H21" s="352" t="s">
        <v>76</v>
      </c>
      <c r="I21" s="355"/>
      <c r="J21" s="658"/>
      <c r="K21" s="548">
        <v>4.51</v>
      </c>
      <c r="L21" s="621">
        <f>IF(($C$5+C6)&gt;350,C19,0)</f>
        <v>0</v>
      </c>
      <c r="M21" s="609">
        <f>ROUND(ROUND(K21*$G$5,2)*L21,0)</f>
        <v>0</v>
      </c>
      <c r="N21" s="701">
        <v>4.51</v>
      </c>
    </row>
    <row r="22" spans="1:14" ht="11.25">
      <c r="A22" s="321"/>
      <c r="B22" s="322"/>
      <c r="C22" s="322"/>
      <c r="D22" s="322"/>
      <c r="E22" s="323"/>
      <c r="F22" s="322"/>
      <c r="G22" s="322"/>
      <c r="H22" s="677" t="s">
        <v>90</v>
      </c>
      <c r="I22" s="355"/>
      <c r="J22" s="365"/>
      <c r="K22" s="548">
        <v>3.81</v>
      </c>
      <c r="L22" s="621">
        <f>IF((C5+C6)&lt;350,C20,0)</f>
        <v>0</v>
      </c>
      <c r="M22" s="609">
        <f>ROUND(ROUND(K22*$G$5,2)*L22,0)</f>
        <v>0</v>
      </c>
      <c r="N22" s="701">
        <v>3.81</v>
      </c>
    </row>
    <row r="23" spans="1:14" ht="11.25">
      <c r="A23" s="321" t="s">
        <v>260</v>
      </c>
      <c r="B23" s="322"/>
      <c r="C23" s="322"/>
      <c r="D23" s="322"/>
      <c r="E23" s="322"/>
      <c r="F23" s="323"/>
      <c r="G23" s="323"/>
      <c r="H23" s="677" t="s">
        <v>91</v>
      </c>
      <c r="I23" s="355"/>
      <c r="J23" s="365"/>
      <c r="K23" s="548">
        <v>4.57</v>
      </c>
      <c r="L23" s="621">
        <f>IF((C5+C6)&gt;350,C20,0)</f>
        <v>0</v>
      </c>
      <c r="M23" s="609">
        <f>ROUND(ROUND(K23*$G$5,2)*L23,0)</f>
        <v>0</v>
      </c>
      <c r="N23" s="701">
        <v>4.57</v>
      </c>
    </row>
    <row r="24" spans="1:13" ht="11.25">
      <c r="A24" s="688"/>
      <c r="B24" s="689"/>
      <c r="C24" s="690" t="s">
        <v>261</v>
      </c>
      <c r="D24" s="690" t="s">
        <v>262</v>
      </c>
      <c r="E24" s="665" t="s">
        <v>77</v>
      </c>
      <c r="F24" s="691" t="s">
        <v>263</v>
      </c>
      <c r="G24" s="323"/>
      <c r="H24" s="352" t="s">
        <v>181</v>
      </c>
      <c r="I24" s="355"/>
      <c r="J24" s="355"/>
      <c r="K24" s="633"/>
      <c r="L24" s="650"/>
      <c r="M24" s="662"/>
    </row>
    <row r="25" spans="1:13" ht="11.25">
      <c r="A25" s="557" t="s">
        <v>843</v>
      </c>
      <c r="B25" s="675"/>
      <c r="C25" s="622">
        <v>7695.5</v>
      </c>
      <c r="D25" s="622">
        <v>7641.59</v>
      </c>
      <c r="E25" s="368">
        <f>C6-C7</f>
        <v>0</v>
      </c>
      <c r="F25" s="353">
        <f>IF($C$4="B",ROUND(D25*$G$5,2)*E25,ROUND(C25*$G$5,2)*E25)</f>
        <v>0</v>
      </c>
      <c r="G25" s="337"/>
      <c r="H25" s="352" t="s">
        <v>72</v>
      </c>
      <c r="I25" s="355"/>
      <c r="J25" s="365"/>
      <c r="K25" s="625">
        <v>8.3</v>
      </c>
      <c r="L25" s="621">
        <f>C16</f>
        <v>0</v>
      </c>
      <c r="M25" s="609">
        <f aca="true" t="shared" si="0" ref="M25:M37">ROUND(ROUND(K25*$G$5,2)*L25,0)</f>
        <v>0</v>
      </c>
    </row>
    <row r="26" spans="1:13" ht="11.25">
      <c r="A26" s="680" t="s">
        <v>78</v>
      </c>
      <c r="B26" s="642"/>
      <c r="C26" s="692"/>
      <c r="D26" s="692"/>
      <c r="E26" s="659"/>
      <c r="F26" s="693"/>
      <c r="G26" s="323"/>
      <c r="H26" s="352" t="s">
        <v>88</v>
      </c>
      <c r="I26" s="355"/>
      <c r="J26" s="365"/>
      <c r="K26" s="625">
        <v>29.11</v>
      </c>
      <c r="L26" s="621">
        <f>C17</f>
        <v>0</v>
      </c>
      <c r="M26" s="609">
        <f t="shared" si="0"/>
        <v>0</v>
      </c>
    </row>
    <row r="27" spans="1:13" ht="11.25">
      <c r="A27" s="557" t="s">
        <v>79</v>
      </c>
      <c r="B27" s="365"/>
      <c r="C27" s="548">
        <v>32.86</v>
      </c>
      <c r="D27" s="548">
        <v>32.99</v>
      </c>
      <c r="E27" s="368">
        <f>'verblijf met behandeling'!J83</f>
        <v>0</v>
      </c>
      <c r="F27" s="353">
        <f>IF($C$4="B",ROUND(D27*$G$5,2)*E27,ROUND(C27*$G$5,2)*E27)</f>
        <v>0</v>
      </c>
      <c r="G27" s="337"/>
      <c r="H27" s="352" t="s">
        <v>110</v>
      </c>
      <c r="I27" s="355"/>
      <c r="J27" s="365"/>
      <c r="K27" s="625">
        <v>568.24</v>
      </c>
      <c r="L27" s="621">
        <f>C6</f>
        <v>0</v>
      </c>
      <c r="M27" s="661">
        <f t="shared" si="0"/>
        <v>0</v>
      </c>
    </row>
    <row r="28" spans="1:13" ht="11.25">
      <c r="A28" s="557" t="s">
        <v>80</v>
      </c>
      <c r="B28" s="365"/>
      <c r="C28" s="548">
        <v>48.61</v>
      </c>
      <c r="D28" s="548">
        <v>49.82</v>
      </c>
      <c r="E28" s="368">
        <f>'verblijf met behandeling'!J84</f>
        <v>0</v>
      </c>
      <c r="F28" s="353">
        <f>IF($C$4="B",ROUND(D28*$G$5,2)*E28,ROUND(C28*$G$5,2)*E28)</f>
        <v>0</v>
      </c>
      <c r="G28" s="337"/>
      <c r="H28" s="352" t="s">
        <v>142</v>
      </c>
      <c r="I28" s="355"/>
      <c r="J28" s="365"/>
      <c r="K28" s="625">
        <v>415.12</v>
      </c>
      <c r="L28" s="621">
        <f>C7</f>
        <v>0</v>
      </c>
      <c r="M28" s="661">
        <f t="shared" si="0"/>
        <v>0</v>
      </c>
    </row>
    <row r="29" spans="1:13" ht="11.25">
      <c r="A29" s="557" t="s">
        <v>81</v>
      </c>
      <c r="B29" s="365"/>
      <c r="C29" s="548">
        <v>66.24</v>
      </c>
      <c r="D29" s="548">
        <v>68.09</v>
      </c>
      <c r="E29" s="368">
        <f>'verblijf met behandeling'!J85</f>
        <v>0</v>
      </c>
      <c r="F29" s="353">
        <f>IF($C$4="B",ROUND(D29*$G$5,2)*E29,ROUND(C29*$G$5,2)*E29)</f>
        <v>0</v>
      </c>
      <c r="G29" s="337"/>
      <c r="H29" s="352" t="s">
        <v>102</v>
      </c>
      <c r="I29" s="355"/>
      <c r="J29" s="365"/>
      <c r="K29" s="625">
        <v>1782.98</v>
      </c>
      <c r="L29" s="621">
        <f>C6</f>
        <v>0</v>
      </c>
      <c r="M29" s="661">
        <f t="shared" si="0"/>
        <v>0</v>
      </c>
    </row>
    <row r="30" spans="1:13" ht="11.25">
      <c r="A30" s="557" t="s">
        <v>82</v>
      </c>
      <c r="B30" s="365"/>
      <c r="C30" s="548">
        <v>71.72</v>
      </c>
      <c r="D30" s="548">
        <v>74.91</v>
      </c>
      <c r="E30" s="368">
        <f>'verblijf met behandeling'!J86</f>
        <v>0</v>
      </c>
      <c r="F30" s="353">
        <f>IF($C$4="B",ROUND(D30*$G$5,2)*E30,ROUND(C30*$G$5,2)*E30)</f>
        <v>0</v>
      </c>
      <c r="G30" s="337"/>
      <c r="H30" s="352" t="s">
        <v>112</v>
      </c>
      <c r="I30" s="355"/>
      <c r="J30" s="365"/>
      <c r="K30" s="625">
        <v>187.57</v>
      </c>
      <c r="L30" s="621">
        <f>C6</f>
        <v>0</v>
      </c>
      <c r="M30" s="661">
        <f t="shared" si="0"/>
        <v>0</v>
      </c>
    </row>
    <row r="31" spans="1:13" ht="11.25">
      <c r="A31" s="711" t="s">
        <v>83</v>
      </c>
      <c r="B31" s="355"/>
      <c r="C31" s="549"/>
      <c r="D31" s="549"/>
      <c r="E31" s="360"/>
      <c r="F31" s="361"/>
      <c r="G31" s="337"/>
      <c r="H31" s="352" t="s">
        <v>183</v>
      </c>
      <c r="I31" s="355"/>
      <c r="J31" s="365"/>
      <c r="K31" s="622">
        <v>18172.06</v>
      </c>
      <c r="L31" s="621">
        <f>C11</f>
        <v>0</v>
      </c>
      <c r="M31" s="661">
        <f t="shared" si="0"/>
        <v>0</v>
      </c>
    </row>
    <row r="32" spans="1:13" ht="11.25">
      <c r="A32" s="557" t="s">
        <v>79</v>
      </c>
      <c r="B32" s="365"/>
      <c r="C32" s="548">
        <v>29.5</v>
      </c>
      <c r="D32" s="548">
        <v>29.64</v>
      </c>
      <c r="E32" s="368">
        <f>'verblijf met behandeling'!J88</f>
        <v>0</v>
      </c>
      <c r="F32" s="353">
        <f>IF($C$4="B",ROUND(D32*$G$5,2)*E32,ROUND(C32*$G$5,2)*E32)</f>
        <v>0</v>
      </c>
      <c r="G32" s="337"/>
      <c r="H32" s="352" t="s">
        <v>410</v>
      </c>
      <c r="I32" s="355"/>
      <c r="J32" s="365"/>
      <c r="K32" s="625">
        <v>116.95</v>
      </c>
      <c r="L32" s="621">
        <f>C20</f>
        <v>0</v>
      </c>
      <c r="M32" s="609">
        <f t="shared" si="0"/>
        <v>0</v>
      </c>
    </row>
    <row r="33" spans="1:13" ht="11.25">
      <c r="A33" s="557" t="s">
        <v>80</v>
      </c>
      <c r="B33" s="365"/>
      <c r="C33" s="548">
        <v>44.81</v>
      </c>
      <c r="D33" s="548">
        <v>46.02</v>
      </c>
      <c r="E33" s="368">
        <f>'verblijf met behandeling'!J89</f>
        <v>0</v>
      </c>
      <c r="F33" s="353">
        <f>IF($C$4="B",ROUND(D33*$G$5,2)*E33,ROUND(C33*$G$5,2)*E33)</f>
        <v>0</v>
      </c>
      <c r="G33" s="337"/>
      <c r="H33" s="352" t="s">
        <v>182</v>
      </c>
      <c r="I33" s="355"/>
      <c r="J33" s="365"/>
      <c r="K33" s="622">
        <v>9237.8</v>
      </c>
      <c r="L33" s="621">
        <f>C10</f>
        <v>0</v>
      </c>
      <c r="M33" s="661">
        <f t="shared" si="0"/>
        <v>0</v>
      </c>
    </row>
    <row r="34" spans="1:20" ht="11.25">
      <c r="A34" s="557" t="s">
        <v>81</v>
      </c>
      <c r="B34" s="365"/>
      <c r="C34" s="548">
        <v>62.17</v>
      </c>
      <c r="D34" s="548">
        <v>63.99</v>
      </c>
      <c r="E34" s="368">
        <f>'verblijf met behandeling'!J90</f>
        <v>0</v>
      </c>
      <c r="F34" s="353">
        <f>IF($C$4="B",ROUND(D34*$G$5,2)*E34,ROUND(C34*$G$5,2)*E34)</f>
        <v>0</v>
      </c>
      <c r="G34" s="337"/>
      <c r="H34" s="352" t="s">
        <v>854</v>
      </c>
      <c r="I34" s="355"/>
      <c r="J34" s="365"/>
      <c r="K34" s="625">
        <v>59.04</v>
      </c>
      <c r="L34" s="621">
        <f>C21</f>
        <v>0</v>
      </c>
      <c r="M34" s="609">
        <f t="shared" si="0"/>
        <v>0</v>
      </c>
      <c r="T34" s="322"/>
    </row>
    <row r="35" spans="1:13" ht="11.25">
      <c r="A35" s="557" t="s">
        <v>82</v>
      </c>
      <c r="B35" s="365"/>
      <c r="C35" s="548">
        <v>67.49</v>
      </c>
      <c r="D35" s="548">
        <v>69.66</v>
      </c>
      <c r="E35" s="368">
        <f>'verblijf met behandeling'!J91</f>
        <v>0</v>
      </c>
      <c r="F35" s="353">
        <f>IF($C$4="B",ROUND(D35*$G$5,2)*E35,ROUND(C35*$G$5,2)*E35)</f>
        <v>0</v>
      </c>
      <c r="G35" s="337"/>
      <c r="H35" s="352" t="s">
        <v>53</v>
      </c>
      <c r="I35" s="355"/>
      <c r="J35" s="365"/>
      <c r="K35" s="622">
        <v>1208.5</v>
      </c>
      <c r="L35" s="621">
        <f>C6</f>
        <v>0</v>
      </c>
      <c r="M35" s="661">
        <f t="shared" si="0"/>
        <v>0</v>
      </c>
    </row>
    <row r="36" spans="1:13" ht="11.25">
      <c r="A36" s="557" t="s">
        <v>84</v>
      </c>
      <c r="B36" s="355"/>
      <c r="C36" s="549"/>
      <c r="D36" s="549"/>
      <c r="E36" s="360"/>
      <c r="F36" s="361"/>
      <c r="G36" s="337"/>
      <c r="H36" s="352" t="s">
        <v>73</v>
      </c>
      <c r="I36" s="355"/>
      <c r="J36" s="365"/>
      <c r="K36" s="625">
        <v>2.43</v>
      </c>
      <c r="L36" s="621">
        <f>E29+E30+E34+E35+E39+E40+E44+E45+E49+E50</f>
        <v>0</v>
      </c>
      <c r="M36" s="609">
        <f t="shared" si="0"/>
        <v>0</v>
      </c>
    </row>
    <row r="37" spans="1:13" ht="11.25">
      <c r="A37" s="557" t="s">
        <v>79</v>
      </c>
      <c r="B37" s="365"/>
      <c r="C37" s="548">
        <v>38.18</v>
      </c>
      <c r="D37" s="548">
        <v>38.95</v>
      </c>
      <c r="E37" s="368">
        <f>'verblijf met behandeling'!J93</f>
        <v>0</v>
      </c>
      <c r="F37" s="353">
        <f>IF($C$4="B",ROUND(D37*$G$5,2)*E37,ROUND(C37*$G$5,2)*E37)</f>
        <v>0</v>
      </c>
      <c r="G37" s="337"/>
      <c r="H37" s="612" t="s">
        <v>126</v>
      </c>
      <c r="I37" s="634"/>
      <c r="J37" s="630"/>
      <c r="K37" s="623">
        <v>48151.57</v>
      </c>
      <c r="L37" s="624">
        <f>C12</f>
        <v>0</v>
      </c>
      <c r="M37" s="663">
        <f t="shared" si="0"/>
        <v>0</v>
      </c>
    </row>
    <row r="38" spans="1:13" ht="11.25">
      <c r="A38" s="557" t="s">
        <v>80</v>
      </c>
      <c r="B38" s="365"/>
      <c r="C38" s="548">
        <v>56.38</v>
      </c>
      <c r="D38" s="548">
        <v>58.36</v>
      </c>
      <c r="E38" s="368">
        <f>'verblijf met behandeling'!J94</f>
        <v>0</v>
      </c>
      <c r="F38" s="353">
        <f>IF($C$4="B",ROUND(D38*$G$5,2)*E38,ROUND(C38*$G$5,2)*E38)</f>
        <v>0</v>
      </c>
      <c r="G38" s="337"/>
      <c r="H38" s="322"/>
      <c r="I38" s="322"/>
      <c r="J38" s="322"/>
      <c r="K38" s="322"/>
      <c r="L38" s="323"/>
      <c r="M38" s="324"/>
    </row>
    <row r="39" spans="1:13" ht="11.25">
      <c r="A39" s="557" t="s">
        <v>81</v>
      </c>
      <c r="B39" s="365"/>
      <c r="C39" s="548">
        <v>81.69</v>
      </c>
      <c r="D39" s="548">
        <v>84.84</v>
      </c>
      <c r="E39" s="368">
        <f>'verblijf met behandeling'!J95</f>
        <v>0</v>
      </c>
      <c r="F39" s="353">
        <f>IF($C$4="B",ROUND(D39*$G$5,2)*E39,ROUND(C39*$G$5,2)*E39)</f>
        <v>0</v>
      </c>
      <c r="G39" s="337"/>
      <c r="H39" s="618" t="s">
        <v>858</v>
      </c>
      <c r="I39" s="345"/>
      <c r="J39" s="345"/>
      <c r="K39" s="345"/>
      <c r="L39" s="359"/>
      <c r="M39" s="649">
        <f>SUM(M9:M37)</f>
        <v>0</v>
      </c>
    </row>
    <row r="40" spans="1:13" ht="11.25">
      <c r="A40" s="557" t="s">
        <v>82</v>
      </c>
      <c r="B40" s="365"/>
      <c r="C40" s="548">
        <v>67.49</v>
      </c>
      <c r="D40" s="548">
        <v>69.66</v>
      </c>
      <c r="E40" s="368">
        <f>'verblijf met behandeling'!J96</f>
        <v>0</v>
      </c>
      <c r="F40" s="353">
        <f>IF($C$4="B",ROUND(D40*$G$5,2)*E40,ROUND(C40*$G$5,2)*E40)</f>
        <v>0</v>
      </c>
      <c r="G40" s="337"/>
      <c r="H40" s="322"/>
      <c r="I40" s="322"/>
      <c r="J40" s="322"/>
      <c r="K40" s="322"/>
      <c r="L40" s="323"/>
      <c r="M40" s="324"/>
    </row>
    <row r="41" spans="1:13" ht="11.25">
      <c r="A41" s="557" t="s">
        <v>85</v>
      </c>
      <c r="B41" s="355"/>
      <c r="C41" s="549"/>
      <c r="D41" s="549"/>
      <c r="E41" s="360"/>
      <c r="F41" s="361"/>
      <c r="G41" s="337"/>
      <c r="H41" s="322" t="s">
        <v>103</v>
      </c>
      <c r="I41" s="322"/>
      <c r="J41" s="322"/>
      <c r="K41" s="333"/>
      <c r="L41" s="323"/>
      <c r="M41" s="698"/>
    </row>
    <row r="42" spans="1:13" ht="11.25">
      <c r="A42" s="557" t="s">
        <v>79</v>
      </c>
      <c r="B42" s="365"/>
      <c r="C42" s="548">
        <v>38.18</v>
      </c>
      <c r="D42" s="548">
        <v>38.95</v>
      </c>
      <c r="E42" s="368">
        <f>'verblijf met behandeling'!J98</f>
        <v>0</v>
      </c>
      <c r="F42" s="353">
        <f>IF($C$4="B",ROUND(D42*$G$5,2)*E42,ROUND(C42*$G$5,2)*E42)</f>
        <v>0</v>
      </c>
      <c r="G42" s="337"/>
      <c r="H42" s="354" t="s">
        <v>184</v>
      </c>
      <c r="I42" s="631"/>
      <c r="J42" s="629"/>
      <c r="K42" s="628">
        <v>2474.78</v>
      </c>
      <c r="L42" s="626">
        <f>C6</f>
        <v>0</v>
      </c>
      <c r="M42" s="660">
        <f aca="true" t="shared" si="1" ref="M42:M49">ROUND(ROUND(K42*$G$6,2)*L42,0)</f>
        <v>0</v>
      </c>
    </row>
    <row r="43" spans="1:13" ht="11.25">
      <c r="A43" s="557" t="s">
        <v>80</v>
      </c>
      <c r="B43" s="365"/>
      <c r="C43" s="548">
        <v>47.84</v>
      </c>
      <c r="D43" s="548">
        <v>49.25</v>
      </c>
      <c r="E43" s="368">
        <f>'verblijf met behandeling'!J99</f>
        <v>0</v>
      </c>
      <c r="F43" s="353">
        <f>IF($C$4="B",ROUND(D43*$G$5,2)*E43,ROUND(C43*$G$5,2)*E43)</f>
        <v>0</v>
      </c>
      <c r="G43" s="337"/>
      <c r="H43" s="352" t="s">
        <v>185</v>
      </c>
      <c r="I43" s="355"/>
      <c r="J43" s="365"/>
      <c r="K43" s="625">
        <v>11.02</v>
      </c>
      <c r="L43" s="621">
        <f>C16</f>
        <v>0</v>
      </c>
      <c r="M43" s="609">
        <f t="shared" si="1"/>
        <v>0</v>
      </c>
    </row>
    <row r="44" spans="1:13" ht="11.25">
      <c r="A44" s="557" t="s">
        <v>81</v>
      </c>
      <c r="B44" s="365"/>
      <c r="C44" s="548">
        <v>72.22</v>
      </c>
      <c r="D44" s="548">
        <v>74.71</v>
      </c>
      <c r="E44" s="368">
        <f>'verblijf met behandeling'!J100</f>
        <v>0</v>
      </c>
      <c r="F44" s="353">
        <f>IF($C$4="B",ROUND(D44*$G$5,2)*E44,ROUND(C44*$G$5,2)*E44)</f>
        <v>0</v>
      </c>
      <c r="G44" s="337"/>
      <c r="H44" s="352" t="s">
        <v>857</v>
      </c>
      <c r="I44" s="355"/>
      <c r="J44" s="365"/>
      <c r="K44" s="622">
        <v>1393.16</v>
      </c>
      <c r="L44" s="621">
        <f>C8</f>
        <v>0</v>
      </c>
      <c r="M44" s="609">
        <f t="shared" si="1"/>
        <v>0</v>
      </c>
    </row>
    <row r="45" spans="1:14" ht="11.25">
      <c r="A45" s="557" t="s">
        <v>82</v>
      </c>
      <c r="B45" s="365"/>
      <c r="C45" s="548">
        <v>67.49</v>
      </c>
      <c r="D45" s="548">
        <v>69.66</v>
      </c>
      <c r="E45" s="368">
        <f>'verblijf met behandeling'!J101</f>
        <v>0</v>
      </c>
      <c r="F45" s="353">
        <f>IF($C$4="B",ROUND(D45*$G$5,2)*E45,ROUND(C45*$G$5,2)*E45)</f>
        <v>0</v>
      </c>
      <c r="G45" s="337"/>
      <c r="H45" s="352" t="s">
        <v>856</v>
      </c>
      <c r="I45" s="355"/>
      <c r="J45" s="365"/>
      <c r="K45" s="622">
        <v>4073.69</v>
      </c>
      <c r="L45" s="621">
        <f>C10</f>
        <v>0</v>
      </c>
      <c r="M45" s="661">
        <f t="shared" si="1"/>
        <v>0</v>
      </c>
      <c r="N45" s="322"/>
    </row>
    <row r="46" spans="1:14" ht="11.25">
      <c r="A46" s="557" t="s">
        <v>86</v>
      </c>
      <c r="B46" s="355"/>
      <c r="C46" s="549"/>
      <c r="D46" s="549"/>
      <c r="E46" s="360"/>
      <c r="F46" s="361"/>
      <c r="G46" s="337"/>
      <c r="H46" s="352" t="s">
        <v>411</v>
      </c>
      <c r="I46" s="355"/>
      <c r="J46" s="365"/>
      <c r="K46" s="625">
        <v>26.04</v>
      </c>
      <c r="L46" s="621">
        <f>C21</f>
        <v>0</v>
      </c>
      <c r="M46" s="609">
        <f t="shared" si="1"/>
        <v>0</v>
      </c>
      <c r="N46" s="322"/>
    </row>
    <row r="47" spans="1:14" ht="11.25">
      <c r="A47" s="557" t="s">
        <v>79</v>
      </c>
      <c r="B47" s="365"/>
      <c r="C47" s="548">
        <v>38.18</v>
      </c>
      <c r="D47" s="548">
        <v>38.95</v>
      </c>
      <c r="E47" s="368">
        <f>'verblijf met behandeling'!J103</f>
        <v>0</v>
      </c>
      <c r="F47" s="353">
        <f aca="true" t="shared" si="2" ref="F47:F53">IF($C$4="B",ROUND(D47*$G$5,2)*E47,ROUND(C47*$G$5,2)*E47)</f>
        <v>0</v>
      </c>
      <c r="G47" s="337"/>
      <c r="H47" s="352" t="s">
        <v>855</v>
      </c>
      <c r="I47" s="355"/>
      <c r="J47" s="365"/>
      <c r="K47" s="622">
        <v>950.87</v>
      </c>
      <c r="L47" s="621">
        <f>C7</f>
        <v>0</v>
      </c>
      <c r="M47" s="661">
        <f t="shared" si="1"/>
        <v>0</v>
      </c>
      <c r="N47" s="322"/>
    </row>
    <row r="48" spans="1:14" ht="11.25">
      <c r="A48" s="557" t="s">
        <v>80</v>
      </c>
      <c r="B48" s="365"/>
      <c r="C48" s="548">
        <v>43.61</v>
      </c>
      <c r="D48" s="548">
        <v>44.74</v>
      </c>
      <c r="E48" s="368">
        <f>'verblijf met behandeling'!J104</f>
        <v>0</v>
      </c>
      <c r="F48" s="353">
        <f t="shared" si="2"/>
        <v>0</v>
      </c>
      <c r="G48" s="337"/>
      <c r="H48" s="352" t="s">
        <v>844</v>
      </c>
      <c r="I48" s="355"/>
      <c r="J48" s="365"/>
      <c r="K48" s="625">
        <v>3.01</v>
      </c>
      <c r="L48" s="621">
        <f>'verblijf met behandeling'!J45</f>
        <v>0</v>
      </c>
      <c r="M48" s="609">
        <f t="shared" si="1"/>
        <v>0</v>
      </c>
      <c r="N48" s="322"/>
    </row>
    <row r="49" spans="1:13" ht="11.25">
      <c r="A49" s="557" t="s">
        <v>81</v>
      </c>
      <c r="B49" s="365"/>
      <c r="C49" s="548">
        <v>67.49</v>
      </c>
      <c r="D49" s="548">
        <v>69.66</v>
      </c>
      <c r="E49" s="368">
        <f>'verblijf met behandeling'!J105</f>
        <v>0</v>
      </c>
      <c r="F49" s="353">
        <f t="shared" si="2"/>
        <v>0</v>
      </c>
      <c r="G49" s="337"/>
      <c r="H49" s="612" t="s">
        <v>115</v>
      </c>
      <c r="I49" s="634"/>
      <c r="J49" s="630"/>
      <c r="K49" s="623">
        <v>477.92</v>
      </c>
      <c r="L49" s="624">
        <f>C6</f>
        <v>0</v>
      </c>
      <c r="M49" s="663">
        <f t="shared" si="1"/>
        <v>0</v>
      </c>
    </row>
    <row r="50" spans="1:14" ht="11.25">
      <c r="A50" s="557" t="s">
        <v>82</v>
      </c>
      <c r="B50" s="365"/>
      <c r="C50" s="548">
        <v>67.49</v>
      </c>
      <c r="D50" s="548">
        <v>69.66</v>
      </c>
      <c r="E50" s="368">
        <f>'verblijf met behandeling'!J106</f>
        <v>0</v>
      </c>
      <c r="F50" s="353">
        <f t="shared" si="2"/>
        <v>0</v>
      </c>
      <c r="G50" s="337"/>
      <c r="H50" s="322"/>
      <c r="I50" s="322"/>
      <c r="J50" s="322"/>
      <c r="K50" s="322"/>
      <c r="L50" s="333"/>
      <c r="M50" s="324"/>
      <c r="N50" s="322"/>
    </row>
    <row r="51" spans="1:14" ht="11.25">
      <c r="A51" s="557" t="s">
        <v>845</v>
      </c>
      <c r="B51" s="675"/>
      <c r="C51" s="622">
        <v>10715.23</v>
      </c>
      <c r="D51" s="622">
        <v>10892.71</v>
      </c>
      <c r="E51" s="368">
        <f>'verblijf met behandeling'!J14</f>
        <v>0</v>
      </c>
      <c r="F51" s="353">
        <f t="shared" si="2"/>
        <v>0</v>
      </c>
      <c r="G51" s="337"/>
      <c r="H51" s="618" t="s">
        <v>859</v>
      </c>
      <c r="I51" s="345"/>
      <c r="J51" s="345"/>
      <c r="K51" s="345"/>
      <c r="L51" s="359"/>
      <c r="M51" s="649">
        <f>SUM(M42:M49)</f>
        <v>0</v>
      </c>
      <c r="N51" s="322"/>
    </row>
    <row r="52" spans="1:14" ht="11.25">
      <c r="A52" s="557" t="s">
        <v>846</v>
      </c>
      <c r="B52" s="365"/>
      <c r="C52" s="548">
        <v>95.1</v>
      </c>
      <c r="D52" s="548">
        <v>99.72</v>
      </c>
      <c r="E52" s="368">
        <f>'verblijf met behandeling'!J46</f>
        <v>0</v>
      </c>
      <c r="F52" s="353">
        <f t="shared" si="2"/>
        <v>0</v>
      </c>
      <c r="G52" s="337"/>
      <c r="H52" s="322"/>
      <c r="I52" s="322"/>
      <c r="J52" s="322"/>
      <c r="K52" s="322"/>
      <c r="L52" s="333"/>
      <c r="M52" s="324"/>
      <c r="N52" s="322"/>
    </row>
    <row r="53" spans="1:13" ht="11.25">
      <c r="A53" s="647" t="s">
        <v>844</v>
      </c>
      <c r="B53" s="630"/>
      <c r="C53" s="694">
        <v>9.43</v>
      </c>
      <c r="D53" s="694">
        <v>10.09</v>
      </c>
      <c r="E53" s="639">
        <f>'verblijf met behandeling'!J45</f>
        <v>0</v>
      </c>
      <c r="F53" s="367">
        <f t="shared" si="2"/>
        <v>0</v>
      </c>
      <c r="G53" s="337"/>
      <c r="H53" s="322"/>
      <c r="I53" s="322"/>
      <c r="J53" s="322"/>
      <c r="K53" s="322"/>
      <c r="L53" s="333"/>
      <c r="M53" s="324"/>
    </row>
    <row r="54" spans="1:13" ht="11.25">
      <c r="A54" s="321"/>
      <c r="B54" s="322"/>
      <c r="C54" s="322"/>
      <c r="D54" s="322"/>
      <c r="E54" s="323"/>
      <c r="F54" s="322"/>
      <c r="G54" s="322"/>
      <c r="H54" s="322"/>
      <c r="I54" s="322"/>
      <c r="J54" s="322"/>
      <c r="K54" s="322"/>
      <c r="L54" s="333"/>
      <c r="M54" s="324"/>
    </row>
    <row r="55" spans="1:21" ht="11.25">
      <c r="A55" s="344" t="s">
        <v>217</v>
      </c>
      <c r="B55" s="345"/>
      <c r="C55" s="345"/>
      <c r="D55" s="345"/>
      <c r="E55" s="359"/>
      <c r="F55" s="358">
        <f>SUM(F25:F53)</f>
        <v>0</v>
      </c>
      <c r="G55" s="323"/>
      <c r="H55" s="322"/>
      <c r="I55" s="322"/>
      <c r="J55" s="322"/>
      <c r="K55" s="322"/>
      <c r="L55" s="333"/>
      <c r="M55" s="324"/>
      <c r="N55" s="322"/>
      <c r="O55" s="322"/>
      <c r="P55" s="322"/>
      <c r="Q55" s="322"/>
      <c r="R55" s="322"/>
      <c r="S55" s="322"/>
      <c r="T55" s="322"/>
      <c r="U55" s="322"/>
    </row>
    <row r="56" spans="1:21" ht="11.25">
      <c r="A56" s="321"/>
      <c r="B56" s="322"/>
      <c r="C56" s="322"/>
      <c r="D56" s="322"/>
      <c r="E56" s="323"/>
      <c r="F56" s="322"/>
      <c r="G56" s="322"/>
      <c r="H56" s="322"/>
      <c r="I56" s="322"/>
      <c r="J56" s="322"/>
      <c r="K56" s="322"/>
      <c r="L56" s="333"/>
      <c r="M56" s="324"/>
      <c r="N56" s="322"/>
      <c r="O56" s="322"/>
      <c r="P56" s="322"/>
      <c r="Q56" s="322"/>
      <c r="R56" s="322"/>
      <c r="S56" s="322"/>
      <c r="T56" s="323"/>
      <c r="U56" s="322"/>
    </row>
    <row r="57" spans="1:21" ht="11.25">
      <c r="A57" s="321" t="s">
        <v>878</v>
      </c>
      <c r="B57" s="322"/>
      <c r="C57" s="322"/>
      <c r="D57" s="322"/>
      <c r="E57" s="323"/>
      <c r="F57" s="322"/>
      <c r="G57" s="337"/>
      <c r="H57" s="323" t="s">
        <v>389</v>
      </c>
      <c r="I57" s="322"/>
      <c r="J57" s="322"/>
      <c r="K57" s="322"/>
      <c r="L57" s="333"/>
      <c r="M57" s="324"/>
      <c r="N57" s="322"/>
      <c r="O57" s="322"/>
      <c r="P57" s="322"/>
      <c r="Q57" s="322"/>
      <c r="R57" s="322"/>
      <c r="S57" s="322"/>
      <c r="T57" s="323"/>
      <c r="U57" s="322"/>
    </row>
    <row r="58" spans="1:21" ht="11.25">
      <c r="A58" s="321"/>
      <c r="B58" s="322"/>
      <c r="C58" s="322"/>
      <c r="D58" s="322"/>
      <c r="E58" s="323"/>
      <c r="F58" s="322"/>
      <c r="G58" s="323"/>
      <c r="H58" s="323"/>
      <c r="I58" s="322"/>
      <c r="J58" s="322"/>
      <c r="K58" s="322"/>
      <c r="L58" s="333"/>
      <c r="M58" s="324"/>
      <c r="N58" s="322"/>
      <c r="O58" s="322"/>
      <c r="P58" s="322"/>
      <c r="Q58" s="686"/>
      <c r="R58" s="555"/>
      <c r="S58" s="322"/>
      <c r="T58" s="322"/>
      <c r="U58" s="322"/>
    </row>
    <row r="59" spans="1:21" ht="11.25">
      <c r="A59" s="678" t="s">
        <v>654</v>
      </c>
      <c r="B59" s="696"/>
      <c r="C59" s="665" t="s">
        <v>65</v>
      </c>
      <c r="D59" s="696"/>
      <c r="E59" s="679"/>
      <c r="F59" s="695"/>
      <c r="G59" s="323"/>
      <c r="H59" s="678" t="s">
        <v>654</v>
      </c>
      <c r="I59" s="696"/>
      <c r="J59" s="697" t="s">
        <v>65</v>
      </c>
      <c r="K59" s="665"/>
      <c r="L59" s="679"/>
      <c r="M59" s="684"/>
      <c r="N59" s="322"/>
      <c r="O59" s="322"/>
      <c r="P59" s="322"/>
      <c r="Q59" s="686"/>
      <c r="R59" s="555"/>
      <c r="S59" s="322"/>
      <c r="T59" s="322"/>
      <c r="U59" s="322"/>
    </row>
    <row r="60" spans="1:21" ht="11.25">
      <c r="A60" s="731" t="s">
        <v>138</v>
      </c>
      <c r="B60" s="712"/>
      <c r="C60" s="715" t="s">
        <v>67</v>
      </c>
      <c r="D60" s="712"/>
      <c r="E60" s="741"/>
      <c r="F60" s="740"/>
      <c r="G60" s="555"/>
      <c r="H60" s="731" t="s">
        <v>138</v>
      </c>
      <c r="I60" s="712"/>
      <c r="J60" s="732" t="s">
        <v>67</v>
      </c>
      <c r="K60" s="715"/>
      <c r="L60" s="741"/>
      <c r="M60" s="733"/>
      <c r="N60" s="322"/>
      <c r="T60" s="322"/>
      <c r="U60" s="322"/>
    </row>
    <row r="61" spans="1:21" ht="11.25">
      <c r="A61" s="651"/>
      <c r="B61" s="652"/>
      <c r="C61" s="739" t="s">
        <v>68</v>
      </c>
      <c r="D61" s="809">
        <f>IF(C5=0,0,IF(AND(C5&lt;75),ROUND(ROUND(ROUND((E78),2),2),2),0))</f>
        <v>0</v>
      </c>
      <c r="E61" s="806">
        <f>IF(C5=0,0,IF(AND(C5&lt;=75),C5,0))</f>
        <v>0</v>
      </c>
      <c r="F61" s="657">
        <f>ROUND(D61*G5,2)*E61</f>
        <v>0</v>
      </c>
      <c r="G61" s="555"/>
      <c r="H61" s="651"/>
      <c r="I61" s="652"/>
      <c r="J61" s="781" t="s">
        <v>68</v>
      </c>
      <c r="K61" s="809">
        <f>IF(C5=0,0,IF(AND(C5&lt;75),ROUND(ROUND(ROUND((L78),2),2),2),0))</f>
        <v>0</v>
      </c>
      <c r="L61" s="806">
        <f>IF(C5=0,0,IF(AND(C5&lt;=75),C15,0))</f>
        <v>0</v>
      </c>
      <c r="M61" s="657">
        <f>ROUND(K61*G5,2)*L61</f>
        <v>0</v>
      </c>
      <c r="N61" s="322"/>
      <c r="T61" s="322"/>
      <c r="U61" s="322"/>
    </row>
    <row r="62" spans="1:21" ht="11.25">
      <c r="A62" s="352"/>
      <c r="B62" s="355"/>
      <c r="C62" s="632" t="s">
        <v>69</v>
      </c>
      <c r="D62" s="809">
        <f>IF(C5=0,0,IF(AND(C5&lt;150,C5&gt;=75),ROUND(ROUND(ROUND(((C5-75)/75*(E79-D79)+D79),2),2),2),0))</f>
        <v>0</v>
      </c>
      <c r="E62" s="806">
        <f>IF(C5=0,0,IF(AND(C5&lt;150,C5&gt;=75),C5,0))</f>
        <v>0</v>
      </c>
      <c r="F62" s="657">
        <f>ROUND(D62*G5,2)*E62</f>
        <v>0</v>
      </c>
      <c r="G62" s="555"/>
      <c r="H62" s="352"/>
      <c r="I62" s="355"/>
      <c r="J62" s="632" t="s">
        <v>69</v>
      </c>
      <c r="K62" s="809">
        <f>IF(C5=0,0,IF(AND(C5&lt;150,C5&gt;=75),ROUND(ROUND(ROUND(((C5-75)/75*(L79-K79)+K79),2),2),2),0))</f>
        <v>0</v>
      </c>
      <c r="L62" s="806">
        <f>IF(C5=0,0,IF(AND(C5&lt;150,C5&gt;=75),C15,0))</f>
        <v>0</v>
      </c>
      <c r="M62" s="657">
        <f>ROUND(K62*G5,2)*L62</f>
        <v>0</v>
      </c>
      <c r="N62" s="322"/>
      <c r="T62" s="322"/>
      <c r="U62" s="322"/>
    </row>
    <row r="63" spans="1:21" ht="11.25">
      <c r="A63" s="352"/>
      <c r="B63" s="355"/>
      <c r="C63" s="632" t="s">
        <v>70</v>
      </c>
      <c r="D63" s="809">
        <f>IF(C5=0,0,IF(AND(C5&lt;350,C5&gt;=150),ROUND(ROUND(ROUND(((C5-150)/200*(E80-D80)+D80),2),2),2),0))</f>
        <v>0</v>
      </c>
      <c r="E63" s="806">
        <f>IF(C5=0,0,IF(AND(C5&lt;350,C5&gt;=150),C5,0))</f>
        <v>0</v>
      </c>
      <c r="F63" s="657">
        <f>ROUND(D63*G5,2)*E63</f>
        <v>0</v>
      </c>
      <c r="G63" s="555"/>
      <c r="H63" s="352"/>
      <c r="I63" s="355"/>
      <c r="J63" s="632" t="s">
        <v>70</v>
      </c>
      <c r="K63" s="809">
        <f>IF(C5=0,0,IF(AND(C5&lt;350,C5&gt;=150),ROUND(ROUND(ROUND(((C5-150)/200*(L80-K80)+K80),2),2),2),0))</f>
        <v>0</v>
      </c>
      <c r="L63" s="806">
        <f>IF(C5=0,0,IF(AND(C5&lt;350,C5&gt;=150),C15,0))</f>
        <v>0</v>
      </c>
      <c r="M63" s="657">
        <f>ROUND(K63*G5,2)*L63</f>
        <v>0</v>
      </c>
      <c r="N63" s="322"/>
      <c r="T63" s="322"/>
      <c r="U63" s="322"/>
    </row>
    <row r="64" spans="1:21" ht="11.25">
      <c r="A64" s="612"/>
      <c r="B64" s="634"/>
      <c r="C64" s="742" t="s">
        <v>71</v>
      </c>
      <c r="D64" s="809">
        <f>IF(C5=0,0,IF(AND(C5&gt;350),ROUND(ROUND(ROUND((D81),2),2),2),0))</f>
        <v>0</v>
      </c>
      <c r="E64" s="806">
        <f>IF(C5=0,0,IF(AND(C5&gt;350),C5,0))</f>
        <v>0</v>
      </c>
      <c r="F64" s="657">
        <f>ROUND(D64*G5,2)*E64</f>
        <v>0</v>
      </c>
      <c r="G64" s="323"/>
      <c r="H64" s="702"/>
      <c r="I64" s="681"/>
      <c r="J64" s="808" t="s">
        <v>71</v>
      </c>
      <c r="K64" s="809">
        <f>IF(C5=0,0,IF(AND(C5&gt;350),ROUND(ROUND(ROUND((K81),2),2),2),0))</f>
        <v>0</v>
      </c>
      <c r="L64" s="806">
        <f>IF(C5=0,0,IF(AND(C5&gt;350),C15,0))</f>
        <v>0</v>
      </c>
      <c r="M64" s="657">
        <f>ROUND(K64*G5,2)*L64</f>
        <v>0</v>
      </c>
      <c r="T64" s="322"/>
      <c r="U64" s="322"/>
    </row>
    <row r="65" spans="1:21" ht="11.25">
      <c r="A65" s="737" t="s">
        <v>134</v>
      </c>
      <c r="B65" s="345"/>
      <c r="C65" s="345"/>
      <c r="D65" s="357"/>
      <c r="E65" s="655"/>
      <c r="F65" s="358">
        <f>SUM(F61:F64)</f>
        <v>0</v>
      </c>
      <c r="G65" s="323"/>
      <c r="H65" s="737" t="s">
        <v>134</v>
      </c>
      <c r="I65" s="738"/>
      <c r="J65" s="357"/>
      <c r="K65" s="738"/>
      <c r="L65" s="654"/>
      <c r="M65" s="649">
        <f>SUM(M61:M64)</f>
        <v>0</v>
      </c>
      <c r="T65" s="322"/>
      <c r="U65" s="322"/>
    </row>
    <row r="66" spans="1:21" ht="11.25">
      <c r="A66" s="321"/>
      <c r="B66" s="322"/>
      <c r="C66" s="322"/>
      <c r="D66" s="322"/>
      <c r="E66" s="323"/>
      <c r="F66" s="322"/>
      <c r="G66" s="337"/>
      <c r="H66" s="323"/>
      <c r="I66" s="322"/>
      <c r="J66" s="322"/>
      <c r="K66" s="322"/>
      <c r="L66" s="333"/>
      <c r="M66" s="324"/>
      <c r="T66" s="322"/>
      <c r="U66" s="322"/>
    </row>
    <row r="67" spans="1:21" ht="11.25">
      <c r="A67" s="678" t="s">
        <v>654</v>
      </c>
      <c r="B67" s="696"/>
      <c r="C67" s="665" t="s">
        <v>65</v>
      </c>
      <c r="D67" s="696"/>
      <c r="E67" s="679"/>
      <c r="F67" s="695"/>
      <c r="G67" s="337"/>
      <c r="H67" s="678" t="s">
        <v>654</v>
      </c>
      <c r="I67" s="696"/>
      <c r="J67" s="697" t="s">
        <v>65</v>
      </c>
      <c r="K67" s="665"/>
      <c r="L67" s="679"/>
      <c r="M67" s="735"/>
      <c r="T67" s="322"/>
      <c r="U67" s="322"/>
    </row>
    <row r="68" spans="1:21" ht="11.25">
      <c r="A68" s="731" t="s">
        <v>137</v>
      </c>
      <c r="B68" s="712"/>
      <c r="C68" s="715" t="s">
        <v>67</v>
      </c>
      <c r="D68" s="712"/>
      <c r="E68" s="741"/>
      <c r="F68" s="740"/>
      <c r="G68" s="337"/>
      <c r="H68" s="731" t="s">
        <v>137</v>
      </c>
      <c r="I68" s="712"/>
      <c r="J68" s="732" t="s">
        <v>67</v>
      </c>
      <c r="K68" s="715"/>
      <c r="L68" s="741"/>
      <c r="M68" s="736"/>
      <c r="T68" s="322"/>
      <c r="U68" s="322"/>
    </row>
    <row r="69" spans="1:21" ht="11.25">
      <c r="A69" s="651"/>
      <c r="B69" s="652"/>
      <c r="C69" s="739" t="s">
        <v>68</v>
      </c>
      <c r="D69" s="809">
        <f>IF(C5+C6=0,0,IF(AND((C5+C6)&lt;75),ROUND(ROUND(ROUND((E78),2),2),2),0))</f>
        <v>0</v>
      </c>
      <c r="E69" s="806">
        <f>IF(C5+C6=0,0,IF(AND((C5+C6)&lt;=75),(C5+C6),0))</f>
        <v>0</v>
      </c>
      <c r="F69" s="657">
        <f>ROUND(D69*G5,2)*E69</f>
        <v>0</v>
      </c>
      <c r="G69" s="337"/>
      <c r="H69" s="651"/>
      <c r="I69" s="652"/>
      <c r="J69" s="781" t="s">
        <v>68</v>
      </c>
      <c r="K69" s="809">
        <f>IF(C5+C6=0,0,IF(AND((C5+C6)&lt;75),ROUND(ROUND(ROUND((L78),2),2),2),0))</f>
        <v>0</v>
      </c>
      <c r="L69" s="806">
        <f>IF(C5+C6=0,0,IF(AND((C5+C6)&lt;=75),(C15+C16),0))</f>
        <v>0</v>
      </c>
      <c r="M69" s="657">
        <f>ROUND(K69*G5,2)*L69</f>
        <v>0</v>
      </c>
      <c r="T69" s="322"/>
      <c r="U69" s="322"/>
    </row>
    <row r="70" spans="1:21" ht="11.25">
      <c r="A70" s="352"/>
      <c r="B70" s="355"/>
      <c r="C70" s="632" t="s">
        <v>69</v>
      </c>
      <c r="D70" s="809">
        <f>IF(C5+C6=0,0,IF(AND((C5+C6)&lt;150,(C5+C6)&gt;=75),ROUND(ROUND(ROUND((((C5+C6)-75)/75*(E79-D79)+D79),2),2),2),0))</f>
        <v>0</v>
      </c>
      <c r="E70" s="806">
        <f>IF(C5+C6=0,0,IF(AND((C5+C6)&lt;150,(C5+C6)&gt;=75),(C5+C6),0))</f>
        <v>0</v>
      </c>
      <c r="F70" s="657">
        <f>ROUND(D70*G5,2)*E70</f>
        <v>0</v>
      </c>
      <c r="G70" s="337"/>
      <c r="H70" s="352"/>
      <c r="I70" s="355"/>
      <c r="J70" s="632" t="s">
        <v>69</v>
      </c>
      <c r="K70" s="809">
        <f>IF(C5+C6=0,0,IF(AND((C5+C6)&lt;150,(C5+C6)&gt;=75),ROUND(ROUND(ROUND((((C5+C6)-75)/75*(L79-K79)+K79),2),2),2),0))</f>
        <v>0</v>
      </c>
      <c r="L70" s="806">
        <f>IF(C5+C6=0,0,IF(AND((C5+C6)&lt;150,(C5+C6)&gt;=75),(C15+C16),0))</f>
        <v>0</v>
      </c>
      <c r="M70" s="657">
        <f>ROUND(K70*G5,2)*L70</f>
        <v>0</v>
      </c>
      <c r="T70" s="322"/>
      <c r="U70" s="322"/>
    </row>
    <row r="71" spans="1:21" ht="11.25">
      <c r="A71" s="352"/>
      <c r="B71" s="355"/>
      <c r="C71" s="632" t="s">
        <v>70</v>
      </c>
      <c r="D71" s="809">
        <f>IF(C5+C6=0,0,IF(AND((C5+C6)&lt;350,(C5+C6)&gt;=150),ROUND(ROUND(ROUND((((C5+C6)-150)/200*(E80-D80)+D80),2),2),2),0))</f>
        <v>0</v>
      </c>
      <c r="E71" s="806">
        <f>IF(C5+C6=0,0,IF(AND((C5+C6)&lt;350,(C5+C6)&gt;=150),(C5+C6),0))</f>
        <v>0</v>
      </c>
      <c r="F71" s="657">
        <f>ROUND(D71*G5,2)*E71</f>
        <v>0</v>
      </c>
      <c r="G71" s="337"/>
      <c r="H71" s="352"/>
      <c r="I71" s="355"/>
      <c r="J71" s="632" t="s">
        <v>70</v>
      </c>
      <c r="K71" s="809">
        <f>IF(C5+C6=0,0,IF(AND((C5+C6)&lt;350,(C5+C6)&gt;=150),ROUND(ROUND(ROUND((((C5+C6)-150)/200*(L80-K80)+K80),2),2),2),0))</f>
        <v>0</v>
      </c>
      <c r="L71" s="806">
        <f>IF(C5+C6=0,0,IF(AND((C5+C6)&lt;350,(C5+C6)&gt;=150),(C15+C16),0))</f>
        <v>0</v>
      </c>
      <c r="M71" s="657">
        <f>ROUND(K71*G5,2)*L71</f>
        <v>0</v>
      </c>
      <c r="N71" s="322"/>
      <c r="T71" s="322"/>
      <c r="U71" s="322"/>
    </row>
    <row r="72" spans="1:21" ht="11.25">
      <c r="A72" s="612"/>
      <c r="B72" s="634"/>
      <c r="C72" s="742" t="s">
        <v>71</v>
      </c>
      <c r="D72" s="809">
        <f>IF(C5+C6=0,0,IF(AND((C5+C6)&gt;350),ROUND(ROUND(ROUND((D81),2),2),2),0))</f>
        <v>0</v>
      </c>
      <c r="E72" s="806">
        <f>IF(C5+C6=0,0,IF(AND((C5+C6)&gt;350),(C5+C6),0))</f>
        <v>0</v>
      </c>
      <c r="F72" s="657">
        <f>ROUND(D72*G5,2)*E72</f>
        <v>0</v>
      </c>
      <c r="G72" s="323"/>
      <c r="H72" s="612"/>
      <c r="I72" s="634"/>
      <c r="J72" s="808" t="s">
        <v>71</v>
      </c>
      <c r="K72" s="809">
        <f>IF(C5+C6=0,0,IF(AND((C5+C6)&gt;350),ROUND(ROUND(ROUND((K81),2),2),2),0))</f>
        <v>0</v>
      </c>
      <c r="L72" s="806">
        <f>IF(C5+C6=0,0,IF(AND((C5+C6)&gt;350),(C15+C16),0))</f>
        <v>0</v>
      </c>
      <c r="M72" s="657">
        <f>ROUND(K72*G5,2)*L72</f>
        <v>0</v>
      </c>
      <c r="N72" s="322"/>
      <c r="T72" s="322"/>
      <c r="U72" s="322"/>
    </row>
    <row r="73" spans="1:21" ht="11.25">
      <c r="A73" s="618" t="s">
        <v>133</v>
      </c>
      <c r="B73" s="345"/>
      <c r="C73" s="345"/>
      <c r="D73" s="345"/>
      <c r="E73" s="654"/>
      <c r="F73" s="358">
        <f>SUM(F69:F72)</f>
        <v>0</v>
      </c>
      <c r="G73" s="322"/>
      <c r="H73" s="737" t="s">
        <v>133</v>
      </c>
      <c r="I73" s="345"/>
      <c r="J73" s="357"/>
      <c r="K73" s="738"/>
      <c r="L73" s="654"/>
      <c r="M73" s="649">
        <f>SUM(M69:M72)</f>
        <v>0</v>
      </c>
      <c r="N73" s="322"/>
      <c r="T73" s="322"/>
      <c r="U73" s="322"/>
    </row>
    <row r="74" spans="1:21" ht="11.25">
      <c r="A74" s="321"/>
      <c r="B74" s="322"/>
      <c r="C74" s="322"/>
      <c r="D74" s="322"/>
      <c r="E74" s="322"/>
      <c r="F74" s="322"/>
      <c r="G74" s="322"/>
      <c r="H74" s="323"/>
      <c r="I74" s="322"/>
      <c r="J74" s="322"/>
      <c r="K74" s="323"/>
      <c r="L74" s="558"/>
      <c r="M74" s="324"/>
      <c r="N74" s="322"/>
      <c r="T74" s="322"/>
      <c r="U74" s="322"/>
    </row>
    <row r="75" spans="1:21" ht="11.25">
      <c r="A75" s="782" t="s">
        <v>64</v>
      </c>
      <c r="B75" s="665"/>
      <c r="C75" s="665"/>
      <c r="D75" s="697"/>
      <c r="E75" s="689"/>
      <c r="F75" s="747"/>
      <c r="G75" s="322"/>
      <c r="H75" s="746" t="s">
        <v>64</v>
      </c>
      <c r="I75" s="665"/>
      <c r="J75" s="753"/>
      <c r="K75" s="754"/>
      <c r="L75" s="679"/>
      <c r="M75" s="735"/>
      <c r="N75" s="322"/>
      <c r="T75" s="323"/>
      <c r="U75" s="322"/>
    </row>
    <row r="76" spans="1:21" ht="11.25">
      <c r="A76" s="717" t="s">
        <v>842</v>
      </c>
      <c r="B76" s="715"/>
      <c r="C76" s="715"/>
      <c r="D76" s="756" t="s">
        <v>186</v>
      </c>
      <c r="E76" s="757"/>
      <c r="F76" s="778"/>
      <c r="G76" s="322"/>
      <c r="H76" s="714" t="s">
        <v>866</v>
      </c>
      <c r="I76" s="715"/>
      <c r="J76" s="715"/>
      <c r="K76" s="755" t="s">
        <v>453</v>
      </c>
      <c r="L76" s="715"/>
      <c r="M76" s="764"/>
      <c r="N76" s="322"/>
      <c r="T76" s="322"/>
      <c r="U76" s="322"/>
    </row>
    <row r="77" spans="1:21" ht="11.25">
      <c r="A77" s="799"/>
      <c r="B77" s="749"/>
      <c r="C77" s="659"/>
      <c r="D77" s="653"/>
      <c r="E77" s="692"/>
      <c r="F77" s="682"/>
      <c r="G77" s="322"/>
      <c r="H77" s="752"/>
      <c r="I77" s="659"/>
      <c r="J77" s="659"/>
      <c r="K77" s="748" t="s">
        <v>94</v>
      </c>
      <c r="L77" s="748" t="s">
        <v>93</v>
      </c>
      <c r="M77" s="644"/>
      <c r="N77" s="322"/>
      <c r="T77" s="322"/>
      <c r="U77" s="322"/>
    </row>
    <row r="78" spans="1:13" ht="11.25">
      <c r="A78" s="800"/>
      <c r="B78" s="347">
        <v>0</v>
      </c>
      <c r="C78" s="347">
        <v>75</v>
      </c>
      <c r="D78" s="621"/>
      <c r="E78" s="622">
        <v>2963.418232</v>
      </c>
      <c r="F78" s="779"/>
      <c r="G78" s="322"/>
      <c r="H78" s="751"/>
      <c r="I78" s="347">
        <v>0</v>
      </c>
      <c r="J78" s="347">
        <v>75</v>
      </c>
      <c r="K78" s="784"/>
      <c r="L78" s="784">
        <v>0.371722</v>
      </c>
      <c r="M78" s="609"/>
    </row>
    <row r="79" spans="1:14" ht="11.25">
      <c r="A79" s="801"/>
      <c r="B79" s="347">
        <v>75</v>
      </c>
      <c r="C79" s="347">
        <v>150</v>
      </c>
      <c r="D79" s="622">
        <v>2820.852576</v>
      </c>
      <c r="E79" s="622">
        <v>2426.920344</v>
      </c>
      <c r="F79" s="779"/>
      <c r="G79" s="322"/>
      <c r="H79" s="751"/>
      <c r="I79" s="632">
        <v>75</v>
      </c>
      <c r="J79" s="347">
        <v>150</v>
      </c>
      <c r="K79" s="784">
        <v>0.764095</v>
      </c>
      <c r="L79" s="784">
        <v>0.640188</v>
      </c>
      <c r="M79" s="609"/>
      <c r="N79" s="322"/>
    </row>
    <row r="80" spans="1:14" ht="11.25">
      <c r="A80" s="801"/>
      <c r="B80" s="347">
        <v>150</v>
      </c>
      <c r="C80" s="347">
        <v>350</v>
      </c>
      <c r="D80" s="622">
        <v>2306.802557</v>
      </c>
      <c r="E80" s="622">
        <v>1896.12219</v>
      </c>
      <c r="F80" s="779"/>
      <c r="G80" s="322"/>
      <c r="H80" s="751"/>
      <c r="I80" s="347">
        <v>150</v>
      </c>
      <c r="J80" s="347">
        <v>350</v>
      </c>
      <c r="K80" s="784">
        <v>0.929305</v>
      </c>
      <c r="L80" s="784">
        <v>0.712467</v>
      </c>
      <c r="M80" s="609"/>
      <c r="N80" s="322"/>
    </row>
    <row r="81" spans="1:15" ht="12" thickBot="1">
      <c r="A81" s="802"/>
      <c r="B81" s="606">
        <v>350</v>
      </c>
      <c r="C81" s="765" t="s">
        <v>95</v>
      </c>
      <c r="D81" s="803">
        <v>1799.804928</v>
      </c>
      <c r="E81" s="606"/>
      <c r="F81" s="804"/>
      <c r="G81" s="325"/>
      <c r="H81" s="766"/>
      <c r="I81" s="606">
        <v>350</v>
      </c>
      <c r="J81" s="765" t="s">
        <v>95</v>
      </c>
      <c r="K81" s="785">
        <v>0.991258</v>
      </c>
      <c r="L81" s="786"/>
      <c r="M81" s="767"/>
      <c r="N81" s="322"/>
      <c r="O81" s="322"/>
    </row>
    <row r="82" spans="14:15" ht="11.25">
      <c r="N82" s="322"/>
      <c r="O82" s="322"/>
    </row>
    <row r="83" spans="1:15" ht="11.25">
      <c r="A83" s="323"/>
      <c r="B83" s="322"/>
      <c r="C83" s="555"/>
      <c r="D83" s="550"/>
      <c r="E83" s="322"/>
      <c r="F83" s="322"/>
      <c r="G83" s="322"/>
      <c r="H83" s="323"/>
      <c r="I83" s="322"/>
      <c r="J83" s="555"/>
      <c r="K83" s="559"/>
      <c r="L83" s="323"/>
      <c r="M83" s="323"/>
      <c r="N83" s="322"/>
      <c r="O83" s="322"/>
    </row>
    <row r="84" spans="1:13" ht="12" thickBot="1">
      <c r="A84" s="761" t="s">
        <v>836</v>
      </c>
      <c r="B84" s="325"/>
      <c r="C84" s="325"/>
      <c r="D84" s="325"/>
      <c r="E84" s="325"/>
      <c r="F84" s="338"/>
      <c r="G84" s="338"/>
      <c r="H84" s="338"/>
      <c r="I84" s="325"/>
      <c r="J84" s="325"/>
      <c r="K84" s="336"/>
      <c r="L84" s="336"/>
      <c r="M84" s="338"/>
    </row>
    <row r="85" spans="1:13" ht="11.25">
      <c r="A85" s="318"/>
      <c r="B85" s="319"/>
      <c r="C85" s="319"/>
      <c r="D85" s="319"/>
      <c r="E85" s="562"/>
      <c r="F85" s="319"/>
      <c r="G85" s="319"/>
      <c r="H85" s="319" t="s">
        <v>106</v>
      </c>
      <c r="I85" s="319"/>
      <c r="J85" s="319"/>
      <c r="K85" s="335"/>
      <c r="L85" s="334"/>
      <c r="M85" s="320"/>
    </row>
    <row r="86" spans="1:13" ht="11.25">
      <c r="A86" s="553" t="s">
        <v>135</v>
      </c>
      <c r="B86" s="346"/>
      <c r="C86" s="366">
        <f>'verblijf met behandeling'!H24</f>
        <v>0</v>
      </c>
      <c r="D86" s="322"/>
      <c r="E86" s="323"/>
      <c r="F86" s="323"/>
      <c r="G86" s="323"/>
      <c r="H86" s="354" t="s">
        <v>863</v>
      </c>
      <c r="I86" s="631"/>
      <c r="J86" s="629"/>
      <c r="K86" s="704"/>
      <c r="L86" s="626"/>
      <c r="M86" s="720">
        <f>F121-F114</f>
        <v>0</v>
      </c>
    </row>
    <row r="87" spans="1:13" ht="11.25">
      <c r="A87" s="554" t="s">
        <v>136</v>
      </c>
      <c r="B87" s="347"/>
      <c r="C87" s="351">
        <f>'verblijf met behandeling'!J24</f>
        <v>0</v>
      </c>
      <c r="D87" s="322"/>
      <c r="E87" s="323"/>
      <c r="F87" s="337"/>
      <c r="G87" s="337"/>
      <c r="H87" s="352" t="s">
        <v>21</v>
      </c>
      <c r="I87" s="355"/>
      <c r="J87" s="365"/>
      <c r="K87" s="347"/>
      <c r="L87" s="347"/>
      <c r="M87" s="661"/>
    </row>
    <row r="88" spans="1:13" ht="11.25">
      <c r="A88" s="557" t="s">
        <v>181</v>
      </c>
      <c r="B88" s="365"/>
      <c r="C88" s="353">
        <f>'verblijf met behandeling'!J28</f>
        <v>0</v>
      </c>
      <c r="D88" s="322"/>
      <c r="E88" s="323"/>
      <c r="F88" s="337"/>
      <c r="G88" s="337"/>
      <c r="H88" s="352" t="s">
        <v>22</v>
      </c>
      <c r="I88" s="355"/>
      <c r="J88" s="365"/>
      <c r="K88" s="548">
        <v>14.19</v>
      </c>
      <c r="L88" s="621">
        <f>C97+C96</f>
        <v>0</v>
      </c>
      <c r="M88" s="661">
        <f>ROUND(ROUND(K88*$G$5,2)*L88,0)</f>
        <v>0</v>
      </c>
    </row>
    <row r="89" spans="1:13" ht="11.25">
      <c r="A89" s="557" t="s">
        <v>388</v>
      </c>
      <c r="B89" s="365"/>
      <c r="C89" s="353">
        <f>'verblijf met behandeling'!J26</f>
        <v>0</v>
      </c>
      <c r="D89" s="322"/>
      <c r="E89" s="322"/>
      <c r="F89" s="337"/>
      <c r="G89" s="337"/>
      <c r="H89" s="352" t="s">
        <v>409</v>
      </c>
      <c r="I89" s="355"/>
      <c r="J89" s="365"/>
      <c r="K89" s="548">
        <v>14.36</v>
      </c>
      <c r="L89" s="621">
        <f>C94</f>
        <v>0</v>
      </c>
      <c r="M89" s="661">
        <f>ROUND(ROUND(K89*$G$5,2)*L89,0)</f>
        <v>0</v>
      </c>
    </row>
    <row r="90" spans="1:13" ht="11.25">
      <c r="A90" s="647" t="s">
        <v>838</v>
      </c>
      <c r="B90" s="630"/>
      <c r="C90" s="367">
        <f>'verblijf met behandeling'!J27</f>
        <v>0</v>
      </c>
      <c r="D90" s="322"/>
      <c r="E90" s="323"/>
      <c r="F90" s="337"/>
      <c r="G90" s="337"/>
      <c r="H90" s="352" t="s">
        <v>23</v>
      </c>
      <c r="I90" s="355"/>
      <c r="J90" s="365"/>
      <c r="K90" s="347"/>
      <c r="L90" s="347"/>
      <c r="M90" s="609"/>
    </row>
    <row r="91" spans="1:13" ht="11.25">
      <c r="A91" s="321"/>
      <c r="B91" s="322"/>
      <c r="C91" s="339"/>
      <c r="D91" s="322"/>
      <c r="E91" s="323"/>
      <c r="F91" s="337"/>
      <c r="G91" s="337"/>
      <c r="H91" s="352" t="s">
        <v>24</v>
      </c>
      <c r="I91" s="355"/>
      <c r="J91" s="365"/>
      <c r="K91" s="625">
        <v>111.34</v>
      </c>
      <c r="L91" s="621">
        <f>C96</f>
        <v>0</v>
      </c>
      <c r="M91" s="661">
        <f aca="true" t="shared" si="3" ref="M91:M98">ROUND(ROUND(K91*$G$5,2)*L91,0)</f>
        <v>0</v>
      </c>
    </row>
    <row r="92" spans="1:13" ht="11.25">
      <c r="A92" s="354" t="s">
        <v>900</v>
      </c>
      <c r="B92" s="631"/>
      <c r="C92" s="366">
        <f>'verblijf met behandeling'!H56</f>
        <v>0</v>
      </c>
      <c r="D92" s="322"/>
      <c r="E92" s="322"/>
      <c r="F92" s="337"/>
      <c r="G92" s="337"/>
      <c r="H92" s="352" t="s">
        <v>25</v>
      </c>
      <c r="I92" s="355"/>
      <c r="J92" s="365"/>
      <c r="K92" s="625">
        <v>58.52</v>
      </c>
      <c r="L92" s="621">
        <f>C97</f>
        <v>0</v>
      </c>
      <c r="M92" s="661">
        <f t="shared" si="3"/>
        <v>0</v>
      </c>
    </row>
    <row r="93" spans="1:13" ht="11.25">
      <c r="A93" s="354" t="s">
        <v>901</v>
      </c>
      <c r="B93" s="322"/>
      <c r="C93" s="693">
        <f>'verblijf met behandeling'!I56</f>
        <v>0</v>
      </c>
      <c r="D93" s="322"/>
      <c r="E93" s="323"/>
      <c r="F93" s="337"/>
      <c r="G93" s="337"/>
      <c r="H93" s="352" t="s">
        <v>26</v>
      </c>
      <c r="I93" s="355"/>
      <c r="J93" s="365"/>
      <c r="K93" s="710">
        <f>ROUND(IF(C99&gt;=100,E107,IF(C99&lt;=0,D107,D107+(E107-D107)*C99/100)),2)</f>
        <v>4.33</v>
      </c>
      <c r="L93" s="368">
        <f>+C96+C97</f>
        <v>0</v>
      </c>
      <c r="M93" s="661">
        <f t="shared" si="3"/>
        <v>0</v>
      </c>
    </row>
    <row r="94" spans="1:13" ht="11.25">
      <c r="A94" s="807" t="s">
        <v>832</v>
      </c>
      <c r="B94" s="365"/>
      <c r="C94" s="351">
        <f>'verblijf met behandeling'!J58</f>
        <v>0</v>
      </c>
      <c r="D94" s="322"/>
      <c r="E94" s="322"/>
      <c r="F94" s="323"/>
      <c r="G94" s="323"/>
      <c r="H94" s="352" t="s">
        <v>28</v>
      </c>
      <c r="I94" s="355"/>
      <c r="J94" s="365"/>
      <c r="K94" s="625">
        <v>2.35</v>
      </c>
      <c r="L94" s="621">
        <f>+C96+C97</f>
        <v>0</v>
      </c>
      <c r="M94" s="661">
        <f t="shared" si="3"/>
        <v>0</v>
      </c>
    </row>
    <row r="95" spans="1:13" ht="11.25">
      <c r="A95" s="807" t="s">
        <v>692</v>
      </c>
      <c r="B95" s="365"/>
      <c r="C95" s="351">
        <f>'verblijf met behandeling'!J59</f>
        <v>0</v>
      </c>
      <c r="D95" s="322"/>
      <c r="E95" s="323"/>
      <c r="F95" s="337"/>
      <c r="G95" s="337"/>
      <c r="H95" s="352" t="s">
        <v>27</v>
      </c>
      <c r="I95" s="355"/>
      <c r="J95" s="365"/>
      <c r="K95" s="625">
        <v>166.27</v>
      </c>
      <c r="L95" s="621">
        <f>C94</f>
        <v>0</v>
      </c>
      <c r="M95" s="661">
        <f t="shared" si="3"/>
        <v>0</v>
      </c>
    </row>
    <row r="96" spans="1:13" ht="11.25">
      <c r="A96" s="352" t="s">
        <v>1</v>
      </c>
      <c r="B96" s="365"/>
      <c r="C96" s="351">
        <f>'verblijf met behandeling'!J60</f>
        <v>0</v>
      </c>
      <c r="D96" s="322"/>
      <c r="E96" s="322"/>
      <c r="F96" s="337"/>
      <c r="G96" s="337"/>
      <c r="H96" s="352" t="s">
        <v>29</v>
      </c>
      <c r="I96" s="355"/>
      <c r="J96" s="365"/>
      <c r="K96" s="625">
        <v>19.47</v>
      </c>
      <c r="L96" s="347">
        <f>C95</f>
        <v>0</v>
      </c>
      <c r="M96" s="661">
        <f t="shared" si="3"/>
        <v>0</v>
      </c>
    </row>
    <row r="97" spans="1:13" ht="11.25">
      <c r="A97" s="352" t="s">
        <v>839</v>
      </c>
      <c r="B97" s="365"/>
      <c r="C97" s="351">
        <f>'verblijf met behandeling'!J61</f>
        <v>0</v>
      </c>
      <c r="D97" s="322"/>
      <c r="E97" s="322"/>
      <c r="F97" s="337"/>
      <c r="G97" s="337"/>
      <c r="H97" s="352" t="s">
        <v>102</v>
      </c>
      <c r="I97" s="355"/>
      <c r="J97" s="365"/>
      <c r="K97" s="625">
        <v>4.72</v>
      </c>
      <c r="L97" s="621">
        <f>C93-C92</f>
        <v>0</v>
      </c>
      <c r="M97" s="661">
        <f t="shared" si="3"/>
        <v>0</v>
      </c>
    </row>
    <row r="98" spans="1:13" ht="11.25">
      <c r="A98" s="352" t="s">
        <v>837</v>
      </c>
      <c r="B98" s="365"/>
      <c r="C98" s="351">
        <f>'verblijf met behandeling'!J62</f>
        <v>0</v>
      </c>
      <c r="D98" s="322"/>
      <c r="E98" s="322"/>
      <c r="F98" s="337"/>
      <c r="G98" s="337"/>
      <c r="H98" s="612" t="s">
        <v>30</v>
      </c>
      <c r="I98" s="634"/>
      <c r="J98" s="630"/>
      <c r="K98" s="638">
        <v>133.52</v>
      </c>
      <c r="L98" s="348">
        <f>C98</f>
        <v>0</v>
      </c>
      <c r="M98" s="663">
        <f t="shared" si="3"/>
        <v>0</v>
      </c>
    </row>
    <row r="99" spans="1:13" ht="11.25">
      <c r="A99" s="612" t="s">
        <v>32</v>
      </c>
      <c r="B99" s="630"/>
      <c r="C99" s="667">
        <f>'verblijf met behandeling'!H65</f>
        <v>0</v>
      </c>
      <c r="D99" s="322"/>
      <c r="E99" s="322"/>
      <c r="F99" s="337"/>
      <c r="G99" s="337"/>
      <c r="H99" s="322"/>
      <c r="I99" s="322"/>
      <c r="J99" s="322"/>
      <c r="K99" s="322"/>
      <c r="L99" s="333"/>
      <c r="M99" s="324"/>
    </row>
    <row r="100" spans="1:13" ht="11.25">
      <c r="A100" s="321" t="s">
        <v>851</v>
      </c>
      <c r="B100" s="323"/>
      <c r="C100" s="323"/>
      <c r="D100" s="322"/>
      <c r="E100" s="323"/>
      <c r="F100" s="337"/>
      <c r="G100" s="337"/>
      <c r="H100" s="618" t="s">
        <v>858</v>
      </c>
      <c r="I100" s="345"/>
      <c r="J100" s="345"/>
      <c r="K100" s="345"/>
      <c r="L100" s="359"/>
      <c r="M100" s="649">
        <f>SUM(M86:M98)</f>
        <v>0</v>
      </c>
    </row>
    <row r="101" spans="1:13" ht="11.25">
      <c r="A101" s="645" t="s">
        <v>848</v>
      </c>
      <c r="B101" s="629"/>
      <c r="C101" s="350">
        <f>M100</f>
        <v>0</v>
      </c>
      <c r="D101" s="322"/>
      <c r="E101" s="322"/>
      <c r="F101" s="322"/>
      <c r="G101" s="322"/>
      <c r="H101" s="322"/>
      <c r="I101" s="322"/>
      <c r="J101" s="322"/>
      <c r="K101" s="322"/>
      <c r="L101" s="333"/>
      <c r="M101" s="324"/>
    </row>
    <row r="102" spans="1:13" ht="11.25">
      <c r="A102" s="557" t="s">
        <v>107</v>
      </c>
      <c r="B102" s="365"/>
      <c r="C102" s="351">
        <f>M111</f>
        <v>0</v>
      </c>
      <c r="D102" s="322"/>
      <c r="E102" s="322"/>
      <c r="F102" s="323"/>
      <c r="G102" s="323"/>
      <c r="H102" s="322" t="s">
        <v>103</v>
      </c>
      <c r="I102" s="322"/>
      <c r="J102" s="322"/>
      <c r="K102" s="322"/>
      <c r="L102" s="322"/>
      <c r="M102" s="324"/>
    </row>
    <row r="103" spans="1:13" ht="11.25">
      <c r="A103" s="647" t="s">
        <v>396</v>
      </c>
      <c r="B103" s="630"/>
      <c r="C103" s="356">
        <f>C101+C102</f>
        <v>0</v>
      </c>
      <c r="D103" s="558"/>
      <c r="E103" s="322"/>
      <c r="F103" s="323"/>
      <c r="G103" s="323"/>
      <c r="H103" s="354" t="s">
        <v>198</v>
      </c>
      <c r="I103" s="631"/>
      <c r="J103" s="629"/>
      <c r="K103" s="628">
        <v>2038.12</v>
      </c>
      <c r="L103" s="626">
        <f>C88</f>
        <v>0</v>
      </c>
      <c r="M103" s="660">
        <f>ROUND(ROUND(K103*$G$6,2)*L103,0)</f>
        <v>0</v>
      </c>
    </row>
    <row r="104" spans="1:13" ht="11.25">
      <c r="A104" s="321"/>
      <c r="B104" s="322"/>
      <c r="C104" s="322"/>
      <c r="D104" s="322"/>
      <c r="E104" s="323"/>
      <c r="F104" s="322"/>
      <c r="G104" s="322"/>
      <c r="H104" s="352" t="s">
        <v>104</v>
      </c>
      <c r="I104" s="355"/>
      <c r="J104" s="365"/>
      <c r="K104" s="625">
        <v>11.25</v>
      </c>
      <c r="L104" s="621">
        <f>C93-C92</f>
        <v>0</v>
      </c>
      <c r="M104" s="661">
        <f>ROUND(ROUND(K104*$G$6,2)*L104,0)</f>
        <v>0</v>
      </c>
    </row>
    <row r="105" spans="1:13" ht="11.25">
      <c r="A105" s="670" t="s">
        <v>34</v>
      </c>
      <c r="B105" s="738"/>
      <c r="C105" s="345"/>
      <c r="D105" s="345"/>
      <c r="E105" s="345"/>
      <c r="F105" s="617"/>
      <c r="G105" s="322"/>
      <c r="H105" s="352" t="s">
        <v>0</v>
      </c>
      <c r="I105" s="355"/>
      <c r="J105" s="365"/>
      <c r="K105" s="622">
        <v>2219.91</v>
      </c>
      <c r="L105" s="621">
        <f>C89</f>
        <v>0</v>
      </c>
      <c r="M105" s="661">
        <f>ROUND(ROUND(K105*$G$6,2)*L105,0)</f>
        <v>0</v>
      </c>
    </row>
    <row r="106" spans="1:13" ht="11.25">
      <c r="A106" s="768" t="s">
        <v>92</v>
      </c>
      <c r="B106" s="739" t="s">
        <v>93</v>
      </c>
      <c r="C106" s="652"/>
      <c r="D106" s="748" t="s">
        <v>94</v>
      </c>
      <c r="E106" s="748" t="s">
        <v>93</v>
      </c>
      <c r="F106" s="693"/>
      <c r="G106" s="322"/>
      <c r="H106" s="352" t="s">
        <v>9</v>
      </c>
      <c r="I106" s="355"/>
      <c r="J106" s="365"/>
      <c r="K106" s="622">
        <v>2978.7</v>
      </c>
      <c r="L106" s="621">
        <f>C90</f>
        <v>0</v>
      </c>
      <c r="M106" s="661">
        <f>ROUND(ROUND(K106*$G$6,2)*L106,0)</f>
        <v>0</v>
      </c>
    </row>
    <row r="107" spans="1:13" ht="11.25">
      <c r="A107" s="556">
        <v>0</v>
      </c>
      <c r="B107" s="348">
        <v>100</v>
      </c>
      <c r="C107" s="634"/>
      <c r="D107" s="694">
        <v>4.33</v>
      </c>
      <c r="E107" s="638">
        <v>8.59</v>
      </c>
      <c r="F107" s="356"/>
      <c r="G107" s="322"/>
      <c r="H107" s="352" t="s">
        <v>655</v>
      </c>
      <c r="I107" s="355"/>
      <c r="J107" s="687"/>
      <c r="K107" s="347"/>
      <c r="L107" s="621"/>
      <c r="M107" s="661"/>
    </row>
    <row r="108" spans="1:13" ht="11.25">
      <c r="A108" s="321"/>
      <c r="B108" s="322"/>
      <c r="C108" s="322"/>
      <c r="D108" s="322"/>
      <c r="E108" s="323"/>
      <c r="F108" s="322"/>
      <c r="G108" s="322"/>
      <c r="H108" s="352" t="s">
        <v>31</v>
      </c>
      <c r="I108" s="355"/>
      <c r="J108" s="365"/>
      <c r="K108" s="625">
        <v>5.44</v>
      </c>
      <c r="L108" s="347">
        <f>C95</f>
        <v>0</v>
      </c>
      <c r="M108" s="661">
        <f>ROUND(ROUND(K108*$G$6,2)*L108,0)</f>
        <v>0</v>
      </c>
    </row>
    <row r="109" spans="1:13" ht="11.25">
      <c r="A109" s="688" t="s">
        <v>654</v>
      </c>
      <c r="B109" s="696"/>
      <c r="C109" s="665" t="s">
        <v>65</v>
      </c>
      <c r="D109" s="665"/>
      <c r="E109" s="679"/>
      <c r="F109" s="695"/>
      <c r="G109" s="322"/>
      <c r="H109" s="612" t="s">
        <v>115</v>
      </c>
      <c r="I109" s="634"/>
      <c r="J109" s="630"/>
      <c r="K109" s="623">
        <v>512.07</v>
      </c>
      <c r="L109" s="624">
        <f>C87</f>
        <v>0</v>
      </c>
      <c r="M109" s="663">
        <f>ROUND(ROUND(K109*$G$6,2)*L109,0)</f>
        <v>0</v>
      </c>
    </row>
    <row r="110" spans="1:13" ht="11.25">
      <c r="A110" s="680" t="s">
        <v>138</v>
      </c>
      <c r="B110" s="652"/>
      <c r="C110" s="659" t="s">
        <v>67</v>
      </c>
      <c r="D110" s="659"/>
      <c r="E110" s="643"/>
      <c r="F110" s="674"/>
      <c r="G110" s="322"/>
      <c r="H110" s="322"/>
      <c r="I110" s="322"/>
      <c r="J110" s="322"/>
      <c r="K110" s="322"/>
      <c r="L110" s="333"/>
      <c r="M110" s="324"/>
    </row>
    <row r="111" spans="1:13" ht="11.25">
      <c r="A111" s="554"/>
      <c r="B111" s="347"/>
      <c r="C111" s="632" t="s">
        <v>68</v>
      </c>
      <c r="D111" s="809">
        <f>IF(C92=0,0,IF(AND(C86&lt;75),ROUND(ROUND(ROUND((L119),2),2),2),0))</f>
        <v>0</v>
      </c>
      <c r="E111" s="806">
        <f>IF(C92=0,0,IF(AND(C86&lt;=75),C92,0))</f>
        <v>0</v>
      </c>
      <c r="F111" s="657">
        <f>ROUND(D111*G5,2)*E111</f>
        <v>0</v>
      </c>
      <c r="G111" s="322"/>
      <c r="H111" s="618" t="s">
        <v>859</v>
      </c>
      <c r="I111" s="345"/>
      <c r="J111" s="345"/>
      <c r="K111" s="345"/>
      <c r="L111" s="359"/>
      <c r="M111" s="649">
        <f>SUM(M103:M109)</f>
        <v>0</v>
      </c>
    </row>
    <row r="112" spans="1:13" ht="11.25">
      <c r="A112" s="554"/>
      <c r="B112" s="347"/>
      <c r="C112" s="632" t="s">
        <v>69</v>
      </c>
      <c r="D112" s="809">
        <f>IF(C92=0,0,IF(AND(C86&lt;150,C86&gt;=75),ROUND(ROUND(ROUND(((C86-75)/75*(L120-K120)+K120),2),2),2),0))</f>
        <v>0</v>
      </c>
      <c r="E112" s="806">
        <f>IF(C92=0,0,IF(AND(C86&lt;150,C86&gt;=75),C92,0))</f>
        <v>0</v>
      </c>
      <c r="F112" s="657">
        <f>ROUND(D112*G5,2)*E112</f>
        <v>0</v>
      </c>
      <c r="G112" s="323"/>
      <c r="H112" s="323"/>
      <c r="I112" s="322"/>
      <c r="J112" s="322"/>
      <c r="K112" s="322"/>
      <c r="L112" s="333"/>
      <c r="M112" s="324"/>
    </row>
    <row r="113" spans="1:13" ht="11.25">
      <c r="A113" s="664"/>
      <c r="B113" s="656"/>
      <c r="C113" s="742" t="s">
        <v>70</v>
      </c>
      <c r="D113" s="809">
        <f>IF(C92=0,0,IF(AND(C86&lt;350,C86&gt;=150),ROUND(ROUND(ROUND(((C86-150)/200*(L121-K121)+K121),2),2),2),0))</f>
        <v>0</v>
      </c>
      <c r="E113" s="806">
        <f>IF(C92=0,0,IF(AND(C86&lt;350,C86&gt;=150),C92,0))</f>
        <v>0</v>
      </c>
      <c r="F113" s="657">
        <f>ROUND(D113*G5,2)*E113</f>
        <v>0</v>
      </c>
      <c r="G113" s="323"/>
      <c r="H113" s="323"/>
      <c r="I113" s="322"/>
      <c r="J113" s="322"/>
      <c r="K113" s="322"/>
      <c r="L113" s="333"/>
      <c r="M113" s="324"/>
    </row>
    <row r="114" spans="1:7" ht="11.25">
      <c r="A114" s="670" t="s">
        <v>134</v>
      </c>
      <c r="B114" s="357"/>
      <c r="C114" s="357"/>
      <c r="D114" s="357"/>
      <c r="E114" s="655"/>
      <c r="F114" s="358">
        <f>SUM(F111:F113)</f>
        <v>0</v>
      </c>
      <c r="G114" s="323"/>
    </row>
    <row r="115" spans="1:13" ht="11.25">
      <c r="A115" s="321"/>
      <c r="B115" s="322"/>
      <c r="C115" s="322"/>
      <c r="D115" s="322"/>
      <c r="E115" s="323"/>
      <c r="F115" s="322"/>
      <c r="G115" s="322"/>
      <c r="H115" s="746" t="s">
        <v>65</v>
      </c>
      <c r="I115" s="665"/>
      <c r="J115" s="696"/>
      <c r="K115" s="665" t="s">
        <v>66</v>
      </c>
      <c r="L115" s="665"/>
      <c r="M115" s="734"/>
    </row>
    <row r="116" spans="1:13" ht="11.25">
      <c r="A116" s="782" t="s">
        <v>654</v>
      </c>
      <c r="B116" s="665"/>
      <c r="C116" s="665" t="s">
        <v>65</v>
      </c>
      <c r="D116" s="665"/>
      <c r="E116" s="679"/>
      <c r="F116" s="747"/>
      <c r="G116" s="322"/>
      <c r="H116" s="714" t="s">
        <v>67</v>
      </c>
      <c r="I116" s="715"/>
      <c r="J116" s="712"/>
      <c r="K116" s="715" t="s">
        <v>67</v>
      </c>
      <c r="L116" s="715"/>
      <c r="M116" s="764"/>
    </row>
    <row r="117" spans="1:13" ht="11.25">
      <c r="A117" s="717" t="s">
        <v>137</v>
      </c>
      <c r="B117" s="715"/>
      <c r="C117" s="715" t="s">
        <v>67</v>
      </c>
      <c r="D117" s="715"/>
      <c r="E117" s="741"/>
      <c r="F117" s="778"/>
      <c r="G117" s="337"/>
      <c r="H117" s="604" t="s">
        <v>453</v>
      </c>
      <c r="I117" s="347"/>
      <c r="J117" s="347"/>
      <c r="K117" s="743" t="s">
        <v>453</v>
      </c>
      <c r="L117" s="743"/>
      <c r="M117" s="609"/>
    </row>
    <row r="118" spans="1:13" ht="11.25">
      <c r="A118" s="783"/>
      <c r="B118" s="659"/>
      <c r="C118" s="739" t="s">
        <v>68</v>
      </c>
      <c r="D118" s="809">
        <f>IF(C93=0,0,IF(AND((C86+C87)&lt;75),ROUND(ROUND(ROUND((L119),2),2),2),0))</f>
        <v>0</v>
      </c>
      <c r="E118" s="806">
        <f>IF(C93=0,0,IF(AND((C86+C87)&lt;=75),C93,0))</f>
        <v>0</v>
      </c>
      <c r="F118" s="657">
        <f>ROUND(D118*G5,2)*E118</f>
        <v>0</v>
      </c>
      <c r="G118" s="337"/>
      <c r="H118" s="745" t="s">
        <v>92</v>
      </c>
      <c r="I118" s="632" t="s">
        <v>93</v>
      </c>
      <c r="J118" s="347"/>
      <c r="K118" s="744" t="s">
        <v>94</v>
      </c>
      <c r="L118" s="744" t="s">
        <v>93</v>
      </c>
      <c r="M118" s="609"/>
    </row>
    <row r="119" spans="1:13" ht="11.25">
      <c r="A119" s="554"/>
      <c r="B119" s="347"/>
      <c r="C119" s="632" t="s">
        <v>69</v>
      </c>
      <c r="D119" s="809">
        <f>IF(C93=0,0,IF(AND((C86+C87)&lt;150,(C86+C87)&gt;=75),ROUND(ROUND(ROUND((((C86+C87)-75)/75*(L120-K120)+K120),2),2),2),0))</f>
        <v>0</v>
      </c>
      <c r="E119" s="806">
        <f>IF(C93=0,0,IF(AND((C86+C87)&lt;150,(C86+C87)&gt;=75),C93,0))</f>
        <v>0</v>
      </c>
      <c r="F119" s="657">
        <f>ROUND(D119*G5,2)*E119</f>
        <v>0</v>
      </c>
      <c r="G119" s="337"/>
      <c r="H119" s="604">
        <v>0</v>
      </c>
      <c r="I119" s="347">
        <v>75</v>
      </c>
      <c r="J119" s="347"/>
      <c r="K119" s="548"/>
      <c r="L119" s="548">
        <v>8.167555</v>
      </c>
      <c r="M119" s="609"/>
    </row>
    <row r="120" spans="1:13" ht="11.25">
      <c r="A120" s="664"/>
      <c r="B120" s="656"/>
      <c r="C120" s="742" t="s">
        <v>70</v>
      </c>
      <c r="D120" s="809">
        <f>IF(C93=0,0,IF(AND((C86+C87)&lt;350,(C86+C87)&gt;=150),ROUND(ROUND(ROUND((((C86+C87)-150)/200*(L121-K121)+K121),2),2),2),0))</f>
        <v>0</v>
      </c>
      <c r="E120" s="806">
        <f>IF(C93=0,0,IF(AND((C86+C87)&lt;350,(C86+C87)&gt;=150),C93,0))</f>
        <v>0</v>
      </c>
      <c r="F120" s="657">
        <f>ROUND(D120*G5,2)*E120</f>
        <v>0</v>
      </c>
      <c r="G120" s="337"/>
      <c r="H120" s="604">
        <v>75</v>
      </c>
      <c r="I120" s="347">
        <v>150</v>
      </c>
      <c r="J120" s="347"/>
      <c r="K120" s="548">
        <v>8.167555</v>
      </c>
      <c r="L120" s="548">
        <v>7.031738</v>
      </c>
      <c r="M120" s="609"/>
    </row>
    <row r="121" spans="1:14" ht="11.25">
      <c r="A121" s="670" t="s">
        <v>133</v>
      </c>
      <c r="B121" s="357"/>
      <c r="C121" s="357"/>
      <c r="D121" s="357"/>
      <c r="E121" s="655"/>
      <c r="F121" s="358">
        <f>SUM(F118:F120)</f>
        <v>0</v>
      </c>
      <c r="G121" s="337"/>
      <c r="H121" s="605">
        <v>150</v>
      </c>
      <c r="I121" s="348">
        <v>350</v>
      </c>
      <c r="J121" s="348"/>
      <c r="K121" s="694">
        <v>7.031738</v>
      </c>
      <c r="L121" s="694">
        <v>5.772014</v>
      </c>
      <c r="M121" s="610"/>
      <c r="N121" s="322"/>
    </row>
    <row r="122" spans="1:13" ht="12" thickBot="1">
      <c r="A122" s="683"/>
      <c r="B122" s="325"/>
      <c r="C122" s="325"/>
      <c r="D122" s="325"/>
      <c r="E122" s="338"/>
      <c r="F122" s="325"/>
      <c r="G122" s="338"/>
      <c r="H122" s="325"/>
      <c r="I122" s="325"/>
      <c r="J122" s="325"/>
      <c r="K122" s="769"/>
      <c r="L122" s="769"/>
      <c r="M122" s="326"/>
    </row>
    <row r="123" spans="1:13" ht="11.25">
      <c r="A123" s="319"/>
      <c r="B123" s="322"/>
      <c r="C123" s="322"/>
      <c r="D123" s="322"/>
      <c r="E123" s="323"/>
      <c r="F123" s="322"/>
      <c r="G123" s="323"/>
      <c r="H123" s="322"/>
      <c r="I123" s="322"/>
      <c r="J123" s="322"/>
      <c r="K123" s="558"/>
      <c r="L123" s="558"/>
      <c r="M123" s="323"/>
    </row>
    <row r="124" spans="1:13" ht="11.25">
      <c r="A124" s="322"/>
      <c r="B124" s="322"/>
      <c r="C124" s="322"/>
      <c r="D124" s="322"/>
      <c r="E124" s="323"/>
      <c r="F124" s="322"/>
      <c r="G124" s="323"/>
      <c r="H124" s="322"/>
      <c r="I124" s="322"/>
      <c r="J124" s="558"/>
      <c r="K124" s="558"/>
      <c r="L124" s="558"/>
      <c r="M124" s="323"/>
    </row>
    <row r="125" spans="1:13" ht="11.25">
      <c r="A125" s="322"/>
      <c r="B125" s="322"/>
      <c r="C125" s="555"/>
      <c r="D125" s="322"/>
      <c r="E125" s="339"/>
      <c r="F125" s="322"/>
      <c r="G125" s="323"/>
      <c r="H125" s="555"/>
      <c r="I125" s="555"/>
      <c r="J125" s="560"/>
      <c r="K125" s="560"/>
      <c r="L125" s="558"/>
      <c r="M125" s="323"/>
    </row>
    <row r="126" spans="1:13" ht="11.25">
      <c r="A126" s="322"/>
      <c r="B126" s="322"/>
      <c r="C126" s="555"/>
      <c r="D126" s="322"/>
      <c r="E126" s="339"/>
      <c r="F126" s="322"/>
      <c r="G126" s="323"/>
      <c r="H126" s="322"/>
      <c r="I126" s="322"/>
      <c r="J126" s="559"/>
      <c r="K126" s="559"/>
      <c r="L126" s="558"/>
      <c r="M126" s="323"/>
    </row>
    <row r="127" spans="1:13" ht="11.25">
      <c r="A127" s="322"/>
      <c r="B127" s="322"/>
      <c r="C127" s="555"/>
      <c r="D127" s="322"/>
      <c r="E127" s="780"/>
      <c r="F127" s="322"/>
      <c r="G127" s="323"/>
      <c r="H127" s="322"/>
      <c r="I127" s="322"/>
      <c r="J127" s="559"/>
      <c r="K127" s="559"/>
      <c r="L127" s="558"/>
      <c r="M127" s="323"/>
    </row>
    <row r="128" spans="1:13" ht="11.25">
      <c r="A128" s="322"/>
      <c r="B128" s="322"/>
      <c r="C128" s="322"/>
      <c r="D128" s="322"/>
      <c r="E128" s="323"/>
      <c r="F128" s="322"/>
      <c r="G128" s="323"/>
      <c r="H128" s="322"/>
      <c r="I128" s="322"/>
      <c r="J128" s="559"/>
      <c r="K128" s="559"/>
      <c r="L128" s="558"/>
      <c r="M128" s="323"/>
    </row>
    <row r="129" spans="1:13" ht="11.25">
      <c r="A129" s="322"/>
      <c r="B129" s="322"/>
      <c r="C129" s="322"/>
      <c r="D129" s="322"/>
      <c r="E129" s="323"/>
      <c r="F129" s="322"/>
      <c r="G129" s="323"/>
      <c r="H129" s="322"/>
      <c r="I129" s="322"/>
      <c r="J129" s="558"/>
      <c r="K129" s="558"/>
      <c r="L129" s="558"/>
      <c r="M129" s="323"/>
    </row>
    <row r="130" spans="1:13" ht="11.25">
      <c r="A130" s="322"/>
      <c r="B130" s="322"/>
      <c r="C130" s="322"/>
      <c r="D130" s="322"/>
      <c r="E130" s="323"/>
      <c r="F130" s="322"/>
      <c r="G130" s="323"/>
      <c r="H130" s="322"/>
      <c r="I130" s="322"/>
      <c r="J130" s="322"/>
      <c r="K130" s="322"/>
      <c r="L130" s="558"/>
      <c r="M130" s="323"/>
    </row>
    <row r="131" spans="1:13" ht="11.25">
      <c r="A131" s="322"/>
      <c r="B131" s="322"/>
      <c r="C131" s="322"/>
      <c r="D131" s="322"/>
      <c r="E131" s="323"/>
      <c r="F131" s="322"/>
      <c r="G131" s="323"/>
      <c r="H131" s="322"/>
      <c r="I131" s="322"/>
      <c r="J131" s="559"/>
      <c r="K131" s="551"/>
      <c r="L131" s="558"/>
      <c r="M131" s="323"/>
    </row>
    <row r="132" spans="1:13" ht="12" thickBot="1">
      <c r="A132" s="761" t="s">
        <v>105</v>
      </c>
      <c r="B132" s="322"/>
      <c r="C132" s="322"/>
      <c r="D132" s="322"/>
      <c r="F132" s="322"/>
      <c r="G132" s="322"/>
      <c r="H132" s="315"/>
      <c r="L132" s="333"/>
      <c r="M132" s="323"/>
    </row>
    <row r="133" spans="1:13" ht="11.25">
      <c r="A133" s="318"/>
      <c r="B133" s="319"/>
      <c r="C133" s="319"/>
      <c r="D133" s="319"/>
      <c r="E133" s="552"/>
      <c r="F133" s="319"/>
      <c r="G133" s="319"/>
      <c r="H133" s="319" t="s">
        <v>707</v>
      </c>
      <c r="I133" s="319"/>
      <c r="J133" s="319"/>
      <c r="K133" s="552"/>
      <c r="L133" s="672"/>
      <c r="M133" s="673"/>
    </row>
    <row r="134" spans="1:13" ht="11.25">
      <c r="A134" s="645" t="s">
        <v>199</v>
      </c>
      <c r="B134" s="629"/>
      <c r="C134" s="366">
        <f>'verblijf met behandeling'!J30</f>
        <v>0</v>
      </c>
      <c r="D134" s="322"/>
      <c r="E134" s="322"/>
      <c r="F134" s="322"/>
      <c r="G134" s="322"/>
      <c r="H134" s="618" t="s">
        <v>198</v>
      </c>
      <c r="I134" s="345"/>
      <c r="J134" s="359"/>
      <c r="K134" s="637">
        <v>30041.83</v>
      </c>
      <c r="L134" s="346">
        <f>C134</f>
        <v>0</v>
      </c>
      <c r="M134" s="660">
        <f>ROUND(ROUND(K134*$G$5,2)*L134,0)</f>
        <v>0</v>
      </c>
    </row>
    <row r="135" spans="1:13" ht="11.25">
      <c r="A135" s="554" t="s">
        <v>200</v>
      </c>
      <c r="B135" s="347"/>
      <c r="C135" s="353">
        <f>'verblijf met behandeling'!J32</f>
        <v>0</v>
      </c>
      <c r="D135" s="322"/>
      <c r="E135" s="322"/>
      <c r="F135" s="322"/>
      <c r="G135" s="322"/>
      <c r="H135" s="618" t="s">
        <v>104</v>
      </c>
      <c r="I135" s="345"/>
      <c r="J135" s="359"/>
      <c r="K135" s="625">
        <v>54.78</v>
      </c>
      <c r="L135" s="347">
        <f>C137</f>
        <v>0</v>
      </c>
      <c r="M135" s="609">
        <f>ROUND(K135*$G$5,2)*L135</f>
        <v>0</v>
      </c>
    </row>
    <row r="136" spans="1:13" ht="11.25">
      <c r="A136" s="554" t="s">
        <v>201</v>
      </c>
      <c r="B136" s="347"/>
      <c r="C136" s="353">
        <f>'verblijf met behandeling'!J33</f>
        <v>0</v>
      </c>
      <c r="D136" s="322"/>
      <c r="E136" s="322"/>
      <c r="F136" s="322"/>
      <c r="G136" s="322"/>
      <c r="H136" s="618" t="s">
        <v>202</v>
      </c>
      <c r="I136" s="345"/>
      <c r="J136" s="359"/>
      <c r="K136" s="625">
        <v>16820.03</v>
      </c>
      <c r="L136" s="347">
        <f>C135</f>
        <v>0</v>
      </c>
      <c r="M136" s="661">
        <f>ROUND(ROUND(K136*$G$5,2)*L136,0)</f>
        <v>0</v>
      </c>
    </row>
    <row r="137" spans="1:13" ht="11.25">
      <c r="A137" s="556" t="s">
        <v>389</v>
      </c>
      <c r="B137" s="348"/>
      <c r="C137" s="367">
        <f>'verblijf met behandeling'!J67</f>
        <v>0</v>
      </c>
      <c r="D137" s="322"/>
      <c r="E137" s="322"/>
      <c r="F137" s="322"/>
      <c r="G137" s="322"/>
      <c r="H137" s="618" t="s">
        <v>203</v>
      </c>
      <c r="I137" s="345"/>
      <c r="J137" s="359"/>
      <c r="K137" s="625">
        <v>26682.36</v>
      </c>
      <c r="L137" s="347">
        <f>C136</f>
        <v>0</v>
      </c>
      <c r="M137" s="661">
        <f>ROUND(ROUND(K137*$G$5,2)*L137,0)</f>
        <v>0</v>
      </c>
    </row>
    <row r="138" spans="1:14" ht="11.25">
      <c r="A138" s="321"/>
      <c r="B138" s="322"/>
      <c r="C138" s="322"/>
      <c r="D138" s="322"/>
      <c r="E138" s="322"/>
      <c r="F138" s="322"/>
      <c r="G138" s="322"/>
      <c r="H138" s="618" t="s">
        <v>53</v>
      </c>
      <c r="I138" s="345"/>
      <c r="J138" s="359"/>
      <c r="K138" s="638">
        <v>3531.76</v>
      </c>
      <c r="L138" s="348">
        <f>C134</f>
        <v>0</v>
      </c>
      <c r="M138" s="663">
        <f>ROUND(ROUND(K138*$G$5,2)*L138,0)</f>
        <v>0</v>
      </c>
      <c r="N138" s="316"/>
    </row>
    <row r="139" spans="1:13" ht="11.25">
      <c r="A139" s="321"/>
      <c r="B139" s="322"/>
      <c r="C139" s="322"/>
      <c r="D139" s="322"/>
      <c r="E139" s="322"/>
      <c r="F139" s="322"/>
      <c r="G139" s="322"/>
      <c r="H139" s="322"/>
      <c r="I139" s="322"/>
      <c r="J139" s="322"/>
      <c r="K139" s="551"/>
      <c r="L139" s="323"/>
      <c r="M139" s="698"/>
    </row>
    <row r="140" spans="1:13" ht="11.25">
      <c r="A140" s="321" t="s">
        <v>853</v>
      </c>
      <c r="B140" s="323"/>
      <c r="C140" s="323"/>
      <c r="D140" s="322"/>
      <c r="E140" s="322"/>
      <c r="F140" s="322"/>
      <c r="G140" s="322"/>
      <c r="H140" s="618" t="s">
        <v>858</v>
      </c>
      <c r="I140" s="345"/>
      <c r="J140" s="345"/>
      <c r="K140" s="345"/>
      <c r="L140" s="359"/>
      <c r="M140" s="649">
        <f>SUM(M132:M138)</f>
        <v>0</v>
      </c>
    </row>
    <row r="141" spans="1:13" ht="11.25">
      <c r="A141" s="645" t="s">
        <v>848</v>
      </c>
      <c r="B141" s="629"/>
      <c r="C141" s="350">
        <f>M140</f>
        <v>0</v>
      </c>
      <c r="D141" s="322"/>
      <c r="E141" s="322"/>
      <c r="F141" s="322"/>
      <c r="G141" s="322"/>
      <c r="H141" s="322"/>
      <c r="I141" s="322"/>
      <c r="J141" s="322"/>
      <c r="K141" s="322"/>
      <c r="L141" s="322"/>
      <c r="M141" s="362"/>
    </row>
    <row r="142" spans="1:13" ht="11.25">
      <c r="A142" s="557" t="s">
        <v>107</v>
      </c>
      <c r="B142" s="365"/>
      <c r="C142" s="351">
        <f>M147</f>
        <v>0</v>
      </c>
      <c r="D142" s="322"/>
      <c r="E142" s="322"/>
      <c r="F142" s="322"/>
      <c r="G142" s="322"/>
      <c r="H142" s="322" t="s">
        <v>204</v>
      </c>
      <c r="I142" s="322"/>
      <c r="J142" s="322"/>
      <c r="K142" s="322"/>
      <c r="L142" s="322"/>
      <c r="M142" s="362"/>
    </row>
    <row r="143" spans="1:13" ht="11.25">
      <c r="A143" s="647" t="s">
        <v>396</v>
      </c>
      <c r="B143" s="630"/>
      <c r="C143" s="356">
        <f>C141+C142</f>
        <v>0</v>
      </c>
      <c r="D143" s="322"/>
      <c r="E143" s="322"/>
      <c r="F143" s="323"/>
      <c r="G143" s="323"/>
      <c r="H143" s="618" t="s">
        <v>205</v>
      </c>
      <c r="I143" s="345"/>
      <c r="J143" s="359"/>
      <c r="K143" s="637">
        <v>4844.63</v>
      </c>
      <c r="L143" s="346">
        <f>C134</f>
        <v>0</v>
      </c>
      <c r="M143" s="660">
        <f>ROUND(ROUND(K143*$G$6,2)*L143,0)</f>
        <v>0</v>
      </c>
    </row>
    <row r="144" spans="1:13" ht="11.25">
      <c r="A144" s="321"/>
      <c r="B144" s="322"/>
      <c r="C144" s="322"/>
      <c r="D144" s="322"/>
      <c r="E144" s="323"/>
      <c r="F144" s="322"/>
      <c r="G144" s="322"/>
      <c r="H144" s="618" t="s">
        <v>104</v>
      </c>
      <c r="I144" s="345"/>
      <c r="J144" s="359"/>
      <c r="K144" s="638">
        <v>10.15</v>
      </c>
      <c r="L144" s="348">
        <f>C137</f>
        <v>0</v>
      </c>
      <c r="M144" s="610">
        <f>ROUND(K144*$G$6,2)*L144</f>
        <v>0</v>
      </c>
    </row>
    <row r="145" spans="1:13" ht="11.25">
      <c r="A145" s="321"/>
      <c r="B145" s="322"/>
      <c r="C145" s="322"/>
      <c r="D145" s="322"/>
      <c r="E145" s="322"/>
      <c r="F145" s="322"/>
      <c r="G145" s="322"/>
      <c r="H145" s="618" t="s">
        <v>115</v>
      </c>
      <c r="I145" s="345"/>
      <c r="J145" s="359"/>
      <c r="K145" s="638">
        <v>9.09</v>
      </c>
      <c r="L145" s="624">
        <f>C134</f>
        <v>0</v>
      </c>
      <c r="M145" s="663">
        <f>ROUND(ROUND(K145*$G$6,2)*L145,0)</f>
        <v>0</v>
      </c>
    </row>
    <row r="146" spans="1:13" ht="11.25">
      <c r="A146" s="321"/>
      <c r="B146" s="322"/>
      <c r="C146" s="322"/>
      <c r="D146" s="322"/>
      <c r="E146" s="322"/>
      <c r="F146" s="322"/>
      <c r="G146" s="322"/>
      <c r="H146" s="323"/>
      <c r="I146" s="322"/>
      <c r="J146" s="322"/>
      <c r="K146" s="322"/>
      <c r="L146" s="333"/>
      <c r="M146" s="324"/>
    </row>
    <row r="147" spans="1:13" ht="11.25">
      <c r="A147" s="321"/>
      <c r="B147" s="322"/>
      <c r="C147" s="322"/>
      <c r="D147" s="322"/>
      <c r="E147" s="322"/>
      <c r="F147" s="322"/>
      <c r="G147" s="322"/>
      <c r="H147" s="618" t="s">
        <v>859</v>
      </c>
      <c r="I147" s="345"/>
      <c r="J147" s="345"/>
      <c r="K147" s="345"/>
      <c r="L147" s="359"/>
      <c r="M147" s="358">
        <f>SUM(M140:M145)</f>
        <v>0</v>
      </c>
    </row>
    <row r="148" spans="1:13" ht="12" thickBot="1">
      <c r="A148" s="683"/>
      <c r="B148" s="325"/>
      <c r="C148" s="325"/>
      <c r="D148" s="325"/>
      <c r="E148" s="325"/>
      <c r="F148" s="325"/>
      <c r="G148" s="325"/>
      <c r="H148" s="338"/>
      <c r="I148" s="325"/>
      <c r="J148" s="325"/>
      <c r="K148" s="325"/>
      <c r="L148" s="336"/>
      <c r="M148" s="326"/>
    </row>
    <row r="149" spans="1:13" ht="11.25">
      <c r="A149" s="319"/>
      <c r="B149" s="322"/>
      <c r="C149" s="322"/>
      <c r="D149" s="322"/>
      <c r="E149" s="322"/>
      <c r="F149" s="322"/>
      <c r="G149" s="322"/>
      <c r="H149" s="323"/>
      <c r="I149" s="322"/>
      <c r="J149" s="322"/>
      <c r="K149" s="322"/>
      <c r="L149" s="333"/>
      <c r="M149" s="334"/>
    </row>
    <row r="150" spans="1:13" ht="11.25">
      <c r="A150" s="322" t="s">
        <v>221</v>
      </c>
      <c r="B150" s="322"/>
      <c r="C150" s="322"/>
      <c r="D150" s="322"/>
      <c r="E150" s="322"/>
      <c r="F150" s="322"/>
      <c r="G150" s="322"/>
      <c r="H150" s="323"/>
      <c r="I150" s="322"/>
      <c r="J150" s="322"/>
      <c r="K150" s="322"/>
      <c r="L150" s="333"/>
      <c r="M150" s="323"/>
    </row>
    <row r="151" spans="1:13" ht="11.25">
      <c r="A151" s="322"/>
      <c r="B151" s="322"/>
      <c r="C151" s="322"/>
      <c r="D151" s="322"/>
      <c r="E151" s="322"/>
      <c r="F151" s="322"/>
      <c r="G151" s="322"/>
      <c r="H151" s="323"/>
      <c r="I151" s="322"/>
      <c r="J151" s="322"/>
      <c r="K151" s="322"/>
      <c r="L151" s="333"/>
      <c r="M151" s="323"/>
    </row>
    <row r="152" spans="1:13" ht="12" thickBot="1">
      <c r="A152" s="328" t="s">
        <v>861</v>
      </c>
      <c r="B152" s="322"/>
      <c r="C152" s="322"/>
      <c r="D152" s="322"/>
      <c r="E152" s="322"/>
      <c r="F152" s="322"/>
      <c r="G152" s="322"/>
      <c r="H152" s="322"/>
      <c r="I152" s="322"/>
      <c r="J152" s="322"/>
      <c r="K152" s="322"/>
      <c r="L152" s="322"/>
      <c r="M152" s="322"/>
    </row>
    <row r="153" spans="1:13" ht="11.25">
      <c r="A153" s="770" t="s">
        <v>695</v>
      </c>
      <c r="B153" s="669"/>
      <c r="C153" s="669"/>
      <c r="D153" s="669" t="s">
        <v>696</v>
      </c>
      <c r="E153" s="771" t="s">
        <v>697</v>
      </c>
      <c r="F153" s="772" t="s">
        <v>217</v>
      </c>
      <c r="G153" s="334"/>
      <c r="H153" s="773" t="s">
        <v>711</v>
      </c>
      <c r="I153" s="669"/>
      <c r="J153" s="669"/>
      <c r="K153" s="771"/>
      <c r="L153" s="669"/>
      <c r="M153" s="320"/>
    </row>
    <row r="154" spans="1:13" ht="11.25">
      <c r="A154" s="645" t="s">
        <v>454</v>
      </c>
      <c r="B154" s="631" t="s">
        <v>698</v>
      </c>
      <c r="C154" s="629"/>
      <c r="D154" s="749">
        <f>'verblijf zonder behandeling'!G$9</f>
        <v>0</v>
      </c>
      <c r="E154" s="619">
        <f>'verblijf zonder behandeling'!G10</f>
        <v>0</v>
      </c>
      <c r="F154" s="366">
        <f>E154+D154</f>
        <v>0</v>
      </c>
      <c r="G154" s="323"/>
      <c r="H154" s="354" t="s">
        <v>454</v>
      </c>
      <c r="I154" s="631"/>
      <c r="J154" s="629"/>
      <c r="K154" s="619">
        <f>'verblijf zonder behandeling'!G28</f>
        <v>0</v>
      </c>
      <c r="L154" s="619">
        <f>'verblijf zonder behandeling'!G29</f>
        <v>0</v>
      </c>
      <c r="M154" s="660">
        <f>K154+L154</f>
        <v>0</v>
      </c>
    </row>
    <row r="155" spans="1:13" ht="11.25">
      <c r="A155" s="557"/>
      <c r="B155" s="355" t="s">
        <v>700</v>
      </c>
      <c r="C155" s="365"/>
      <c r="D155" s="368">
        <f>'verblijf zonder behandeling'!G11</f>
        <v>0</v>
      </c>
      <c r="E155" s="368">
        <f>'verblijf zonder behandeling'!G12</f>
        <v>0</v>
      </c>
      <c r="F155" s="353">
        <f>E155+D155</f>
        <v>0</v>
      </c>
      <c r="G155" s="323"/>
      <c r="H155" s="352" t="s">
        <v>713</v>
      </c>
      <c r="I155" s="355"/>
      <c r="J155" s="365"/>
      <c r="K155" s="368">
        <f>'verblijf zonder behandeling'!G32</f>
        <v>0</v>
      </c>
      <c r="L155" s="620"/>
      <c r="M155" s="609"/>
    </row>
    <row r="156" spans="1:13" ht="11.25">
      <c r="A156" s="557"/>
      <c r="B156" s="355" t="s">
        <v>801</v>
      </c>
      <c r="C156" s="365"/>
      <c r="D156" s="368">
        <f>'verblijf zonder behandeling'!G16</f>
        <v>0</v>
      </c>
      <c r="E156" s="620"/>
      <c r="F156" s="351"/>
      <c r="G156" s="323"/>
      <c r="H156" s="352" t="s">
        <v>714</v>
      </c>
      <c r="I156" s="355"/>
      <c r="J156" s="365"/>
      <c r="K156" s="368">
        <f>'verblijf zonder behandeling'!G33</f>
        <v>0</v>
      </c>
      <c r="L156" s="620"/>
      <c r="M156" s="609"/>
    </row>
    <row r="157" spans="1:13" ht="11.25">
      <c r="A157" s="557" t="s">
        <v>381</v>
      </c>
      <c r="B157" s="355" t="s">
        <v>698</v>
      </c>
      <c r="C157" s="365"/>
      <c r="D157" s="368">
        <f>'verblijf zonder behandeling'!G13</f>
        <v>0</v>
      </c>
      <c r="E157" s="620"/>
      <c r="F157" s="351"/>
      <c r="G157" s="323"/>
      <c r="H157" s="352" t="s">
        <v>381</v>
      </c>
      <c r="I157" s="355"/>
      <c r="J157" s="365"/>
      <c r="K157" s="368">
        <f>'verblijf zonder behandeling'!G31</f>
        <v>0</v>
      </c>
      <c r="L157" s="620"/>
      <c r="M157" s="609"/>
    </row>
    <row r="158" spans="1:13" ht="11.25">
      <c r="A158" s="557"/>
      <c r="B158" s="355" t="s">
        <v>700</v>
      </c>
      <c r="C158" s="365"/>
      <c r="D158" s="368">
        <f>'verblijf zonder behandeling'!G14</f>
        <v>0</v>
      </c>
      <c r="E158" s="620"/>
      <c r="F158" s="351"/>
      <c r="G158" s="323"/>
      <c r="H158" s="731" t="s">
        <v>715</v>
      </c>
      <c r="I158" s="712"/>
      <c r="J158" s="730"/>
      <c r="K158" s="348"/>
      <c r="L158" s="758">
        <f>'verblijf zonder behandeling'!G30</f>
        <v>0</v>
      </c>
      <c r="M158" s="610"/>
    </row>
    <row r="159" spans="1:13" ht="11.25">
      <c r="A159" s="647" t="s">
        <v>704</v>
      </c>
      <c r="B159" s="634"/>
      <c r="C159" s="630"/>
      <c r="D159" s="639">
        <f>'verblijf zonder behandeling'!G17</f>
        <v>0</v>
      </c>
      <c r="E159" s="627"/>
      <c r="F159" s="356"/>
      <c r="G159" s="323"/>
      <c r="H159" s="322"/>
      <c r="I159" s="322"/>
      <c r="J159" s="322"/>
      <c r="K159" s="322"/>
      <c r="L159" s="322"/>
      <c r="M159" s="362"/>
    </row>
    <row r="160" spans="1:13" ht="11.25">
      <c r="A160" s="321"/>
      <c r="B160" s="322"/>
      <c r="C160" s="333"/>
      <c r="D160" s="322"/>
      <c r="E160" s="322"/>
      <c r="F160" s="322"/>
      <c r="G160" s="322"/>
      <c r="H160" s="322" t="s">
        <v>870</v>
      </c>
      <c r="I160" s="322"/>
      <c r="J160" s="322"/>
      <c r="K160" s="322"/>
      <c r="L160" s="322"/>
      <c r="M160" s="362"/>
    </row>
    <row r="161" spans="1:13" ht="11.25">
      <c r="A161" s="645" t="s">
        <v>699</v>
      </c>
      <c r="B161" s="631"/>
      <c r="C161" s="629"/>
      <c r="D161" s="628">
        <v>11242.03</v>
      </c>
      <c r="E161" s="626">
        <f>F154</f>
        <v>0</v>
      </c>
      <c r="F161" s="350">
        <f>ROUND(D161*$G$5,2)*E161</f>
        <v>0</v>
      </c>
      <c r="G161" s="323"/>
      <c r="H161" s="354" t="s">
        <v>712</v>
      </c>
      <c r="I161" s="631"/>
      <c r="J161" s="631"/>
      <c r="K161" s="628">
        <v>8557.75</v>
      </c>
      <c r="L161" s="626">
        <f>M154</f>
        <v>0</v>
      </c>
      <c r="M161" s="720">
        <f>ROUND(K161*$G$5,2)*L161</f>
        <v>0</v>
      </c>
    </row>
    <row r="162" spans="1:13" ht="11.25">
      <c r="A162" s="557" t="s">
        <v>701</v>
      </c>
      <c r="B162" s="355"/>
      <c r="C162" s="365"/>
      <c r="D162" s="622">
        <v>2990.8</v>
      </c>
      <c r="E162" s="621">
        <f>F155</f>
        <v>0</v>
      </c>
      <c r="F162" s="351">
        <f>ROUND(D162*$G$5,2)*E162</f>
        <v>0</v>
      </c>
      <c r="G162" s="323"/>
      <c r="H162" s="352" t="s">
        <v>716</v>
      </c>
      <c r="I162" s="355"/>
      <c r="J162" s="355"/>
      <c r="K162" s="550">
        <f>ROUND(IF(L158&gt;=0.9,L168,IF(L158&lt;=0.5,K168,L168-ROUNDDOWN((0.9-L158)/0.4*(L168-K168),2))),2)</f>
        <v>50.17</v>
      </c>
      <c r="L162" s="621">
        <f>K157</f>
        <v>0</v>
      </c>
      <c r="M162" s="609">
        <f>ROUND(K162*$G$5,2)*L162</f>
        <v>0</v>
      </c>
    </row>
    <row r="163" spans="1:13" ht="11.25">
      <c r="A163" s="557" t="s">
        <v>707</v>
      </c>
      <c r="B163" s="355"/>
      <c r="C163" s="365"/>
      <c r="D163" s="622">
        <v>26.27</v>
      </c>
      <c r="E163" s="621">
        <f>D157</f>
        <v>0</v>
      </c>
      <c r="F163" s="351">
        <f>ROUND(D163*$G$5,2)*E163</f>
        <v>0</v>
      </c>
      <c r="G163" s="323"/>
      <c r="H163" s="352" t="s">
        <v>869</v>
      </c>
      <c r="I163" s="355"/>
      <c r="J163" s="355"/>
      <c r="K163" s="622">
        <v>24893.31</v>
      </c>
      <c r="L163" s="347">
        <f>K155</f>
        <v>0</v>
      </c>
      <c r="M163" s="609">
        <f>ROUND(K163*$G$5,2)*L163</f>
        <v>0</v>
      </c>
    </row>
    <row r="164" spans="1:13" ht="11.25">
      <c r="A164" s="557" t="s">
        <v>709</v>
      </c>
      <c r="B164" s="355"/>
      <c r="C164" s="365"/>
      <c r="D164" s="622">
        <v>6.14</v>
      </c>
      <c r="E164" s="621">
        <f>D158</f>
        <v>0</v>
      </c>
      <c r="F164" s="351">
        <f>ROUND(D164*$G$5,2)*E164</f>
        <v>0</v>
      </c>
      <c r="G164" s="323"/>
      <c r="H164" s="612" t="s">
        <v>868</v>
      </c>
      <c r="I164" s="634"/>
      <c r="J164" s="634"/>
      <c r="K164" s="623">
        <v>31116.64</v>
      </c>
      <c r="L164" s="348">
        <f>K156</f>
        <v>0</v>
      </c>
      <c r="M164" s="610">
        <f>ROUND(K164*$G$5,2)*L164</f>
        <v>0</v>
      </c>
    </row>
    <row r="165" spans="1:13" ht="11.25">
      <c r="A165" s="557" t="s">
        <v>708</v>
      </c>
      <c r="B165" s="355"/>
      <c r="C165" s="365"/>
      <c r="D165" s="622">
        <v>3.25</v>
      </c>
      <c r="E165" s="621">
        <f>D159</f>
        <v>0</v>
      </c>
      <c r="F165" s="351">
        <f>ROUND(D165*$G$5,2)*E165</f>
        <v>0</v>
      </c>
      <c r="G165" s="323"/>
      <c r="H165" s="322"/>
      <c r="I165" s="322"/>
      <c r="J165" s="322"/>
      <c r="K165" s="322"/>
      <c r="L165" s="322"/>
      <c r="M165" s="362"/>
    </row>
    <row r="166" spans="1:13" ht="11.25">
      <c r="A166" s="321"/>
      <c r="B166" s="322"/>
      <c r="C166" s="322"/>
      <c r="D166" s="322"/>
      <c r="E166" s="323"/>
      <c r="F166" s="322"/>
      <c r="G166" s="709"/>
      <c r="H166" s="618" t="s">
        <v>858</v>
      </c>
      <c r="I166" s="345"/>
      <c r="J166" s="345"/>
      <c r="K166" s="345"/>
      <c r="L166" s="359"/>
      <c r="M166" s="649">
        <f>SUM(M161:M165)</f>
        <v>0</v>
      </c>
    </row>
    <row r="167" spans="1:13" ht="11.25">
      <c r="A167" s="344" t="s">
        <v>858</v>
      </c>
      <c r="B167" s="345"/>
      <c r="C167" s="345"/>
      <c r="D167" s="345"/>
      <c r="E167" s="666"/>
      <c r="F167" s="358">
        <f>SUM(F161:F165)</f>
        <v>0</v>
      </c>
      <c r="G167" s="323"/>
      <c r="H167" s="323"/>
      <c r="I167" s="322"/>
      <c r="J167" s="322"/>
      <c r="K167" s="322"/>
      <c r="L167" s="333"/>
      <c r="M167" s="324"/>
    </row>
    <row r="168" spans="1:13" ht="11.25">
      <c r="A168" s="321"/>
      <c r="B168" s="322"/>
      <c r="C168" s="322"/>
      <c r="D168" s="322"/>
      <c r="E168" s="322"/>
      <c r="F168" s="322"/>
      <c r="G168" s="322"/>
      <c r="H168" s="618" t="s">
        <v>867</v>
      </c>
      <c r="I168" s="345"/>
      <c r="J168" s="359"/>
      <c r="K168" s="760">
        <v>50.17</v>
      </c>
      <c r="L168" s="759">
        <v>81.88</v>
      </c>
      <c r="M168" s="774"/>
    </row>
    <row r="169" spans="1:13" ht="11.25">
      <c r="A169" s="321" t="s">
        <v>103</v>
      </c>
      <c r="B169" s="322"/>
      <c r="C169" s="322"/>
      <c r="D169" s="333"/>
      <c r="E169" s="322"/>
      <c r="F169" s="323"/>
      <c r="G169" s="323"/>
      <c r="H169" s="322"/>
      <c r="I169" s="322"/>
      <c r="J169" s="322"/>
      <c r="K169" s="322"/>
      <c r="L169" s="322"/>
      <c r="M169" s="362"/>
    </row>
    <row r="170" spans="1:13" ht="11.25">
      <c r="A170" s="645" t="s">
        <v>702</v>
      </c>
      <c r="B170" s="631"/>
      <c r="C170" s="629"/>
      <c r="D170" s="628">
        <v>2391.33</v>
      </c>
      <c r="E170" s="346">
        <f>D154+D155</f>
        <v>0</v>
      </c>
      <c r="F170" s="350">
        <f>ROUND(D170*$G$6,2)*E170</f>
        <v>0</v>
      </c>
      <c r="G170" s="323"/>
      <c r="H170" s="322" t="s">
        <v>103</v>
      </c>
      <c r="I170" s="322"/>
      <c r="J170" s="322"/>
      <c r="K170" s="333"/>
      <c r="L170" s="322"/>
      <c r="M170" s="324"/>
    </row>
    <row r="171" spans="1:13" ht="11.25">
      <c r="A171" s="557" t="s">
        <v>703</v>
      </c>
      <c r="B171" s="355"/>
      <c r="C171" s="365"/>
      <c r="D171" s="622">
        <v>2068.96</v>
      </c>
      <c r="E171" s="621">
        <f>E154+E155</f>
        <v>0</v>
      </c>
      <c r="F171" s="351">
        <f>ROUND(D171*$G$6,2)*E171</f>
        <v>0</v>
      </c>
      <c r="G171" s="323"/>
      <c r="H171" s="354" t="s">
        <v>702</v>
      </c>
      <c r="I171" s="631"/>
      <c r="J171" s="629"/>
      <c r="K171" s="628">
        <v>3079.62</v>
      </c>
      <c r="L171" s="346">
        <f>K154</f>
        <v>0</v>
      </c>
      <c r="M171" s="720">
        <f>ROUND(K171*$G$6,2)*L171</f>
        <v>0</v>
      </c>
    </row>
    <row r="172" spans="1:13" ht="11.25">
      <c r="A172" s="557" t="s">
        <v>710</v>
      </c>
      <c r="B172" s="355"/>
      <c r="C172" s="365"/>
      <c r="D172" s="622">
        <v>5.58</v>
      </c>
      <c r="E172" s="621">
        <f>D157+D158</f>
        <v>0</v>
      </c>
      <c r="F172" s="351">
        <f>ROUND(D172*$G$6,2)*E172</f>
        <v>0</v>
      </c>
      <c r="G172" s="323"/>
      <c r="H172" s="352" t="s">
        <v>703</v>
      </c>
      <c r="I172" s="355"/>
      <c r="J172" s="365"/>
      <c r="K172" s="622">
        <v>2837.19</v>
      </c>
      <c r="L172" s="621">
        <f>L154</f>
        <v>0</v>
      </c>
      <c r="M172" s="609">
        <f>ROUND(K172*$G$6,2)*L172</f>
        <v>0</v>
      </c>
    </row>
    <row r="173" spans="1:13" ht="11.25">
      <c r="A173" s="557" t="s">
        <v>705</v>
      </c>
      <c r="B173" s="355"/>
      <c r="C173" s="365"/>
      <c r="D173" s="622">
        <v>1638.63</v>
      </c>
      <c r="E173" s="347">
        <f>D156</f>
        <v>0</v>
      </c>
      <c r="F173" s="351">
        <f>ROUND(D173*$G$6,2)*E173</f>
        <v>0</v>
      </c>
      <c r="G173" s="323"/>
      <c r="H173" s="352" t="s">
        <v>710</v>
      </c>
      <c r="I173" s="355"/>
      <c r="J173" s="365"/>
      <c r="K173" s="622">
        <v>5.64</v>
      </c>
      <c r="L173" s="621">
        <f>K157</f>
        <v>0</v>
      </c>
      <c r="M173" s="609">
        <f>ROUND(K173*$G$6,2)*L173</f>
        <v>0</v>
      </c>
    </row>
    <row r="174" spans="1:13" ht="11.25">
      <c r="A174" s="647" t="s">
        <v>706</v>
      </c>
      <c r="B174" s="634"/>
      <c r="C174" s="630"/>
      <c r="D174" s="623">
        <v>8.99</v>
      </c>
      <c r="E174" s="624">
        <f>F154+F155</f>
        <v>0</v>
      </c>
      <c r="F174" s="356">
        <f>ROUND(D174*$G$6,2)*E174</f>
        <v>0</v>
      </c>
      <c r="G174" s="323"/>
      <c r="H174" s="612" t="s">
        <v>706</v>
      </c>
      <c r="I174" s="634"/>
      <c r="J174" s="630"/>
      <c r="K174" s="623">
        <v>8.99</v>
      </c>
      <c r="L174" s="624">
        <f>M154</f>
        <v>0</v>
      </c>
      <c r="M174" s="610">
        <f>ROUND(K174*$G$6,2)*L174</f>
        <v>0</v>
      </c>
    </row>
    <row r="175" spans="1:13" ht="11.25">
      <c r="A175" s="321"/>
      <c r="B175" s="322"/>
      <c r="C175" s="322"/>
      <c r="D175" s="322"/>
      <c r="E175" s="322"/>
      <c r="F175" s="322"/>
      <c r="G175" s="322"/>
      <c r="H175" s="322"/>
      <c r="I175" s="322"/>
      <c r="J175" s="322"/>
      <c r="K175" s="322"/>
      <c r="L175" s="322"/>
      <c r="M175" s="362"/>
    </row>
    <row r="176" spans="1:13" ht="11.25">
      <c r="A176" s="344" t="s">
        <v>859</v>
      </c>
      <c r="B176" s="345"/>
      <c r="C176" s="345"/>
      <c r="D176" s="615"/>
      <c r="E176" s="345"/>
      <c r="F176" s="358">
        <f>SUM(F170:F174)</f>
        <v>0</v>
      </c>
      <c r="G176" s="323"/>
      <c r="H176" s="618" t="s">
        <v>859</v>
      </c>
      <c r="I176" s="345"/>
      <c r="J176" s="345"/>
      <c r="K176" s="615"/>
      <c r="L176" s="616"/>
      <c r="M176" s="649">
        <f>SUM(M171:M174)</f>
        <v>0</v>
      </c>
    </row>
    <row r="177" spans="1:13" ht="11.25">
      <c r="A177" s="321"/>
      <c r="B177" s="322"/>
      <c r="C177" s="322"/>
      <c r="D177" s="322"/>
      <c r="E177" s="322"/>
      <c r="F177" s="322"/>
      <c r="G177" s="322"/>
      <c r="H177" s="322"/>
      <c r="I177" s="322"/>
      <c r="J177" s="322"/>
      <c r="K177" s="322"/>
      <c r="L177" s="345"/>
      <c r="M177" s="648"/>
    </row>
    <row r="178" spans="1:13" ht="11.25">
      <c r="A178" s="719" t="s">
        <v>717</v>
      </c>
      <c r="B178" s="345"/>
      <c r="C178" s="345"/>
      <c r="D178" s="345" t="s">
        <v>696</v>
      </c>
      <c r="E178" s="615" t="s">
        <v>697</v>
      </c>
      <c r="F178" s="617" t="s">
        <v>217</v>
      </c>
      <c r="G178" s="323"/>
      <c r="H178" s="614" t="s">
        <v>718</v>
      </c>
      <c r="I178" s="345"/>
      <c r="J178" s="345"/>
      <c r="K178" s="345" t="s">
        <v>696</v>
      </c>
      <c r="L178" s="615" t="s">
        <v>697</v>
      </c>
      <c r="M178" s="648" t="s">
        <v>217</v>
      </c>
    </row>
    <row r="179" spans="1:13" ht="11.25">
      <c r="A179" s="680" t="s">
        <v>656</v>
      </c>
      <c r="B179" s="652"/>
      <c r="C179" s="652"/>
      <c r="D179" s="749">
        <f>'verblijf zonder behandeling'!G42</f>
        <v>0</v>
      </c>
      <c r="E179" s="619">
        <f>'verblijf zonder behandeling'!G44</f>
        <v>0</v>
      </c>
      <c r="F179" s="366">
        <f>D179+E179</f>
        <v>0</v>
      </c>
      <c r="G179" s="323"/>
      <c r="H179" s="354" t="s">
        <v>454</v>
      </c>
      <c r="I179" s="631"/>
      <c r="J179" s="629"/>
      <c r="K179" s="749">
        <f>'verblijf zonder behandeling'!G21</f>
        <v>0</v>
      </c>
      <c r="L179" s="749">
        <f>'verblijf zonder behandeling'!G22</f>
        <v>0</v>
      </c>
      <c r="M179" s="685">
        <f>L179+K179</f>
        <v>0</v>
      </c>
    </row>
    <row r="180" spans="1:13" ht="11.25">
      <c r="A180" s="557" t="s">
        <v>657</v>
      </c>
      <c r="B180" s="355"/>
      <c r="C180" s="355"/>
      <c r="D180" s="368">
        <f>'verblijf zonder behandeling'!G41</f>
        <v>0</v>
      </c>
      <c r="E180" s="368">
        <f>'verblijf zonder behandeling'!G43</f>
        <v>0</v>
      </c>
      <c r="F180" s="353">
        <f>D180+E180</f>
        <v>0</v>
      </c>
      <c r="G180" s="323"/>
      <c r="H180" s="352" t="s">
        <v>720</v>
      </c>
      <c r="I180" s="355"/>
      <c r="J180" s="365"/>
      <c r="K180" s="368">
        <f>'verblijf zonder behandeling'!G23</f>
        <v>0</v>
      </c>
      <c r="L180" s="620"/>
      <c r="M180" s="609"/>
    </row>
    <row r="181" spans="1:13" ht="11.25">
      <c r="A181" s="557" t="s">
        <v>658</v>
      </c>
      <c r="B181" s="355"/>
      <c r="C181" s="355"/>
      <c r="D181" s="368">
        <f>'verblijf zonder behandeling'!G46</f>
        <v>0</v>
      </c>
      <c r="E181" s="368">
        <f>'verblijf zonder behandeling'!G48</f>
        <v>0</v>
      </c>
      <c r="F181" s="353">
        <f>D181+E181</f>
        <v>0</v>
      </c>
      <c r="G181" s="323"/>
      <c r="H181" s="612" t="s">
        <v>722</v>
      </c>
      <c r="I181" s="634"/>
      <c r="J181" s="630"/>
      <c r="K181" s="639">
        <f>'verblijf zonder behandeling'!G24</f>
        <v>0</v>
      </c>
      <c r="L181" s="627"/>
      <c r="M181" s="610"/>
    </row>
    <row r="182" spans="1:13" ht="11.25">
      <c r="A182" s="557" t="s">
        <v>659</v>
      </c>
      <c r="B182" s="355"/>
      <c r="C182" s="355"/>
      <c r="D182" s="368">
        <f>'verblijf zonder behandeling'!G45</f>
        <v>0</v>
      </c>
      <c r="E182" s="368">
        <f>'verblijf zonder behandeling'!G47</f>
        <v>0</v>
      </c>
      <c r="F182" s="353">
        <f>D182+E182</f>
        <v>0</v>
      </c>
      <c r="G182" s="323"/>
      <c r="H182" s="323"/>
      <c r="I182" s="322"/>
      <c r="J182" s="322"/>
      <c r="K182" s="322"/>
      <c r="L182" s="333"/>
      <c r="M182" s="324"/>
    </row>
    <row r="183" spans="1:13" ht="11.25">
      <c r="A183" s="557" t="s">
        <v>662</v>
      </c>
      <c r="B183" s="355"/>
      <c r="C183" s="355"/>
      <c r="D183" s="621">
        <f>'verblijf zonder behandeling'!G52</f>
        <v>0</v>
      </c>
      <c r="E183" s="620"/>
      <c r="F183" s="351"/>
      <c r="G183" s="323"/>
      <c r="H183" s="322" t="s">
        <v>870</v>
      </c>
      <c r="I183" s="322"/>
      <c r="J183" s="322"/>
      <c r="K183" s="322"/>
      <c r="L183" s="322"/>
      <c r="M183" s="362"/>
    </row>
    <row r="184" spans="1:13" ht="11.25">
      <c r="A184" s="557" t="s">
        <v>129</v>
      </c>
      <c r="B184" s="355" t="s">
        <v>698</v>
      </c>
      <c r="C184" s="355"/>
      <c r="D184" s="368">
        <f>'verblijf zonder behandeling'!G49+'verblijf zonder behandeling'!G50</f>
        <v>0</v>
      </c>
      <c r="E184" s="620"/>
      <c r="F184" s="351"/>
      <c r="G184" s="323"/>
      <c r="H184" s="354" t="s">
        <v>719</v>
      </c>
      <c r="I184" s="631"/>
      <c r="J184" s="629"/>
      <c r="K184" s="628">
        <v>11242.03</v>
      </c>
      <c r="L184" s="626">
        <f>M179</f>
        <v>0</v>
      </c>
      <c r="M184" s="720">
        <f>ROUND(K184*$G$5,2)*L184</f>
        <v>0</v>
      </c>
    </row>
    <row r="185" spans="1:13" ht="11.25">
      <c r="A185" s="647"/>
      <c r="B185" s="634" t="s">
        <v>700</v>
      </c>
      <c r="C185" s="634"/>
      <c r="D185" s="639">
        <f>'verblijf zonder behandeling'!G43</f>
        <v>0</v>
      </c>
      <c r="E185" s="348"/>
      <c r="F185" s="356"/>
      <c r="G185" s="322"/>
      <c r="H185" s="352" t="s">
        <v>716</v>
      </c>
      <c r="I185" s="355"/>
      <c r="J185" s="365"/>
      <c r="K185" s="622">
        <v>26.27</v>
      </c>
      <c r="L185" s="621">
        <f>K180</f>
        <v>0</v>
      </c>
      <c r="M185" s="609">
        <f>ROUND(K185*$G$5,2)*L185</f>
        <v>0</v>
      </c>
    </row>
    <row r="186" spans="1:13" ht="11.25">
      <c r="A186" s="321"/>
      <c r="B186" s="322"/>
      <c r="C186" s="322"/>
      <c r="D186" s="322"/>
      <c r="E186" s="322"/>
      <c r="F186" s="322"/>
      <c r="G186" s="322"/>
      <c r="H186" s="612" t="s">
        <v>708</v>
      </c>
      <c r="I186" s="634"/>
      <c r="J186" s="630"/>
      <c r="K186" s="623">
        <v>3.25</v>
      </c>
      <c r="L186" s="624">
        <f>K181</f>
        <v>0</v>
      </c>
      <c r="M186" s="610">
        <f>ROUND(K186*$G$5,2)*L186</f>
        <v>0</v>
      </c>
    </row>
    <row r="187" spans="1:13" ht="11.25">
      <c r="A187" s="354" t="s">
        <v>671</v>
      </c>
      <c r="B187" s="631"/>
      <c r="C187" s="629"/>
      <c r="D187" s="628">
        <v>13511.09</v>
      </c>
      <c r="E187" s="626">
        <f>F180+F179</f>
        <v>0</v>
      </c>
      <c r="F187" s="350">
        <f>ROUND(D187*$G$5,2)*E187</f>
        <v>0</v>
      </c>
      <c r="G187" s="323"/>
      <c r="H187" s="322"/>
      <c r="I187" s="322"/>
      <c r="J187" s="322"/>
      <c r="K187" s="322"/>
      <c r="L187" s="322"/>
      <c r="M187" s="362"/>
    </row>
    <row r="188" spans="1:13" ht="11.25">
      <c r="A188" s="352" t="s">
        <v>672</v>
      </c>
      <c r="B188" s="355"/>
      <c r="C188" s="365"/>
      <c r="D188" s="622">
        <v>2990.8</v>
      </c>
      <c r="E188" s="621">
        <f>F182+F181</f>
        <v>0</v>
      </c>
      <c r="F188" s="351">
        <f>ROUND(D188*$G$5,2)*E188</f>
        <v>0</v>
      </c>
      <c r="G188" s="323"/>
      <c r="H188" s="618" t="s">
        <v>858</v>
      </c>
      <c r="I188" s="345"/>
      <c r="J188" s="345"/>
      <c r="K188" s="345"/>
      <c r="L188" s="666"/>
      <c r="M188" s="649">
        <f>SUM(M184:M186)</f>
        <v>0</v>
      </c>
    </row>
    <row r="189" spans="1:13" ht="11.25">
      <c r="A189" s="352" t="s">
        <v>707</v>
      </c>
      <c r="B189" s="355"/>
      <c r="C189" s="365"/>
      <c r="D189" s="622">
        <v>26.27</v>
      </c>
      <c r="E189" s="621">
        <f>D184</f>
        <v>0</v>
      </c>
      <c r="F189" s="351">
        <f>ROUND(D189*$G$5,2)*E189</f>
        <v>0</v>
      </c>
      <c r="G189" s="323"/>
      <c r="H189" s="322"/>
      <c r="I189" s="322"/>
      <c r="J189" s="322"/>
      <c r="K189" s="322"/>
      <c r="L189" s="322"/>
      <c r="M189" s="362"/>
    </row>
    <row r="190" spans="1:13" ht="11.25">
      <c r="A190" s="352" t="s">
        <v>128</v>
      </c>
      <c r="B190" s="355"/>
      <c r="C190" s="365"/>
      <c r="D190" s="625">
        <v>6.14</v>
      </c>
      <c r="E190" s="621">
        <f>D185</f>
        <v>0</v>
      </c>
      <c r="F190" s="351">
        <f>ROUND(D190*$G$5,2)*E190</f>
        <v>0</v>
      </c>
      <c r="G190" s="323"/>
      <c r="H190" s="322" t="s">
        <v>103</v>
      </c>
      <c r="I190" s="322"/>
      <c r="J190" s="322"/>
      <c r="K190" s="322"/>
      <c r="L190" s="333"/>
      <c r="M190" s="324"/>
    </row>
    <row r="191" spans="1:13" ht="11.25">
      <c r="A191" s="612" t="s">
        <v>708</v>
      </c>
      <c r="B191" s="634"/>
      <c r="C191" s="630"/>
      <c r="D191" s="623">
        <v>3.25</v>
      </c>
      <c r="E191" s="624">
        <f>ROUND('verblijf zonder behandeling'!G53,0)</f>
        <v>0</v>
      </c>
      <c r="F191" s="351">
        <f>ROUND(D191*$G$5,2)*E191</f>
        <v>0</v>
      </c>
      <c r="G191" s="323"/>
      <c r="H191" s="354" t="s">
        <v>721</v>
      </c>
      <c r="I191" s="631"/>
      <c r="J191" s="629"/>
      <c r="K191" s="628">
        <v>2391.33</v>
      </c>
      <c r="L191" s="346">
        <f>K179</f>
        <v>0</v>
      </c>
      <c r="M191" s="720">
        <f>ROUND(K191*$G$6,2)*L191</f>
        <v>0</v>
      </c>
    </row>
    <row r="192" spans="7:13" ht="11.25">
      <c r="G192" s="323"/>
      <c r="H192" s="352" t="s">
        <v>756</v>
      </c>
      <c r="I192" s="355"/>
      <c r="J192" s="365"/>
      <c r="K192" s="622">
        <v>2043.52</v>
      </c>
      <c r="L192" s="621">
        <f>L179</f>
        <v>0</v>
      </c>
      <c r="M192" s="609">
        <f>ROUND(K192*$G$6,2)*L192</f>
        <v>0</v>
      </c>
    </row>
    <row r="193" spans="1:13" ht="11.25">
      <c r="A193" s="344" t="s">
        <v>858</v>
      </c>
      <c r="B193" s="345"/>
      <c r="C193" s="345"/>
      <c r="D193" s="359"/>
      <c r="E193" s="345"/>
      <c r="F193" s="358">
        <f>SUM(F187:F191)</f>
        <v>0</v>
      </c>
      <c r="G193" s="322"/>
      <c r="H193" s="352" t="s">
        <v>710</v>
      </c>
      <c r="I193" s="355"/>
      <c r="J193" s="365"/>
      <c r="K193" s="622">
        <v>5.58</v>
      </c>
      <c r="L193" s="621">
        <f>K180</f>
        <v>0</v>
      </c>
      <c r="M193" s="609">
        <f>ROUND(K193*$G$6,2)*L193</f>
        <v>0</v>
      </c>
    </row>
    <row r="194" spans="7:13" ht="11.25">
      <c r="G194" s="322"/>
      <c r="H194" s="612" t="s">
        <v>706</v>
      </c>
      <c r="I194" s="634"/>
      <c r="J194" s="630"/>
      <c r="K194" s="623">
        <v>8.99</v>
      </c>
      <c r="L194" s="624">
        <f>M179</f>
        <v>0</v>
      </c>
      <c r="M194" s="610">
        <f>ROUND(K194*$G$6,2)*L194</f>
        <v>0</v>
      </c>
    </row>
    <row r="195" spans="1:13" ht="11.25">
      <c r="A195" s="321" t="s">
        <v>103</v>
      </c>
      <c r="B195" s="322"/>
      <c r="C195" s="322"/>
      <c r="D195" s="333"/>
      <c r="E195" s="323"/>
      <c r="F195" s="322"/>
      <c r="G195" s="323"/>
      <c r="H195" s="322"/>
      <c r="I195" s="322"/>
      <c r="J195" s="322"/>
      <c r="K195" s="322"/>
      <c r="L195" s="322"/>
      <c r="M195" s="362"/>
    </row>
    <row r="196" spans="1:13" ht="11.25">
      <c r="A196" s="645" t="s">
        <v>663</v>
      </c>
      <c r="B196" s="631"/>
      <c r="C196" s="629"/>
      <c r="D196" s="628">
        <v>2949.4</v>
      </c>
      <c r="E196" s="626">
        <f>D179</f>
        <v>0</v>
      </c>
      <c r="F196" s="350">
        <f aca="true" t="shared" si="4" ref="F196:F205">ROUND(D196*$G$6,2)*E196</f>
        <v>0</v>
      </c>
      <c r="G196" s="323"/>
      <c r="H196" s="618" t="s">
        <v>859</v>
      </c>
      <c r="I196" s="345"/>
      <c r="J196" s="345"/>
      <c r="K196" s="615"/>
      <c r="L196" s="345"/>
      <c r="M196" s="649">
        <f>SUM(M189:M194)</f>
        <v>0</v>
      </c>
    </row>
    <row r="197" spans="1:13" ht="11.25">
      <c r="A197" s="557" t="s">
        <v>664</v>
      </c>
      <c r="B197" s="355"/>
      <c r="C197" s="365"/>
      <c r="D197" s="622">
        <v>2949.4</v>
      </c>
      <c r="E197" s="621">
        <f>D180</f>
        <v>0</v>
      </c>
      <c r="F197" s="351">
        <f t="shared" si="4"/>
        <v>0</v>
      </c>
      <c r="G197" s="323"/>
      <c r="H197" s="322"/>
      <c r="I197" s="322"/>
      <c r="J197" s="322"/>
      <c r="K197" s="322"/>
      <c r="L197" s="333"/>
      <c r="M197" s="324"/>
    </row>
    <row r="198" spans="1:13" ht="11.25">
      <c r="A198" s="557" t="s">
        <v>665</v>
      </c>
      <c r="B198" s="355"/>
      <c r="C198" s="365"/>
      <c r="D198" s="622">
        <v>2675.16</v>
      </c>
      <c r="E198" s="621">
        <f>E179</f>
        <v>0</v>
      </c>
      <c r="F198" s="351">
        <f t="shared" si="4"/>
        <v>0</v>
      </c>
      <c r="G198" s="323"/>
      <c r="H198" s="322"/>
      <c r="I198" s="322"/>
      <c r="J198" s="322"/>
      <c r="K198" s="322"/>
      <c r="L198" s="333"/>
      <c r="M198" s="324"/>
    </row>
    <row r="199" spans="1:13" ht="11.25">
      <c r="A199" s="557" t="s">
        <v>666</v>
      </c>
      <c r="B199" s="355"/>
      <c r="C199" s="365"/>
      <c r="D199" s="622">
        <v>2675.16</v>
      </c>
      <c r="E199" s="621">
        <f>E180</f>
        <v>0</v>
      </c>
      <c r="F199" s="351">
        <f t="shared" si="4"/>
        <v>0</v>
      </c>
      <c r="G199" s="323"/>
      <c r="H199" s="322"/>
      <c r="I199" s="322"/>
      <c r="J199" s="322"/>
      <c r="K199" s="322"/>
      <c r="L199" s="333"/>
      <c r="M199" s="324"/>
    </row>
    <row r="200" spans="1:13" ht="11.25">
      <c r="A200" s="557" t="s">
        <v>667</v>
      </c>
      <c r="B200" s="355"/>
      <c r="C200" s="365"/>
      <c r="D200" s="622">
        <v>2640.94</v>
      </c>
      <c r="E200" s="621">
        <f>D181</f>
        <v>0</v>
      </c>
      <c r="F200" s="351">
        <f t="shared" si="4"/>
        <v>0</v>
      </c>
      <c r="G200" s="323"/>
      <c r="H200" s="322"/>
      <c r="I200" s="322"/>
      <c r="J200" s="322"/>
      <c r="K200" s="322"/>
      <c r="L200" s="333"/>
      <c r="M200" s="324"/>
    </row>
    <row r="201" spans="1:13" ht="11.25">
      <c r="A201" s="557" t="s">
        <v>668</v>
      </c>
      <c r="B201" s="355"/>
      <c r="C201" s="365"/>
      <c r="D201" s="622">
        <v>2640.94</v>
      </c>
      <c r="E201" s="621">
        <f>D182</f>
        <v>0</v>
      </c>
      <c r="F201" s="351">
        <f t="shared" si="4"/>
        <v>0</v>
      </c>
      <c r="G201" s="323"/>
      <c r="H201" s="322"/>
      <c r="I201" s="322"/>
      <c r="J201" s="322"/>
      <c r="K201" s="322"/>
      <c r="L201" s="333"/>
      <c r="M201" s="324"/>
    </row>
    <row r="202" spans="1:13" ht="11.25">
      <c r="A202" s="557" t="s">
        <v>669</v>
      </c>
      <c r="B202" s="355"/>
      <c r="C202" s="365"/>
      <c r="D202" s="622">
        <v>2314.87</v>
      </c>
      <c r="E202" s="621">
        <f>E181</f>
        <v>0</v>
      </c>
      <c r="F202" s="351">
        <f t="shared" si="4"/>
        <v>0</v>
      </c>
      <c r="G202" s="323"/>
      <c r="H202" s="322"/>
      <c r="I202" s="322"/>
      <c r="J202" s="322"/>
      <c r="K202" s="322"/>
      <c r="L202" s="333"/>
      <c r="M202" s="324"/>
    </row>
    <row r="203" spans="1:13" ht="11.25">
      <c r="A203" s="557" t="s">
        <v>670</v>
      </c>
      <c r="B203" s="355"/>
      <c r="C203" s="365"/>
      <c r="D203" s="622">
        <v>2314.87</v>
      </c>
      <c r="E203" s="621">
        <f>E182</f>
        <v>0</v>
      </c>
      <c r="F203" s="351">
        <f t="shared" si="4"/>
        <v>0</v>
      </c>
      <c r="G203" s="323"/>
      <c r="H203" s="614" t="s">
        <v>760</v>
      </c>
      <c r="I203" s="345"/>
      <c r="J203" s="345"/>
      <c r="K203" s="345"/>
      <c r="L203" s="615"/>
      <c r="M203" s="724"/>
    </row>
    <row r="204" spans="1:13" ht="11.25">
      <c r="A204" s="557" t="s">
        <v>705</v>
      </c>
      <c r="B204" s="355"/>
      <c r="C204" s="365"/>
      <c r="D204" s="622">
        <v>1638.63</v>
      </c>
      <c r="E204" s="621">
        <f>D183</f>
        <v>0</v>
      </c>
      <c r="F204" s="351">
        <f t="shared" si="4"/>
        <v>0</v>
      </c>
      <c r="G204" s="323"/>
      <c r="H204" s="651" t="s">
        <v>454</v>
      </c>
      <c r="I204" s="652"/>
      <c r="J204" s="642"/>
      <c r="K204" s="749">
        <f>'verblijf zonder behandeling'!G65</f>
        <v>0</v>
      </c>
      <c r="L204" s="749">
        <f>'verblijf zonder behandeling'!G66</f>
        <v>0</v>
      </c>
      <c r="M204" s="685">
        <f>L204+K204</f>
        <v>0</v>
      </c>
    </row>
    <row r="205" spans="1:14" ht="11.25">
      <c r="A205" s="557" t="s">
        <v>710</v>
      </c>
      <c r="B205" s="355"/>
      <c r="C205" s="365"/>
      <c r="D205" s="622">
        <v>5.69</v>
      </c>
      <c r="E205" s="621">
        <f>D184</f>
        <v>0</v>
      </c>
      <c r="F205" s="351">
        <f t="shared" si="4"/>
        <v>0</v>
      </c>
      <c r="G205" s="323"/>
      <c r="H205" s="352" t="s">
        <v>761</v>
      </c>
      <c r="I205" s="355"/>
      <c r="J205" s="365"/>
      <c r="K205" s="368">
        <f>'verblijf zonder behandeling'!G32</f>
        <v>0</v>
      </c>
      <c r="L205" s="620"/>
      <c r="M205" s="609"/>
      <c r="N205" s="322"/>
    </row>
    <row r="206" spans="1:13" ht="11.25">
      <c r="A206" s="647" t="s">
        <v>706</v>
      </c>
      <c r="B206" s="634"/>
      <c r="C206" s="630"/>
      <c r="D206" s="623">
        <v>8.99</v>
      </c>
      <c r="E206" s="624">
        <f>F179+F180+F181+F182</f>
        <v>0</v>
      </c>
      <c r="F206" s="356">
        <f>ROUND(D206*$G$6,2)*E206</f>
        <v>0</v>
      </c>
      <c r="G206" s="323"/>
      <c r="H206" s="352" t="s">
        <v>763</v>
      </c>
      <c r="I206" s="355"/>
      <c r="J206" s="365"/>
      <c r="K206" s="368">
        <f>'verblijf zonder behandeling'!G33</f>
        <v>0</v>
      </c>
      <c r="L206" s="620"/>
      <c r="M206" s="609"/>
    </row>
    <row r="207" spans="1:13" ht="11.25">
      <c r="A207" s="321"/>
      <c r="B207" s="322"/>
      <c r="C207" s="322"/>
      <c r="D207" s="322"/>
      <c r="E207" s="323"/>
      <c r="F207" s="322"/>
      <c r="G207" s="322"/>
      <c r="H207" s="612" t="s">
        <v>381</v>
      </c>
      <c r="I207" s="634"/>
      <c r="J207" s="630"/>
      <c r="K207" s="639">
        <f>'verblijf zonder behandeling'!G67</f>
        <v>0</v>
      </c>
      <c r="L207" s="627"/>
      <c r="M207" s="610"/>
    </row>
    <row r="208" spans="1:13" ht="11.25">
      <c r="A208" s="344" t="s">
        <v>859</v>
      </c>
      <c r="B208" s="345"/>
      <c r="C208" s="345"/>
      <c r="D208" s="615"/>
      <c r="E208" s="616"/>
      <c r="F208" s="358">
        <f>SUM(F195:F206)</f>
        <v>0</v>
      </c>
      <c r="G208" s="323"/>
      <c r="H208" s="322"/>
      <c r="I208" s="322"/>
      <c r="J208" s="322"/>
      <c r="K208" s="322"/>
      <c r="L208" s="322"/>
      <c r="M208" s="362"/>
    </row>
    <row r="209" spans="1:13" ht="11.25">
      <c r="A209" s="321"/>
      <c r="B209" s="322"/>
      <c r="C209" s="322"/>
      <c r="D209" s="333"/>
      <c r="E209" s="613"/>
      <c r="F209" s="323"/>
      <c r="G209" s="323"/>
      <c r="H209" s="322" t="s">
        <v>870</v>
      </c>
      <c r="I209" s="322"/>
      <c r="J209" s="322"/>
      <c r="K209" s="322"/>
      <c r="L209" s="333"/>
      <c r="M209" s="324"/>
    </row>
    <row r="210" spans="1:13" ht="11.25">
      <c r="A210" s="321"/>
      <c r="B210" s="322"/>
      <c r="C210" s="322"/>
      <c r="D210" s="322"/>
      <c r="E210" s="322"/>
      <c r="F210" s="322"/>
      <c r="G210" s="322"/>
      <c r="H210" s="354" t="s">
        <v>764</v>
      </c>
      <c r="I210" s="631"/>
      <c r="J210" s="631"/>
      <c r="K210" s="628">
        <v>13061.76</v>
      </c>
      <c r="L210" s="626">
        <f>IF(M204&lt;=100,M204,0)</f>
        <v>0</v>
      </c>
      <c r="M210" s="720">
        <f>ROUND(K210*$G$5,2)*L210</f>
        <v>0</v>
      </c>
    </row>
    <row r="211" spans="1:13" ht="11.25">
      <c r="A211" s="719" t="s">
        <v>757</v>
      </c>
      <c r="B211" s="345"/>
      <c r="C211" s="345"/>
      <c r="D211" s="345" t="s">
        <v>696</v>
      </c>
      <c r="E211" s="615" t="s">
        <v>697</v>
      </c>
      <c r="F211" s="617"/>
      <c r="G211" s="323"/>
      <c r="H211" s="352" t="s">
        <v>762</v>
      </c>
      <c r="I211" s="355"/>
      <c r="J211" s="355"/>
      <c r="K211" s="622">
        <v>4284.73</v>
      </c>
      <c r="L211" s="347">
        <f>IF(M204&gt;=101,M204,0)</f>
        <v>0</v>
      </c>
      <c r="M211" s="609">
        <f>ROUND(K211*$G$5,2)*L211</f>
        <v>0</v>
      </c>
    </row>
    <row r="212" spans="1:13" ht="11.25">
      <c r="A212" s="645" t="s">
        <v>454</v>
      </c>
      <c r="B212" s="631"/>
      <c r="C212" s="629"/>
      <c r="D212" s="619">
        <f>'verblijf zonder behandeling'!G58</f>
        <v>0</v>
      </c>
      <c r="E212" s="619">
        <f>'verblijf zonder behandeling'!G59</f>
        <v>0</v>
      </c>
      <c r="F212" s="366">
        <f>D212+E212</f>
        <v>0</v>
      </c>
      <c r="G212" s="323"/>
      <c r="H212" s="352" t="s">
        <v>707</v>
      </c>
      <c r="I212" s="355"/>
      <c r="J212" s="355"/>
      <c r="K212" s="622">
        <v>81.88</v>
      </c>
      <c r="L212" s="621">
        <f>K207</f>
        <v>0</v>
      </c>
      <c r="M212" s="609">
        <f>ROUND(K212*$G$5,2)*L212</f>
        <v>0</v>
      </c>
    </row>
    <row r="213" spans="1:13" ht="11.25">
      <c r="A213" s="647" t="s">
        <v>381</v>
      </c>
      <c r="B213" s="634"/>
      <c r="C213" s="630"/>
      <c r="D213" s="639">
        <f>'verblijf zonder behandeling'!G60</f>
        <v>0</v>
      </c>
      <c r="E213" s="627"/>
      <c r="F213" s="356"/>
      <c r="G213" s="323"/>
      <c r="H213" s="352" t="s">
        <v>202</v>
      </c>
      <c r="I213" s="355"/>
      <c r="J213" s="355"/>
      <c r="K213" s="622">
        <v>24893.31</v>
      </c>
      <c r="L213" s="621">
        <f>'verblijf zonder behandeling'!G68</f>
        <v>0</v>
      </c>
      <c r="M213" s="609">
        <f>ROUND(K213*$G$5,2)*L213</f>
        <v>0</v>
      </c>
    </row>
    <row r="214" spans="1:13" ht="11.25">
      <c r="A214" s="321"/>
      <c r="B214" s="322"/>
      <c r="C214" s="322"/>
      <c r="D214" s="322"/>
      <c r="E214" s="322"/>
      <c r="F214" s="322"/>
      <c r="G214" s="322"/>
      <c r="H214" s="612" t="s">
        <v>203</v>
      </c>
      <c r="I214" s="634"/>
      <c r="J214" s="634"/>
      <c r="K214" s="623">
        <v>31116.64</v>
      </c>
      <c r="L214" s="624">
        <f>'verblijf zonder behandeling'!G69</f>
        <v>0</v>
      </c>
      <c r="M214" s="610">
        <f>ROUND(K214*$G$5,2)*L214</f>
        <v>0</v>
      </c>
    </row>
    <row r="215" spans="1:13" ht="11.25">
      <c r="A215" s="645" t="s">
        <v>712</v>
      </c>
      <c r="B215" s="631"/>
      <c r="C215" s="629"/>
      <c r="D215" s="628">
        <v>13666.47</v>
      </c>
      <c r="E215" s="626">
        <f>F212</f>
        <v>0</v>
      </c>
      <c r="F215" s="350">
        <f>ROUND(D215*$G$5,2)*E215</f>
        <v>0</v>
      </c>
      <c r="G215" s="323"/>
      <c r="H215" s="322"/>
      <c r="I215" s="322"/>
      <c r="J215" s="322"/>
      <c r="K215" s="322"/>
      <c r="L215" s="322"/>
      <c r="M215" s="362"/>
    </row>
    <row r="216" spans="1:13" ht="11.25">
      <c r="A216" s="647" t="s">
        <v>707</v>
      </c>
      <c r="B216" s="634"/>
      <c r="C216" s="630"/>
      <c r="D216" s="623">
        <v>47.14</v>
      </c>
      <c r="E216" s="624">
        <f>D213</f>
        <v>0</v>
      </c>
      <c r="F216" s="356">
        <f>ROUND(D216*$G$5,2)*E216</f>
        <v>0</v>
      </c>
      <c r="G216" s="323"/>
      <c r="H216" s="618" t="s">
        <v>858</v>
      </c>
      <c r="I216" s="345"/>
      <c r="J216" s="345"/>
      <c r="K216" s="345"/>
      <c r="L216" s="666"/>
      <c r="M216" s="649">
        <f>SUM(M210:M214)</f>
        <v>0</v>
      </c>
    </row>
    <row r="217" spans="1:13" ht="11.25">
      <c r="A217" s="321"/>
      <c r="B217" s="322"/>
      <c r="C217" s="322"/>
      <c r="D217" s="322"/>
      <c r="E217" s="322"/>
      <c r="F217" s="322"/>
      <c r="G217" s="322"/>
      <c r="H217" s="322"/>
      <c r="I217" s="322"/>
      <c r="J217" s="322"/>
      <c r="K217" s="322"/>
      <c r="L217" s="322"/>
      <c r="M217" s="362"/>
    </row>
    <row r="218" spans="1:13" ht="11.25">
      <c r="A218" s="344" t="s">
        <v>858</v>
      </c>
      <c r="B218" s="345"/>
      <c r="C218" s="345"/>
      <c r="D218" s="345"/>
      <c r="E218" s="666"/>
      <c r="F218" s="358">
        <f>F215+F216</f>
        <v>0</v>
      </c>
      <c r="G218" s="323"/>
      <c r="H218" s="322" t="s">
        <v>103</v>
      </c>
      <c r="I218" s="322"/>
      <c r="J218" s="322"/>
      <c r="K218" s="333"/>
      <c r="L218" s="322"/>
      <c r="M218" s="324"/>
    </row>
    <row r="219" spans="1:13" ht="11.25">
      <c r="A219" s="321"/>
      <c r="B219" s="322"/>
      <c r="C219" s="322"/>
      <c r="D219" s="322"/>
      <c r="E219" s="322"/>
      <c r="F219" s="322"/>
      <c r="G219" s="322"/>
      <c r="H219" s="354" t="s">
        <v>765</v>
      </c>
      <c r="I219" s="631"/>
      <c r="J219" s="629"/>
      <c r="K219" s="628">
        <v>2976.51</v>
      </c>
      <c r="L219" s="626">
        <f>IF(M204&gt;100,K204,0)</f>
        <v>0</v>
      </c>
      <c r="M219" s="720">
        <f aca="true" t="shared" si="5" ref="M219:M224">ROUND(K219*$G$6,2)*L219</f>
        <v>0</v>
      </c>
    </row>
    <row r="220" spans="1:13" ht="11.25">
      <c r="A220" s="321" t="s">
        <v>103</v>
      </c>
      <c r="B220" s="322"/>
      <c r="C220" s="322"/>
      <c r="D220" s="333"/>
      <c r="E220" s="322"/>
      <c r="F220" s="323"/>
      <c r="G220" s="323"/>
      <c r="H220" s="352" t="s">
        <v>766</v>
      </c>
      <c r="I220" s="355"/>
      <c r="J220" s="365"/>
      <c r="K220" s="622">
        <v>1649.65</v>
      </c>
      <c r="L220" s="621">
        <f>IF(M204&gt;100,L204,0)</f>
        <v>0</v>
      </c>
      <c r="M220" s="609">
        <f t="shared" si="5"/>
        <v>0</v>
      </c>
    </row>
    <row r="221" spans="1:13" ht="11.25">
      <c r="A221" s="645" t="s">
        <v>758</v>
      </c>
      <c r="B221" s="631"/>
      <c r="C221" s="631"/>
      <c r="D221" s="628">
        <v>3369.11</v>
      </c>
      <c r="E221" s="346">
        <f>D212</f>
        <v>0</v>
      </c>
      <c r="F221" s="350">
        <f>ROUND(D221*$G$6,2)*E221</f>
        <v>0</v>
      </c>
      <c r="G221" s="323"/>
      <c r="H221" s="352" t="s">
        <v>767</v>
      </c>
      <c r="I221" s="355"/>
      <c r="J221" s="365"/>
      <c r="K221" s="622">
        <v>4704.09</v>
      </c>
      <c r="L221" s="621">
        <f>IF(M204&lt;=100,K204,0)</f>
        <v>0</v>
      </c>
      <c r="M221" s="609">
        <f t="shared" si="5"/>
        <v>0</v>
      </c>
    </row>
    <row r="222" spans="1:13" ht="11.25">
      <c r="A222" s="557" t="s">
        <v>759</v>
      </c>
      <c r="B222" s="355"/>
      <c r="C222" s="355"/>
      <c r="D222" s="622">
        <v>3091.01</v>
      </c>
      <c r="E222" s="621">
        <f>E212</f>
        <v>0</v>
      </c>
      <c r="F222" s="351">
        <f>ROUND(D222*$G$6,2)*E222</f>
        <v>0</v>
      </c>
      <c r="G222" s="323"/>
      <c r="H222" s="352" t="s">
        <v>768</v>
      </c>
      <c r="I222" s="355"/>
      <c r="J222" s="365"/>
      <c r="K222" s="622">
        <v>3377.24</v>
      </c>
      <c r="L222" s="621">
        <f>IF(M204&lt;=100,L204,0)</f>
        <v>0</v>
      </c>
      <c r="M222" s="609">
        <f t="shared" si="5"/>
        <v>0</v>
      </c>
    </row>
    <row r="223" spans="1:13" ht="11.25">
      <c r="A223" s="557" t="s">
        <v>710</v>
      </c>
      <c r="B223" s="355"/>
      <c r="C223" s="355"/>
      <c r="D223" s="622">
        <v>4.6</v>
      </c>
      <c r="E223" s="621">
        <f>D213</f>
        <v>0</v>
      </c>
      <c r="F223" s="351">
        <f>ROUND(D223*$G$6,2)*E223</f>
        <v>0</v>
      </c>
      <c r="G223" s="323"/>
      <c r="H223" s="352" t="s">
        <v>710</v>
      </c>
      <c r="I223" s="355"/>
      <c r="J223" s="365"/>
      <c r="K223" s="622">
        <v>5.64</v>
      </c>
      <c r="L223" s="621">
        <f>K207</f>
        <v>0</v>
      </c>
      <c r="M223" s="609">
        <f t="shared" si="5"/>
        <v>0</v>
      </c>
    </row>
    <row r="224" spans="1:13" ht="11.25">
      <c r="A224" s="647" t="s">
        <v>706</v>
      </c>
      <c r="B224" s="634"/>
      <c r="C224" s="634"/>
      <c r="D224" s="623">
        <v>8.99</v>
      </c>
      <c r="E224" s="624">
        <f>F212</f>
        <v>0</v>
      </c>
      <c r="F224" s="356">
        <f>ROUND(D224*$G$6,2)*E224</f>
        <v>0</v>
      </c>
      <c r="G224" s="323"/>
      <c r="H224" s="612" t="s">
        <v>706</v>
      </c>
      <c r="I224" s="634"/>
      <c r="J224" s="630"/>
      <c r="K224" s="623">
        <v>8.99</v>
      </c>
      <c r="L224" s="624">
        <f>M204</f>
        <v>0</v>
      </c>
      <c r="M224" s="610">
        <f t="shared" si="5"/>
        <v>0</v>
      </c>
    </row>
    <row r="225" spans="1:13" ht="11.25">
      <c r="A225" s="321"/>
      <c r="B225" s="322"/>
      <c r="C225" s="322"/>
      <c r="D225" s="322"/>
      <c r="E225" s="322"/>
      <c r="F225" s="322"/>
      <c r="G225" s="322"/>
      <c r="H225" s="322"/>
      <c r="I225" s="322"/>
      <c r="J225" s="322"/>
      <c r="K225" s="322"/>
      <c r="L225" s="322"/>
      <c r="M225" s="362"/>
    </row>
    <row r="226" spans="1:13" ht="12" thickBot="1">
      <c r="A226" s="703" t="s">
        <v>859</v>
      </c>
      <c r="B226" s="705"/>
      <c r="C226" s="705"/>
      <c r="D226" s="725"/>
      <c r="E226" s="705"/>
      <c r="F226" s="707">
        <f>SUM(F221:F224)</f>
        <v>0</v>
      </c>
      <c r="G226" s="338"/>
      <c r="H226" s="726" t="s">
        <v>859</v>
      </c>
      <c r="I226" s="705"/>
      <c r="J226" s="705"/>
      <c r="K226" s="725"/>
      <c r="L226" s="705"/>
      <c r="M226" s="706">
        <f>SUM(M219:M224)</f>
        <v>0</v>
      </c>
    </row>
    <row r="227" spans="1:13" ht="11.25">
      <c r="A227" s="319"/>
      <c r="B227" s="322"/>
      <c r="C227" s="322"/>
      <c r="D227" s="322"/>
      <c r="E227" s="322"/>
      <c r="F227" s="322"/>
      <c r="G227" s="322"/>
      <c r="H227" s="322"/>
      <c r="I227" s="322"/>
      <c r="J227" s="322"/>
      <c r="K227" s="322"/>
      <c r="L227" s="322"/>
      <c r="M227" s="319"/>
    </row>
    <row r="228" spans="1:13" ht="11.25">
      <c r="A228" s="322"/>
      <c r="B228" s="322"/>
      <c r="C228" s="322"/>
      <c r="D228" s="322"/>
      <c r="E228" s="322"/>
      <c r="F228" s="322"/>
      <c r="G228" s="322"/>
      <c r="H228" s="322"/>
      <c r="I228" s="322"/>
      <c r="J228" s="322"/>
      <c r="K228" s="322"/>
      <c r="L228" s="322"/>
      <c r="M228" s="322"/>
    </row>
    <row r="229" spans="1:13" ht="11.25">
      <c r="A229" s="322"/>
      <c r="B229" s="322"/>
      <c r="C229" s="322"/>
      <c r="D229" s="322"/>
      <c r="E229" s="322"/>
      <c r="F229" s="322"/>
      <c r="G229" s="322"/>
      <c r="H229" s="322"/>
      <c r="I229" s="322"/>
      <c r="J229" s="322"/>
      <c r="K229" s="322"/>
      <c r="L229" s="322"/>
      <c r="M229" s="322"/>
    </row>
    <row r="230" spans="1:13" ht="11.25">
      <c r="A230" s="322"/>
      <c r="B230" s="322"/>
      <c r="C230" s="322"/>
      <c r="D230" s="322"/>
      <c r="E230" s="322"/>
      <c r="F230" s="322"/>
      <c r="G230" s="322"/>
      <c r="H230" s="322"/>
      <c r="I230" s="322"/>
      <c r="J230" s="322"/>
      <c r="K230" s="322"/>
      <c r="L230" s="322"/>
      <c r="M230" s="322"/>
    </row>
    <row r="231" spans="1:14" ht="12" thickBot="1">
      <c r="A231" s="322" t="s">
        <v>259</v>
      </c>
      <c r="B231" s="322"/>
      <c r="C231" s="322"/>
      <c r="D231" s="322"/>
      <c r="E231" s="322"/>
      <c r="F231" s="322"/>
      <c r="G231" s="322"/>
      <c r="H231" s="322" t="s">
        <v>221</v>
      </c>
      <c r="I231" s="322"/>
      <c r="J231" s="322"/>
      <c r="K231" s="322"/>
      <c r="L231" s="322"/>
      <c r="M231" s="323"/>
      <c r="N231" s="322"/>
    </row>
    <row r="232" spans="1:14" ht="11.25">
      <c r="A232" s="722" t="s">
        <v>769</v>
      </c>
      <c r="B232" s="669"/>
      <c r="C232" s="727"/>
      <c r="D232" s="319"/>
      <c r="E232" s="319"/>
      <c r="F232" s="334"/>
      <c r="G232" s="334"/>
      <c r="H232" s="334"/>
      <c r="I232" s="728" t="s">
        <v>877</v>
      </c>
      <c r="J232" s="669"/>
      <c r="K232" s="727"/>
      <c r="L232" s="319"/>
      <c r="M232" s="729"/>
      <c r="N232" s="322"/>
    </row>
    <row r="233" spans="1:14" ht="11.25">
      <c r="A233" s="553" t="s">
        <v>389</v>
      </c>
      <c r="B233" s="346"/>
      <c r="C233" s="366">
        <f>'zg afspraak'!G13</f>
        <v>0</v>
      </c>
      <c r="D233" s="322"/>
      <c r="E233" s="322"/>
      <c r="F233" s="349"/>
      <c r="G233" s="349"/>
      <c r="H233" s="323"/>
      <c r="I233" s="651" t="s">
        <v>808</v>
      </c>
      <c r="J233" s="652"/>
      <c r="K233" s="674">
        <f>'zg afspraak'!G59</f>
        <v>0</v>
      </c>
      <c r="L233" s="322"/>
      <c r="M233" s="324"/>
      <c r="N233" s="322"/>
    </row>
    <row r="234" spans="1:24" ht="11.25">
      <c r="A234" s="717" t="s">
        <v>390</v>
      </c>
      <c r="B234" s="715"/>
      <c r="C234" s="667">
        <f>ROUND(C233/365,0)</f>
        <v>0</v>
      </c>
      <c r="D234" s="322"/>
      <c r="E234" s="322"/>
      <c r="F234" s="323"/>
      <c r="G234" s="323"/>
      <c r="H234" s="323"/>
      <c r="I234" s="612" t="s">
        <v>390</v>
      </c>
      <c r="J234" s="634"/>
      <c r="K234" s="667">
        <f>ROUND(K233/365,0)</f>
        <v>0</v>
      </c>
      <c r="L234" s="322"/>
      <c r="M234" s="324"/>
      <c r="N234" s="322"/>
      <c r="P234" s="322"/>
      <c r="Q234" s="322"/>
      <c r="R234" s="322"/>
      <c r="S234" s="322"/>
      <c r="T234" s="322"/>
      <c r="U234" s="322"/>
      <c r="V234" s="322"/>
      <c r="W234" s="322"/>
      <c r="X234" s="322"/>
    </row>
    <row r="235" spans="1:24" ht="11.25">
      <c r="A235" s="321"/>
      <c r="B235" s="322"/>
      <c r="C235" s="322"/>
      <c r="D235" s="322"/>
      <c r="E235" s="322"/>
      <c r="F235" s="323"/>
      <c r="G235" s="323"/>
      <c r="H235" s="323"/>
      <c r="I235" s="322"/>
      <c r="J235" s="322"/>
      <c r="K235" s="323"/>
      <c r="L235" s="323"/>
      <c r="M235" s="362"/>
      <c r="N235" s="322"/>
      <c r="P235" s="322"/>
      <c r="Q235" s="322"/>
      <c r="R235" s="322"/>
      <c r="S235" s="322"/>
      <c r="T235" s="550"/>
      <c r="U235" s="333"/>
      <c r="V235" s="323"/>
      <c r="W235" s="322"/>
      <c r="X235" s="322"/>
    </row>
    <row r="236" spans="1:24" ht="11.25">
      <c r="A236" s="321" t="s">
        <v>106</v>
      </c>
      <c r="B236" s="322"/>
      <c r="C236" s="322"/>
      <c r="D236" s="322"/>
      <c r="E236" s="323"/>
      <c r="F236" s="322"/>
      <c r="G236" s="322"/>
      <c r="H236" s="323"/>
      <c r="I236" s="322" t="s">
        <v>860</v>
      </c>
      <c r="J236" s="322"/>
      <c r="K236" s="322"/>
      <c r="L236" s="323"/>
      <c r="M236" s="362"/>
      <c r="N236" s="322"/>
      <c r="P236" s="322"/>
      <c r="Q236" s="322"/>
      <c r="R236" s="322"/>
      <c r="S236" s="322"/>
      <c r="T236" s="550"/>
      <c r="U236" s="333"/>
      <c r="V236" s="323"/>
      <c r="W236" s="322"/>
      <c r="X236" s="322"/>
    </row>
    <row r="237" spans="1:24" ht="11.25">
      <c r="A237" s="321"/>
      <c r="B237" s="322"/>
      <c r="C237" s="322"/>
      <c r="D237" s="322"/>
      <c r="E237" s="323"/>
      <c r="F237" s="322"/>
      <c r="G237" s="322"/>
      <c r="H237" s="322"/>
      <c r="I237" s="322"/>
      <c r="J237" s="322"/>
      <c r="K237" s="322"/>
      <c r="L237" s="323"/>
      <c r="M237" s="362"/>
      <c r="N237" s="322"/>
      <c r="P237" s="322"/>
      <c r="Q237" s="322"/>
      <c r="R237" s="322"/>
      <c r="S237" s="322"/>
      <c r="T237" s="322"/>
      <c r="U237" s="322"/>
      <c r="V237" s="322"/>
      <c r="W237" s="322"/>
      <c r="X237" s="322"/>
    </row>
    <row r="238" spans="1:24" ht="11.25">
      <c r="A238" s="645" t="s">
        <v>771</v>
      </c>
      <c r="B238" s="631"/>
      <c r="C238" s="637">
        <v>6.25</v>
      </c>
      <c r="D238" s="619">
        <f>C233</f>
        <v>0</v>
      </c>
      <c r="E238" s="351">
        <f>ROUND(C238*$G$5,2)*D238</f>
        <v>0</v>
      </c>
      <c r="F238" s="322"/>
      <c r="G238" s="322"/>
      <c r="H238" s="323"/>
      <c r="I238" s="603" t="s">
        <v>810</v>
      </c>
      <c r="J238" s="346"/>
      <c r="K238" s="628">
        <v>1110.26</v>
      </c>
      <c r="L238" s="626">
        <f>K234</f>
        <v>0</v>
      </c>
      <c r="M238" s="657">
        <f>ROUND(K238*G5,2)*K234</f>
        <v>0</v>
      </c>
      <c r="N238" s="322"/>
      <c r="P238" s="322"/>
      <c r="Q238" s="322"/>
      <c r="R238" s="322"/>
      <c r="S238" s="322"/>
      <c r="T238" s="550"/>
      <c r="U238" s="713"/>
      <c r="V238" s="323"/>
      <c r="W238" s="322"/>
      <c r="X238" s="322"/>
    </row>
    <row r="239" spans="1:24" ht="11.25">
      <c r="A239" s="557" t="s">
        <v>774</v>
      </c>
      <c r="B239" s="355"/>
      <c r="C239" s="622">
        <v>3406.56</v>
      </c>
      <c r="D239" s="621">
        <f>C234</f>
        <v>0</v>
      </c>
      <c r="E239" s="351">
        <f>ROUND(C239*$G$5,2)*D239</f>
        <v>0</v>
      </c>
      <c r="F239" s="322"/>
      <c r="G239" s="322"/>
      <c r="H239" s="323"/>
      <c r="I239" s="604" t="s">
        <v>811</v>
      </c>
      <c r="J239" s="347"/>
      <c r="K239" s="625">
        <v>0.46</v>
      </c>
      <c r="L239" s="368">
        <f>K233</f>
        <v>0</v>
      </c>
      <c r="M239" s="609">
        <f>ROUND(K239*$G$5,2)*L239</f>
        <v>0</v>
      </c>
      <c r="N239" s="322"/>
      <c r="P239" s="322"/>
      <c r="Q239" s="322"/>
      <c r="R239" s="322"/>
      <c r="S239" s="322"/>
      <c r="T239" s="322"/>
      <c r="U239" s="322"/>
      <c r="V239" s="322"/>
      <c r="W239" s="322"/>
      <c r="X239" s="322"/>
    </row>
    <row r="240" spans="1:24" ht="11.25">
      <c r="A240" s="557" t="s">
        <v>772</v>
      </c>
      <c r="B240" s="355"/>
      <c r="C240" s="625">
        <v>4.06</v>
      </c>
      <c r="D240" s="368">
        <f>C233</f>
        <v>0</v>
      </c>
      <c r="E240" s="351">
        <f>ROUND(C240*$G$5,2)*D240</f>
        <v>0</v>
      </c>
      <c r="F240" s="322"/>
      <c r="G240" s="322"/>
      <c r="H240" s="323"/>
      <c r="I240" s="604" t="s">
        <v>812</v>
      </c>
      <c r="J240" s="347"/>
      <c r="K240" s="622">
        <v>3072.03</v>
      </c>
      <c r="L240" s="621">
        <f>K234</f>
        <v>0</v>
      </c>
      <c r="M240" s="609">
        <f>ROUND(K240*$G$5,2)*L240</f>
        <v>0</v>
      </c>
      <c r="N240" s="322"/>
      <c r="P240" s="322"/>
      <c r="Q240" s="322"/>
      <c r="R240" s="322"/>
      <c r="S240" s="322"/>
      <c r="T240" s="322"/>
      <c r="U240" s="322"/>
      <c r="V240" s="322"/>
      <c r="W240" s="322"/>
      <c r="X240" s="322"/>
    </row>
    <row r="241" spans="1:24" ht="11.25">
      <c r="A241" s="557" t="s">
        <v>776</v>
      </c>
      <c r="B241" s="355"/>
      <c r="C241" s="633"/>
      <c r="D241" s="650"/>
      <c r="E241" s="351"/>
      <c r="F241" s="322"/>
      <c r="G241" s="322"/>
      <c r="H241" s="323"/>
      <c r="I241" s="604" t="s">
        <v>813</v>
      </c>
      <c r="J241" s="347"/>
      <c r="K241" s="625">
        <v>3.88</v>
      </c>
      <c r="L241" s="368">
        <f>K233</f>
        <v>0</v>
      </c>
      <c r="M241" s="609">
        <f>ROUND(K241*$G$5,2)*L241</f>
        <v>0</v>
      </c>
      <c r="N241" s="322"/>
      <c r="P241" s="322"/>
      <c r="Q241" s="322"/>
      <c r="R241" s="322"/>
      <c r="S241" s="322"/>
      <c r="T241" s="333"/>
      <c r="U241" s="333"/>
      <c r="V241" s="323"/>
      <c r="W241" s="322"/>
      <c r="X241" s="322"/>
    </row>
    <row r="242" spans="1:24" ht="11.25">
      <c r="A242" s="557" t="s">
        <v>778</v>
      </c>
      <c r="B242" s="355"/>
      <c r="C242" s="622">
        <v>13949.51</v>
      </c>
      <c r="D242" s="621">
        <f>ROUND('zg afspraak'!G21,0)</f>
        <v>0</v>
      </c>
      <c r="E242" s="351">
        <f aca="true" t="shared" si="6" ref="E242:E247">ROUND(C242*$G$5,2)*D242</f>
        <v>0</v>
      </c>
      <c r="F242" s="322"/>
      <c r="G242" s="322"/>
      <c r="H242" s="323"/>
      <c r="I242" s="604" t="s">
        <v>814</v>
      </c>
      <c r="J242" s="347"/>
      <c r="K242" s="622">
        <v>1221.86</v>
      </c>
      <c r="L242" s="621">
        <f>K234</f>
        <v>0</v>
      </c>
      <c r="M242" s="609">
        <f>ROUND(K242*$G$5,2)*L242</f>
        <v>0</v>
      </c>
      <c r="N242" s="322"/>
      <c r="P242" s="322"/>
      <c r="Q242" s="322"/>
      <c r="R242" s="322"/>
      <c r="S242" s="322"/>
      <c r="T242" s="322"/>
      <c r="U242" s="322"/>
      <c r="V242" s="322"/>
      <c r="W242" s="322"/>
      <c r="X242" s="322"/>
    </row>
    <row r="243" spans="1:24" ht="11.25">
      <c r="A243" s="557" t="s">
        <v>777</v>
      </c>
      <c r="B243" s="355"/>
      <c r="C243" s="625">
        <v>16.38</v>
      </c>
      <c r="D243" s="368">
        <f>'zg afspraak'!M21</f>
        <v>0</v>
      </c>
      <c r="E243" s="351">
        <f t="shared" si="6"/>
        <v>0</v>
      </c>
      <c r="F243" s="322"/>
      <c r="G243" s="322"/>
      <c r="H243" s="323"/>
      <c r="I243" s="604" t="s">
        <v>87</v>
      </c>
      <c r="J243" s="347"/>
      <c r="K243" s="622">
        <v>8526.49</v>
      </c>
      <c r="L243" s="621">
        <f>K234</f>
        <v>0</v>
      </c>
      <c r="M243" s="609">
        <f>ROUND(K243*$G$5,2)*L243</f>
        <v>0</v>
      </c>
      <c r="N243" s="322"/>
      <c r="P243" s="322"/>
      <c r="Q243" s="322"/>
      <c r="R243" s="322"/>
      <c r="S243" s="322"/>
      <c r="T243" s="322"/>
      <c r="U243" s="322"/>
      <c r="V243" s="322"/>
      <c r="W243" s="322"/>
      <c r="X243" s="322"/>
    </row>
    <row r="244" spans="1:24" ht="11.25">
      <c r="A244" s="557" t="s">
        <v>780</v>
      </c>
      <c r="B244" s="355"/>
      <c r="C244" s="622">
        <v>17415.25</v>
      </c>
      <c r="D244" s="621">
        <f>ROUND('zg afspraak'!G22,0)</f>
        <v>0</v>
      </c>
      <c r="E244" s="351">
        <f t="shared" si="6"/>
        <v>0</v>
      </c>
      <c r="F244" s="322"/>
      <c r="G244" s="322"/>
      <c r="H244" s="323"/>
      <c r="I244" s="604" t="s">
        <v>823</v>
      </c>
      <c r="J244" s="355"/>
      <c r="K244" s="355"/>
      <c r="L244" s="355"/>
      <c r="M244" s="609"/>
      <c r="N244" s="322"/>
      <c r="P244" s="322"/>
      <c r="Q244" s="322"/>
      <c r="R244" s="322"/>
      <c r="S244" s="322"/>
      <c r="T244" s="322"/>
      <c r="U244" s="322"/>
      <c r="V244" s="322"/>
      <c r="W244" s="322"/>
      <c r="X244" s="322"/>
    </row>
    <row r="245" spans="1:24" ht="11.25">
      <c r="A245" s="557" t="s">
        <v>779</v>
      </c>
      <c r="B245" s="355"/>
      <c r="C245" s="625">
        <v>20.44</v>
      </c>
      <c r="D245" s="368">
        <f>'zg afspraak'!M22</f>
        <v>0</v>
      </c>
      <c r="E245" s="351">
        <f t="shared" si="6"/>
        <v>0</v>
      </c>
      <c r="F245" s="322"/>
      <c r="G245" s="322"/>
      <c r="H245" s="323"/>
      <c r="I245" s="604" t="s">
        <v>824</v>
      </c>
      <c r="J245" s="347"/>
      <c r="K245" s="625">
        <v>56.58</v>
      </c>
      <c r="L245" s="368">
        <f>'zg afspraak'!G64</f>
        <v>0</v>
      </c>
      <c r="M245" s="609">
        <f>ROUND(K245*$G$5,2)*L245</f>
        <v>0</v>
      </c>
      <c r="N245" s="322"/>
      <c r="P245" s="322"/>
      <c r="Q245" s="322"/>
      <c r="R245" s="322"/>
      <c r="S245" s="322"/>
      <c r="T245" s="322"/>
      <c r="U245" s="322"/>
      <c r="V245" s="322"/>
      <c r="W245" s="322"/>
      <c r="X245" s="322"/>
    </row>
    <row r="246" spans="1:24" ht="11.25">
      <c r="A246" s="557" t="s">
        <v>782</v>
      </c>
      <c r="B246" s="355"/>
      <c r="C246" s="622">
        <f>+C244</f>
        <v>17415.25</v>
      </c>
      <c r="D246" s="621">
        <f>ROUND('zg afspraak'!G23,0)</f>
        <v>0</v>
      </c>
      <c r="E246" s="351">
        <f t="shared" si="6"/>
        <v>0</v>
      </c>
      <c r="F246" s="322"/>
      <c r="G246" s="322"/>
      <c r="H246" s="323"/>
      <c r="I246" s="604" t="s">
        <v>825</v>
      </c>
      <c r="J246" s="347"/>
      <c r="K246" s="625">
        <v>50.15</v>
      </c>
      <c r="L246" s="368">
        <f>'zg afspraak'!G65</f>
        <v>0</v>
      </c>
      <c r="M246" s="609">
        <f>ROUND(K246*$G$5,2)*L246</f>
        <v>0</v>
      </c>
      <c r="N246" s="322"/>
      <c r="P246" s="322"/>
      <c r="Q246" s="322"/>
      <c r="R246" s="322"/>
      <c r="S246" s="322"/>
      <c r="T246" s="322"/>
      <c r="U246" s="322"/>
      <c r="V246" s="322"/>
      <c r="W246" s="322"/>
      <c r="X246" s="322"/>
    </row>
    <row r="247" spans="1:24" ht="11.25">
      <c r="A247" s="557" t="s">
        <v>781</v>
      </c>
      <c r="B247" s="355"/>
      <c r="C247" s="625">
        <v>20.44</v>
      </c>
      <c r="D247" s="368">
        <f>'zg afspraak'!M23</f>
        <v>0</v>
      </c>
      <c r="E247" s="351">
        <f t="shared" si="6"/>
        <v>0</v>
      </c>
      <c r="F247" s="322"/>
      <c r="G247" s="322"/>
      <c r="H247" s="323"/>
      <c r="I247" s="352" t="s">
        <v>862</v>
      </c>
      <c r="J247" s="347"/>
      <c r="K247" s="625">
        <v>70.48</v>
      </c>
      <c r="L247" s="368">
        <f>'zg afspraak'!G66</f>
        <v>0</v>
      </c>
      <c r="M247" s="609">
        <f>ROUND(K247*$G$5,2)*L247</f>
        <v>0</v>
      </c>
      <c r="N247" s="322"/>
      <c r="P247" s="322"/>
      <c r="Q247" s="322"/>
      <c r="R247" s="322"/>
      <c r="S247" s="322"/>
      <c r="T247" s="322"/>
      <c r="U247" s="322"/>
      <c r="V247" s="322"/>
      <c r="W247" s="322"/>
      <c r="X247" s="322"/>
    </row>
    <row r="248" spans="1:24" ht="11.25">
      <c r="A248" s="557" t="s">
        <v>783</v>
      </c>
      <c r="B248" s="355"/>
      <c r="C248" s="355"/>
      <c r="D248" s="650"/>
      <c r="E248" s="351"/>
      <c r="F248" s="322"/>
      <c r="G248" s="322"/>
      <c r="H248" s="323"/>
      <c r="I248" s="604" t="s">
        <v>827</v>
      </c>
      <c r="J248" s="641"/>
      <c r="K248" s="355"/>
      <c r="L248" s="355"/>
      <c r="M248" s="609"/>
      <c r="N248" s="322"/>
      <c r="V248" s="322"/>
      <c r="W248" s="322"/>
      <c r="X248" s="322"/>
    </row>
    <row r="249" spans="1:24" ht="11.25">
      <c r="A249" s="557" t="s">
        <v>785</v>
      </c>
      <c r="B249" s="355"/>
      <c r="C249" s="622">
        <v>10603.06</v>
      </c>
      <c r="D249" s="621">
        <f>ROUND('zg afspraak'!G24,0)</f>
        <v>0</v>
      </c>
      <c r="E249" s="351">
        <f>ROUND(C249*$G$5,2)*D249</f>
        <v>0</v>
      </c>
      <c r="F249" s="322"/>
      <c r="G249" s="322"/>
      <c r="H249" s="323"/>
      <c r="I249" s="604" t="s">
        <v>824</v>
      </c>
      <c r="J249" s="347"/>
      <c r="K249" s="625">
        <v>39.01</v>
      </c>
      <c r="L249" s="368">
        <f>'zg afspraak'!G72</f>
        <v>0</v>
      </c>
      <c r="M249" s="609">
        <f>ROUND(K249*$G$5,2)*L249</f>
        <v>0</v>
      </c>
      <c r="N249" s="322"/>
      <c r="P249" s="322"/>
      <c r="Q249" s="322"/>
      <c r="R249" s="322"/>
      <c r="S249" s="322"/>
      <c r="T249" s="333"/>
      <c r="U249" s="333"/>
      <c r="V249" s="323"/>
      <c r="W249" s="322"/>
      <c r="X249" s="322"/>
    </row>
    <row r="250" spans="1:24" ht="11.25">
      <c r="A250" s="557" t="s">
        <v>784</v>
      </c>
      <c r="B250" s="355"/>
      <c r="C250" s="625">
        <v>12.45</v>
      </c>
      <c r="D250" s="368">
        <f>'zg afspraak'!M24</f>
        <v>0</v>
      </c>
      <c r="E250" s="351">
        <f>ROUND(C250*$G$5,2)*D250</f>
        <v>0</v>
      </c>
      <c r="F250" s="322"/>
      <c r="G250" s="322"/>
      <c r="H250" s="323"/>
      <c r="I250" s="604" t="s">
        <v>825</v>
      </c>
      <c r="J250" s="347"/>
      <c r="K250" s="625">
        <v>33.58</v>
      </c>
      <c r="L250" s="368">
        <f>'zg afspraak'!G73</f>
        <v>0</v>
      </c>
      <c r="M250" s="609">
        <f>ROUND(K250*$G$5,2)*L250</f>
        <v>0</v>
      </c>
      <c r="N250" s="322"/>
      <c r="P250" s="322"/>
      <c r="Q250" s="322"/>
      <c r="R250" s="322"/>
      <c r="S250" s="322"/>
      <c r="T250" s="322"/>
      <c r="U250" s="322"/>
      <c r="V250" s="322"/>
      <c r="W250" s="322"/>
      <c r="X250" s="322"/>
    </row>
    <row r="251" spans="1:24" ht="11.25">
      <c r="A251" s="557" t="s">
        <v>787</v>
      </c>
      <c r="B251" s="355"/>
      <c r="C251" s="622">
        <v>13230.44</v>
      </c>
      <c r="D251" s="621">
        <f>ROUND('zg afspraak'!G25,0)</f>
        <v>0</v>
      </c>
      <c r="E251" s="351">
        <f>ROUND(C251*$G$5,2)*D251</f>
        <v>0</v>
      </c>
      <c r="F251" s="322"/>
      <c r="G251" s="322"/>
      <c r="H251" s="323"/>
      <c r="I251" s="604" t="s">
        <v>826</v>
      </c>
      <c r="J251" s="347"/>
      <c r="K251" s="625">
        <v>50.67</v>
      </c>
      <c r="L251" s="368">
        <f>'zg afspraak'!G74</f>
        <v>0</v>
      </c>
      <c r="M251" s="609">
        <f>ROUND(K251*$G$5,2)*L251</f>
        <v>0</v>
      </c>
      <c r="N251" s="322"/>
      <c r="P251" s="322"/>
      <c r="Q251" s="322"/>
      <c r="R251" s="322"/>
      <c r="S251" s="322"/>
      <c r="T251" s="322"/>
      <c r="U251" s="322"/>
      <c r="V251" s="322"/>
      <c r="W251" s="322"/>
      <c r="X251" s="322"/>
    </row>
    <row r="252" spans="1:24" ht="11.25">
      <c r="A252" s="557" t="s">
        <v>786</v>
      </c>
      <c r="B252" s="355"/>
      <c r="C252" s="625">
        <v>15.53</v>
      </c>
      <c r="D252" s="368">
        <f>'zg afspraak'!M25</f>
        <v>0</v>
      </c>
      <c r="E252" s="351">
        <f>ROUND(C252*$G$5,2)*D252</f>
        <v>0</v>
      </c>
      <c r="F252" s="322"/>
      <c r="G252" s="322"/>
      <c r="H252" s="323"/>
      <c r="I252" s="604" t="s">
        <v>809</v>
      </c>
      <c r="J252" s="347"/>
      <c r="K252" s="622">
        <v>571.97</v>
      </c>
      <c r="L252" s="775">
        <f>K234</f>
        <v>0</v>
      </c>
      <c r="M252" s="609">
        <f>ROUND(K252*$G$5,2)*L252</f>
        <v>0</v>
      </c>
      <c r="N252" s="322"/>
      <c r="P252" s="322"/>
      <c r="Q252" s="322"/>
      <c r="R252" s="322"/>
      <c r="S252" s="322"/>
      <c r="T252" s="322"/>
      <c r="U252" s="322"/>
      <c r="V252" s="322"/>
      <c r="W252" s="322"/>
      <c r="X252" s="322"/>
    </row>
    <row r="253" spans="1:24" ht="11.25">
      <c r="A253" s="557" t="s">
        <v>788</v>
      </c>
      <c r="B253" s="355"/>
      <c r="C253" s="355"/>
      <c r="D253" s="650"/>
      <c r="E253" s="351"/>
      <c r="F253" s="322"/>
      <c r="G253" s="322"/>
      <c r="H253" s="323"/>
      <c r="I253" s="605" t="s">
        <v>826</v>
      </c>
      <c r="J253" s="348"/>
      <c r="K253" s="638">
        <v>3.19</v>
      </c>
      <c r="L253" s="639">
        <f>L247+L251</f>
        <v>0</v>
      </c>
      <c r="M253" s="610">
        <f>ROUND(K253*$G$5,2)*L253</f>
        <v>0</v>
      </c>
      <c r="N253" s="322"/>
      <c r="P253" s="322"/>
      <c r="Q253" s="322"/>
      <c r="R253" s="322"/>
      <c r="S253" s="322"/>
      <c r="T253" s="322"/>
      <c r="U253" s="322"/>
      <c r="V253" s="322"/>
      <c r="W253" s="322"/>
      <c r="X253" s="322"/>
    </row>
    <row r="254" spans="1:24" ht="11.25">
      <c r="A254" s="557" t="s">
        <v>790</v>
      </c>
      <c r="B254" s="355"/>
      <c r="C254" s="622">
        <v>1313.7</v>
      </c>
      <c r="D254" s="621">
        <f>ROUND('zg afspraak'!G33,0)</f>
        <v>0</v>
      </c>
      <c r="E254" s="351">
        <f aca="true" t="shared" si="7" ref="E254:E259">ROUND(C254*$G$5,2)*D254</f>
        <v>0</v>
      </c>
      <c r="F254" s="322"/>
      <c r="G254" s="322"/>
      <c r="H254" s="323"/>
      <c r="I254" s="322"/>
      <c r="J254" s="322"/>
      <c r="K254" s="322"/>
      <c r="L254" s="333"/>
      <c r="M254" s="750"/>
      <c r="N254" s="322"/>
      <c r="P254" s="322"/>
      <c r="Q254" s="322"/>
      <c r="R254" s="322"/>
      <c r="S254" s="322"/>
      <c r="T254" s="333"/>
      <c r="U254" s="333"/>
      <c r="V254" s="323"/>
      <c r="W254" s="322"/>
      <c r="X254" s="322"/>
    </row>
    <row r="255" spans="1:24" ht="11.25">
      <c r="A255" s="557" t="s">
        <v>789</v>
      </c>
      <c r="B255" s="355"/>
      <c r="C255" s="625">
        <v>1.54</v>
      </c>
      <c r="D255" s="368">
        <f>'zg afspraak'!M33</f>
        <v>0</v>
      </c>
      <c r="E255" s="351">
        <f t="shared" si="7"/>
        <v>0</v>
      </c>
      <c r="F255" s="322"/>
      <c r="G255" s="322"/>
      <c r="H255" s="323"/>
      <c r="I255" s="618" t="s">
        <v>858</v>
      </c>
      <c r="J255" s="345"/>
      <c r="K255" s="359"/>
      <c r="L255" s="616"/>
      <c r="M255" s="649">
        <f>SUM(M238:M253)</f>
        <v>0</v>
      </c>
      <c r="N255" s="322"/>
      <c r="P255" s="322"/>
      <c r="Q255" s="322"/>
      <c r="R255" s="322"/>
      <c r="S255" s="322"/>
      <c r="T255" s="322"/>
      <c r="U255" s="322"/>
      <c r="V255" s="322"/>
      <c r="W255" s="322"/>
      <c r="X255" s="322"/>
    </row>
    <row r="256" spans="1:24" ht="11.25">
      <c r="A256" s="557" t="s">
        <v>792</v>
      </c>
      <c r="B256" s="355"/>
      <c r="C256" s="622">
        <v>1922.14</v>
      </c>
      <c r="D256" s="621">
        <f>ROUND('zg afspraak'!G34,0)</f>
        <v>0</v>
      </c>
      <c r="E256" s="351">
        <f t="shared" si="7"/>
        <v>0</v>
      </c>
      <c r="F256" s="322"/>
      <c r="G256" s="322"/>
      <c r="H256" s="322"/>
      <c r="I256" s="322"/>
      <c r="J256" s="322"/>
      <c r="K256" s="322"/>
      <c r="L256" s="323"/>
      <c r="M256" s="362"/>
      <c r="N256" s="322"/>
      <c r="P256" s="322"/>
      <c r="Q256" s="322"/>
      <c r="R256" s="322"/>
      <c r="S256" s="322"/>
      <c r="T256" s="322"/>
      <c r="U256" s="322"/>
      <c r="V256" s="322"/>
      <c r="W256" s="322"/>
      <c r="X256" s="322"/>
    </row>
    <row r="257" spans="1:24" ht="11.25">
      <c r="A257" s="557" t="s">
        <v>791</v>
      </c>
      <c r="B257" s="355"/>
      <c r="C257" s="625">
        <v>2.26</v>
      </c>
      <c r="D257" s="368">
        <f>'zg afspraak'!M34</f>
        <v>0</v>
      </c>
      <c r="E257" s="351">
        <f t="shared" si="7"/>
        <v>0</v>
      </c>
      <c r="F257" s="322"/>
      <c r="G257" s="322"/>
      <c r="H257" s="323"/>
      <c r="I257" s="322" t="s">
        <v>103</v>
      </c>
      <c r="J257" s="322"/>
      <c r="K257" s="322"/>
      <c r="L257" s="322"/>
      <c r="M257" s="718"/>
      <c r="N257" s="322"/>
      <c r="P257" s="329"/>
      <c r="Q257" s="322"/>
      <c r="R257" s="322"/>
      <c r="S257" s="322"/>
      <c r="T257" s="322"/>
      <c r="U257" s="322"/>
      <c r="V257" s="322"/>
      <c r="W257" s="322"/>
      <c r="X257" s="322"/>
    </row>
    <row r="258" spans="1:24" ht="11.25">
      <c r="A258" s="557" t="s">
        <v>787</v>
      </c>
      <c r="B258" s="355"/>
      <c r="C258" s="622">
        <v>2184.88</v>
      </c>
      <c r="D258" s="621">
        <f>ROUND('zg afspraak'!G35,0)</f>
        <v>0</v>
      </c>
      <c r="E258" s="351">
        <f t="shared" si="7"/>
        <v>0</v>
      </c>
      <c r="F258" s="322"/>
      <c r="G258" s="322"/>
      <c r="H258" s="323"/>
      <c r="I258" s="322"/>
      <c r="J258" s="322"/>
      <c r="K258" s="322"/>
      <c r="L258" s="323"/>
      <c r="M258" s="362"/>
      <c r="N258" s="322"/>
      <c r="P258" s="322"/>
      <c r="Q258" s="322"/>
      <c r="R258" s="322"/>
      <c r="S258" s="322"/>
      <c r="T258" s="322"/>
      <c r="U258" s="322"/>
      <c r="V258" s="322"/>
      <c r="W258" s="322"/>
      <c r="X258" s="322"/>
    </row>
    <row r="259" spans="1:24" ht="12" thickBot="1">
      <c r="A259" s="557" t="s">
        <v>786</v>
      </c>
      <c r="B259" s="355"/>
      <c r="C259" s="625">
        <v>2.56</v>
      </c>
      <c r="D259" s="368">
        <f>'zg afspraak'!M35</f>
        <v>0</v>
      </c>
      <c r="E259" s="351">
        <f t="shared" si="7"/>
        <v>0</v>
      </c>
      <c r="F259" s="322"/>
      <c r="G259" s="322"/>
      <c r="H259" s="323"/>
      <c r="I259" s="603" t="s">
        <v>828</v>
      </c>
      <c r="J259" s="346"/>
      <c r="K259" s="628">
        <v>1557.27</v>
      </c>
      <c r="L259" s="776">
        <f>K234</f>
        <v>0</v>
      </c>
      <c r="M259" s="720">
        <f>ROUND(K259*$G$6,2)*L259</f>
        <v>0</v>
      </c>
      <c r="N259" s="325"/>
      <c r="P259" s="322"/>
      <c r="Q259" s="322"/>
      <c r="R259" s="322"/>
      <c r="S259" s="322"/>
      <c r="T259" s="333"/>
      <c r="U259" s="333"/>
      <c r="V259" s="323"/>
      <c r="W259" s="322"/>
      <c r="X259" s="322"/>
    </row>
    <row r="260" spans="1:24" ht="11.25">
      <c r="A260" s="557" t="s">
        <v>805</v>
      </c>
      <c r="B260" s="355"/>
      <c r="C260" s="633"/>
      <c r="D260" s="650"/>
      <c r="E260" s="351"/>
      <c r="F260" s="322"/>
      <c r="G260" s="322"/>
      <c r="H260" s="323"/>
      <c r="I260" s="604" t="s">
        <v>815</v>
      </c>
      <c r="J260" s="347"/>
      <c r="K260" s="625">
        <v>7.52</v>
      </c>
      <c r="L260" s="775">
        <f>'zg afspraak'!G59</f>
        <v>0</v>
      </c>
      <c r="M260" s="609">
        <f>ROUND(K260*$G$6,2)*L260</f>
        <v>0</v>
      </c>
      <c r="P260" s="322"/>
      <c r="Q260" s="322"/>
      <c r="R260" s="322"/>
      <c r="S260" s="322"/>
      <c r="T260" s="322"/>
      <c r="U260" s="322"/>
      <c r="V260" s="322"/>
      <c r="W260" s="322"/>
      <c r="X260" s="322"/>
    </row>
    <row r="261" spans="1:24" ht="11.25">
      <c r="A261" s="557" t="s">
        <v>790</v>
      </c>
      <c r="B261" s="355"/>
      <c r="C261" s="622">
        <v>1021.56</v>
      </c>
      <c r="D261" s="621">
        <f>ROUND('zg afspraak'!G33,0)</f>
        <v>0</v>
      </c>
      <c r="E261" s="351">
        <f aca="true" t="shared" si="8" ref="E261:E269">ROUND(C261*$G$5,2)*D261</f>
        <v>0</v>
      </c>
      <c r="F261" s="322"/>
      <c r="G261" s="322"/>
      <c r="H261" s="323"/>
      <c r="I261" s="605" t="s">
        <v>115</v>
      </c>
      <c r="J261" s="348"/>
      <c r="K261" s="623">
        <v>291.12</v>
      </c>
      <c r="L261" s="777">
        <f>K234</f>
        <v>0</v>
      </c>
      <c r="M261" s="610">
        <f>ROUND(K261*$G$6,2)*L261</f>
        <v>0</v>
      </c>
      <c r="P261" s="322"/>
      <c r="Q261" s="322"/>
      <c r="R261" s="322"/>
      <c r="S261" s="322"/>
      <c r="T261" s="333"/>
      <c r="U261" s="333"/>
      <c r="V261" s="323"/>
      <c r="W261" s="322"/>
      <c r="X261" s="322"/>
    </row>
    <row r="262" spans="1:24" ht="11.25">
      <c r="A262" s="557" t="s">
        <v>789</v>
      </c>
      <c r="B262" s="355"/>
      <c r="C262" s="636">
        <v>1.2</v>
      </c>
      <c r="D262" s="368">
        <f>'zg afspraak'!M42</f>
        <v>0</v>
      </c>
      <c r="E262" s="351">
        <f t="shared" si="8"/>
        <v>0</v>
      </c>
      <c r="F262" s="322"/>
      <c r="G262" s="322"/>
      <c r="H262" s="322"/>
      <c r="I262" s="322"/>
      <c r="J262" s="322"/>
      <c r="K262" s="322"/>
      <c r="L262" s="323"/>
      <c r="M262" s="362"/>
      <c r="P262" s="322"/>
      <c r="Q262" s="322"/>
      <c r="R262" s="322"/>
      <c r="S262" s="322"/>
      <c r="T262" s="322"/>
      <c r="U262" s="322"/>
      <c r="V262" s="322"/>
      <c r="W262" s="322"/>
      <c r="X262" s="322"/>
    </row>
    <row r="263" spans="1:24" ht="11.25">
      <c r="A263" s="557" t="s">
        <v>792</v>
      </c>
      <c r="B263" s="355"/>
      <c r="C263" s="622">
        <v>1382.84</v>
      </c>
      <c r="D263" s="621">
        <f>ROUND('zg afspraak'!G34,0)</f>
        <v>0</v>
      </c>
      <c r="E263" s="351">
        <f t="shared" si="8"/>
        <v>0</v>
      </c>
      <c r="F263" s="322"/>
      <c r="G263" s="322"/>
      <c r="H263" s="323"/>
      <c r="I263" s="618" t="s">
        <v>859</v>
      </c>
      <c r="J263" s="345"/>
      <c r="K263" s="615"/>
      <c r="L263" s="345"/>
      <c r="M263" s="649">
        <f>SUM(M259:M261)</f>
        <v>0</v>
      </c>
      <c r="P263" s="322"/>
      <c r="Q263" s="322"/>
      <c r="R263" s="322"/>
      <c r="S263" s="322"/>
      <c r="T263" s="322"/>
      <c r="U263" s="322"/>
      <c r="V263" s="322"/>
      <c r="W263" s="322"/>
      <c r="X263" s="322"/>
    </row>
    <row r="264" spans="1:24" ht="11.25">
      <c r="A264" s="557" t="s">
        <v>791</v>
      </c>
      <c r="B264" s="355"/>
      <c r="C264" s="625">
        <v>1.62</v>
      </c>
      <c r="D264" s="368">
        <f>'zg afspraak'!M43</f>
        <v>0</v>
      </c>
      <c r="E264" s="351">
        <f t="shared" si="8"/>
        <v>0</v>
      </c>
      <c r="F264" s="322"/>
      <c r="G264" s="322"/>
      <c r="H264" s="323"/>
      <c r="I264" s="322"/>
      <c r="J264" s="322"/>
      <c r="K264" s="322"/>
      <c r="L264" s="333"/>
      <c r="M264" s="721"/>
      <c r="O264" s="322"/>
      <c r="P264" s="322"/>
      <c r="Q264" s="322"/>
      <c r="R264" s="322"/>
      <c r="S264" s="322"/>
      <c r="T264" s="322"/>
      <c r="U264" s="322"/>
      <c r="V264" s="322"/>
      <c r="W264" s="322"/>
      <c r="X264" s="322"/>
    </row>
    <row r="265" spans="1:24" ht="11.25">
      <c r="A265" s="557" t="s">
        <v>787</v>
      </c>
      <c r="B265" s="355"/>
      <c r="C265" s="622">
        <v>1801.15</v>
      </c>
      <c r="D265" s="621">
        <f>ROUND('zg afspraak'!G35,0)</f>
        <v>0</v>
      </c>
      <c r="E265" s="351">
        <f t="shared" si="8"/>
        <v>0</v>
      </c>
      <c r="F265" s="322"/>
      <c r="G265" s="322"/>
      <c r="H265" s="322"/>
      <c r="I265" s="322"/>
      <c r="J265" s="322"/>
      <c r="K265" s="322"/>
      <c r="L265" s="322"/>
      <c r="M265" s="362"/>
      <c r="O265" s="322"/>
      <c r="P265" s="322"/>
      <c r="Q265" s="322"/>
      <c r="R265" s="322"/>
      <c r="S265" s="322"/>
      <c r="T265" s="322"/>
      <c r="U265" s="322"/>
      <c r="V265" s="322"/>
      <c r="W265" s="322"/>
      <c r="X265" s="322"/>
    </row>
    <row r="266" spans="1:24" ht="11.25">
      <c r="A266" s="557" t="s">
        <v>786</v>
      </c>
      <c r="B266" s="355"/>
      <c r="C266" s="625">
        <v>2.12</v>
      </c>
      <c r="D266" s="368">
        <f>'zg afspraak'!M44</f>
        <v>0</v>
      </c>
      <c r="E266" s="351">
        <f t="shared" si="8"/>
        <v>0</v>
      </c>
      <c r="F266" s="322"/>
      <c r="G266" s="322"/>
      <c r="H266" s="322"/>
      <c r="I266" s="322"/>
      <c r="J266" s="322"/>
      <c r="K266" s="322"/>
      <c r="L266" s="322"/>
      <c r="M266" s="362"/>
      <c r="O266" s="322"/>
      <c r="P266" s="322"/>
      <c r="Q266" s="322"/>
      <c r="R266" s="322"/>
      <c r="S266" s="322"/>
      <c r="T266" s="322"/>
      <c r="U266" s="322"/>
      <c r="V266" s="322"/>
      <c r="W266" s="322"/>
      <c r="X266" s="322"/>
    </row>
    <row r="267" spans="1:24" ht="11.25">
      <c r="A267" s="557" t="s">
        <v>770</v>
      </c>
      <c r="B267" s="355"/>
      <c r="C267" s="622">
        <v>852.17</v>
      </c>
      <c r="D267" s="621">
        <f>ROUND('zg afspraak'!G8,0)</f>
        <v>0</v>
      </c>
      <c r="E267" s="351">
        <f t="shared" si="8"/>
        <v>0</v>
      </c>
      <c r="F267" s="322"/>
      <c r="G267" s="322"/>
      <c r="H267" s="323"/>
      <c r="I267" s="322"/>
      <c r="J267" s="322"/>
      <c r="K267" s="322"/>
      <c r="L267" s="333"/>
      <c r="M267" s="324"/>
      <c r="O267" s="322"/>
      <c r="P267" s="322"/>
      <c r="Q267" s="322"/>
      <c r="R267" s="322"/>
      <c r="S267" s="322"/>
      <c r="T267" s="322"/>
      <c r="U267" s="322"/>
      <c r="V267" s="322"/>
      <c r="W267" s="322"/>
      <c r="X267" s="322"/>
    </row>
    <row r="268" spans="1:24" ht="11.25">
      <c r="A268" s="557" t="s">
        <v>773</v>
      </c>
      <c r="B268" s="355"/>
      <c r="C268" s="636">
        <v>1</v>
      </c>
      <c r="D268" s="368">
        <f>C233</f>
        <v>0</v>
      </c>
      <c r="E268" s="351">
        <f t="shared" si="8"/>
        <v>0</v>
      </c>
      <c r="F268" s="322"/>
      <c r="G268" s="322"/>
      <c r="H268" s="323"/>
      <c r="I268" s="322"/>
      <c r="J268" s="322"/>
      <c r="K268" s="322"/>
      <c r="L268" s="333"/>
      <c r="M268" s="324"/>
      <c r="O268" s="322"/>
      <c r="P268" s="322"/>
      <c r="Q268" s="322"/>
      <c r="R268" s="322"/>
      <c r="S268" s="322"/>
      <c r="T268" s="322"/>
      <c r="U268" s="322"/>
      <c r="V268" s="322"/>
      <c r="W268" s="322"/>
      <c r="X268" s="322"/>
    </row>
    <row r="269" spans="1:24" ht="11.25">
      <c r="A269" s="647" t="s">
        <v>806</v>
      </c>
      <c r="B269" s="634"/>
      <c r="C269" s="638">
        <v>3.19</v>
      </c>
      <c r="D269" s="639">
        <f>D266</f>
        <v>0</v>
      </c>
      <c r="E269" s="351">
        <f t="shared" si="8"/>
        <v>0</v>
      </c>
      <c r="F269" s="322"/>
      <c r="G269" s="322"/>
      <c r="H269" s="323"/>
      <c r="I269" s="322"/>
      <c r="J269" s="322"/>
      <c r="K269" s="322"/>
      <c r="L269" s="333"/>
      <c r="M269" s="324"/>
      <c r="O269" s="322"/>
      <c r="P269" s="322"/>
      <c r="Q269" s="322"/>
      <c r="R269" s="322"/>
      <c r="S269" s="322"/>
      <c r="T269" s="322"/>
      <c r="U269" s="322"/>
      <c r="V269" s="322"/>
      <c r="W269" s="322"/>
      <c r="X269" s="322"/>
    </row>
    <row r="270" spans="1:24" ht="11.25">
      <c r="A270" s="321"/>
      <c r="B270" s="322"/>
      <c r="C270" s="322"/>
      <c r="D270" s="322"/>
      <c r="E270" s="323"/>
      <c r="F270" s="322"/>
      <c r="G270" s="322"/>
      <c r="H270" s="323"/>
      <c r="I270" s="322"/>
      <c r="J270" s="322"/>
      <c r="K270" s="322"/>
      <c r="L270" s="333"/>
      <c r="M270" s="324"/>
      <c r="O270" s="322"/>
      <c r="P270" s="322"/>
      <c r="Q270" s="322"/>
      <c r="R270" s="322"/>
      <c r="S270" s="322"/>
      <c r="T270" s="322"/>
      <c r="U270" s="322"/>
      <c r="V270" s="322"/>
      <c r="W270" s="322"/>
      <c r="X270" s="322"/>
    </row>
    <row r="271" spans="1:24" ht="11.25">
      <c r="A271" s="344" t="s">
        <v>858</v>
      </c>
      <c r="B271" s="345"/>
      <c r="C271" s="345"/>
      <c r="D271" s="616"/>
      <c r="E271" s="358">
        <f>SUM(E238:E269)</f>
        <v>0</v>
      </c>
      <c r="F271" s="322"/>
      <c r="G271" s="322"/>
      <c r="H271" s="323"/>
      <c r="I271" s="322"/>
      <c r="J271" s="322"/>
      <c r="K271" s="322"/>
      <c r="L271" s="333"/>
      <c r="M271" s="324"/>
      <c r="O271" s="322"/>
      <c r="P271" s="322"/>
      <c r="Q271" s="322"/>
      <c r="R271" s="322"/>
      <c r="S271" s="322"/>
      <c r="T271" s="322"/>
      <c r="U271" s="322"/>
      <c r="V271" s="322"/>
      <c r="W271" s="322"/>
      <c r="X271" s="322"/>
    </row>
    <row r="272" spans="1:24" ht="11.25">
      <c r="A272" s="321"/>
      <c r="B272" s="322"/>
      <c r="C272" s="322"/>
      <c r="D272" s="322"/>
      <c r="E272" s="323"/>
      <c r="F272" s="322"/>
      <c r="G272" s="322"/>
      <c r="H272" s="323"/>
      <c r="I272" s="322"/>
      <c r="J272" s="322"/>
      <c r="K272" s="322"/>
      <c r="L272" s="333"/>
      <c r="M272" s="324"/>
      <c r="P272" s="322"/>
      <c r="Q272" s="322"/>
      <c r="R272" s="322"/>
      <c r="S272" s="322"/>
      <c r="T272" s="322"/>
      <c r="U272" s="322"/>
      <c r="V272" s="323"/>
      <c r="W272" s="322"/>
      <c r="X272" s="322"/>
    </row>
    <row r="273" spans="1:24" ht="11.25">
      <c r="A273" s="321" t="s">
        <v>103</v>
      </c>
      <c r="B273" s="322"/>
      <c r="C273" s="322"/>
      <c r="D273" s="322"/>
      <c r="E273" s="323"/>
      <c r="F273" s="322"/>
      <c r="G273" s="322"/>
      <c r="H273" s="322"/>
      <c r="I273" s="322"/>
      <c r="J273" s="322"/>
      <c r="K273" s="322"/>
      <c r="L273" s="322"/>
      <c r="M273" s="362"/>
      <c r="P273" s="322"/>
      <c r="Q273" s="322"/>
      <c r="R273" s="322"/>
      <c r="S273" s="322"/>
      <c r="T273" s="322"/>
      <c r="U273" s="323"/>
      <c r="V273" s="322"/>
      <c r="W273" s="322"/>
      <c r="X273" s="322"/>
    </row>
    <row r="274" spans="1:24" ht="11.25">
      <c r="A274" s="321"/>
      <c r="B274" s="322"/>
      <c r="C274" s="322"/>
      <c r="D274" s="322"/>
      <c r="E274" s="323"/>
      <c r="F274" s="322"/>
      <c r="G274" s="322"/>
      <c r="H274" s="322"/>
      <c r="I274" s="322"/>
      <c r="J274" s="322"/>
      <c r="K274" s="322"/>
      <c r="L274" s="323"/>
      <c r="M274" s="362"/>
      <c r="N274" s="316"/>
      <c r="P274" s="322"/>
      <c r="Q274" s="322"/>
      <c r="R274" s="322"/>
      <c r="S274" s="322"/>
      <c r="T274" s="322"/>
      <c r="U274" s="322"/>
      <c r="V274" s="323"/>
      <c r="W274" s="322"/>
      <c r="X274" s="322"/>
    </row>
    <row r="275" spans="1:24" ht="11.25">
      <c r="A275" s="645" t="s">
        <v>807</v>
      </c>
      <c r="B275" s="631"/>
      <c r="C275" s="628">
        <v>4322.5</v>
      </c>
      <c r="D275" s="704">
        <f>C234</f>
        <v>0</v>
      </c>
      <c r="E275" s="351">
        <f>ROUND(C275*$G$6,2)*D275</f>
        <v>0</v>
      </c>
      <c r="F275" s="322"/>
      <c r="G275" s="322"/>
      <c r="H275" s="322"/>
      <c r="I275" s="322"/>
      <c r="J275" s="322"/>
      <c r="K275" s="322"/>
      <c r="L275" s="323"/>
      <c r="M275" s="362"/>
      <c r="N275" s="316"/>
      <c r="P275" s="322"/>
      <c r="Q275" s="322"/>
      <c r="R275" s="322"/>
      <c r="S275" s="322"/>
      <c r="T275" s="322"/>
      <c r="U275" s="322"/>
      <c r="V275" s="322"/>
      <c r="W275" s="322"/>
      <c r="X275" s="322"/>
    </row>
    <row r="276" spans="1:24" ht="11.25">
      <c r="A276" s="557" t="s">
        <v>775</v>
      </c>
      <c r="B276" s="355"/>
      <c r="C276" s="625">
        <v>9.18</v>
      </c>
      <c r="D276" s="635">
        <f>C233</f>
        <v>0</v>
      </c>
      <c r="E276" s="351">
        <f>ROUND(C276*$G$6,2)*D276</f>
        <v>0</v>
      </c>
      <c r="F276" s="322"/>
      <c r="G276" s="322"/>
      <c r="H276" s="323"/>
      <c r="I276" s="322"/>
      <c r="J276" s="322"/>
      <c r="K276" s="322"/>
      <c r="L276" s="333"/>
      <c r="M276" s="324"/>
      <c r="N276" s="646"/>
      <c r="P276" s="322"/>
      <c r="Q276" s="322"/>
      <c r="R276" s="322"/>
      <c r="S276" s="322"/>
      <c r="T276" s="322"/>
      <c r="U276" s="322"/>
      <c r="V276" s="322"/>
      <c r="W276" s="322"/>
      <c r="X276" s="322"/>
    </row>
    <row r="277" spans="1:24" ht="11.25">
      <c r="A277" s="647" t="s">
        <v>115</v>
      </c>
      <c r="B277" s="634"/>
      <c r="C277" s="623">
        <v>291.12</v>
      </c>
      <c r="D277" s="627">
        <f>C234</f>
        <v>0</v>
      </c>
      <c r="E277" s="351">
        <f>ROUND(C277*$G$6,2)*D277</f>
        <v>0</v>
      </c>
      <c r="F277" s="322"/>
      <c r="G277" s="322"/>
      <c r="H277" s="323"/>
      <c r="I277" s="322"/>
      <c r="J277" s="322"/>
      <c r="K277" s="322"/>
      <c r="L277" s="333"/>
      <c r="M277" s="324"/>
      <c r="N277" s="646"/>
      <c r="P277" s="322"/>
      <c r="Q277" s="322"/>
      <c r="R277" s="322"/>
      <c r="S277" s="322"/>
      <c r="T277" s="322"/>
      <c r="U277" s="322"/>
      <c r="V277" s="322"/>
      <c r="W277" s="322"/>
      <c r="X277" s="322"/>
    </row>
    <row r="278" spans="1:24" ht="11.25">
      <c r="A278" s="321"/>
      <c r="B278" s="322"/>
      <c r="C278" s="322"/>
      <c r="D278" s="322"/>
      <c r="E278" s="323"/>
      <c r="F278" s="322"/>
      <c r="G278" s="322"/>
      <c r="H278" s="323"/>
      <c r="I278" s="322"/>
      <c r="J278" s="322"/>
      <c r="K278" s="322"/>
      <c r="L278" s="333"/>
      <c r="M278" s="324"/>
      <c r="O278" s="322"/>
      <c r="P278" s="322"/>
      <c r="Q278" s="322"/>
      <c r="R278" s="322"/>
      <c r="S278" s="550"/>
      <c r="T278" s="337"/>
      <c r="U278" s="323"/>
      <c r="V278" s="322"/>
      <c r="W278" s="322"/>
      <c r="X278" s="322"/>
    </row>
    <row r="279" spans="1:24" ht="11.25">
      <c r="A279" s="344" t="s">
        <v>859</v>
      </c>
      <c r="B279" s="345"/>
      <c r="C279" s="345"/>
      <c r="D279" s="345"/>
      <c r="E279" s="358">
        <f>SUM(E275:E277)</f>
        <v>0</v>
      </c>
      <c r="F279" s="322"/>
      <c r="G279" s="322"/>
      <c r="H279" s="323"/>
      <c r="I279" s="322"/>
      <c r="J279" s="322"/>
      <c r="K279" s="322"/>
      <c r="L279" s="333"/>
      <c r="M279" s="324"/>
      <c r="O279" s="322"/>
      <c r="P279" s="322"/>
      <c r="Q279" s="322"/>
      <c r="R279" s="322"/>
      <c r="S279" s="333"/>
      <c r="T279" s="322"/>
      <c r="U279" s="322"/>
      <c r="V279" s="322"/>
      <c r="W279" s="322"/>
      <c r="X279" s="322"/>
    </row>
    <row r="280" spans="1:24" ht="11.25">
      <c r="A280" s="321"/>
      <c r="B280" s="322"/>
      <c r="C280" s="322"/>
      <c r="D280" s="322"/>
      <c r="E280" s="323"/>
      <c r="F280" s="322"/>
      <c r="G280" s="322"/>
      <c r="H280" s="323"/>
      <c r="I280" s="322"/>
      <c r="J280" s="322"/>
      <c r="K280" s="322"/>
      <c r="L280" s="333"/>
      <c r="M280" s="324"/>
      <c r="P280" s="322"/>
      <c r="Q280" s="322"/>
      <c r="R280" s="322"/>
      <c r="S280" s="322"/>
      <c r="T280" s="322"/>
      <c r="U280" s="322"/>
      <c r="V280" s="322"/>
      <c r="W280" s="322"/>
      <c r="X280" s="322"/>
    </row>
    <row r="281" spans="1:24" ht="11.25">
      <c r="A281" s="645" t="s">
        <v>871</v>
      </c>
      <c r="B281" s="631"/>
      <c r="C281" s="631"/>
      <c r="D281" s="631"/>
      <c r="E281" s="350">
        <f>E271</f>
        <v>0</v>
      </c>
      <c r="F281" s="322"/>
      <c r="G281" s="322"/>
      <c r="H281" s="323"/>
      <c r="I281" s="354" t="s">
        <v>875</v>
      </c>
      <c r="J281" s="631"/>
      <c r="K281" s="631"/>
      <c r="L281" s="629"/>
      <c r="M281" s="720">
        <f>M255</f>
        <v>0</v>
      </c>
      <c r="O281" s="322"/>
      <c r="P281" s="322"/>
      <c r="Q281" s="322"/>
      <c r="R281" s="322"/>
      <c r="S281" s="550"/>
      <c r="T281" s="337"/>
      <c r="U281" s="323"/>
      <c r="V281" s="322"/>
      <c r="W281" s="322"/>
      <c r="X281" s="322"/>
    </row>
    <row r="282" spans="1:21" ht="11.25">
      <c r="A282" s="557" t="s">
        <v>872</v>
      </c>
      <c r="B282" s="355"/>
      <c r="C282" s="355"/>
      <c r="D282" s="355"/>
      <c r="E282" s="351">
        <f>E279</f>
        <v>0</v>
      </c>
      <c r="F282" s="322"/>
      <c r="G282" s="322"/>
      <c r="H282" s="323"/>
      <c r="I282" s="352" t="s">
        <v>874</v>
      </c>
      <c r="J282" s="355"/>
      <c r="K282" s="355"/>
      <c r="L282" s="365"/>
      <c r="M282" s="609">
        <f>M263</f>
        <v>0</v>
      </c>
      <c r="N282" s="716"/>
      <c r="O282" s="322"/>
      <c r="P282" s="322"/>
      <c r="Q282" s="322"/>
      <c r="R282" s="322"/>
      <c r="S282" s="550"/>
      <c r="T282" s="337"/>
      <c r="U282" s="323"/>
    </row>
    <row r="283" spans="1:21" ht="11.25">
      <c r="A283" s="647" t="s">
        <v>873</v>
      </c>
      <c r="B283" s="634"/>
      <c r="C283" s="634"/>
      <c r="D283" s="634"/>
      <c r="E283" s="356">
        <f>E281+E282</f>
        <v>0</v>
      </c>
      <c r="F283" s="322"/>
      <c r="G283" s="322"/>
      <c r="H283" s="323"/>
      <c r="I283" s="612" t="s">
        <v>876</v>
      </c>
      <c r="J283" s="634"/>
      <c r="K283" s="634"/>
      <c r="L283" s="630"/>
      <c r="M283" s="610">
        <f>M281+M282</f>
        <v>0</v>
      </c>
      <c r="N283" s="316"/>
      <c r="O283" s="322"/>
      <c r="P283" s="322"/>
      <c r="Q283" s="322"/>
      <c r="R283" s="322"/>
      <c r="S283" s="322"/>
      <c r="T283" s="322"/>
      <c r="U283" s="322"/>
    </row>
    <row r="284" spans="1:21" ht="12" thickBot="1">
      <c r="A284" s="683"/>
      <c r="B284" s="325"/>
      <c r="C284" s="325"/>
      <c r="D284" s="325"/>
      <c r="E284" s="338"/>
      <c r="F284" s="325"/>
      <c r="G284" s="325"/>
      <c r="H284" s="338"/>
      <c r="I284" s="325"/>
      <c r="J284" s="325"/>
      <c r="K284" s="325"/>
      <c r="L284" s="336"/>
      <c r="M284" s="326"/>
      <c r="N284" s="316"/>
      <c r="O284" s="322"/>
      <c r="P284" s="322"/>
      <c r="Q284" s="322"/>
      <c r="R284" s="322"/>
      <c r="S284" s="322"/>
      <c r="T284" s="322"/>
      <c r="U284" s="322"/>
    </row>
    <row r="285" spans="14:21" ht="11.25">
      <c r="N285" s="316"/>
      <c r="O285" s="322"/>
      <c r="P285" s="322"/>
      <c r="Q285" s="322"/>
      <c r="R285" s="322"/>
      <c r="S285" s="322"/>
      <c r="T285" s="322"/>
      <c r="U285" s="322"/>
    </row>
    <row r="286" spans="8:21" ht="11.25">
      <c r="H286" s="323"/>
      <c r="I286" s="322"/>
      <c r="J286" s="322"/>
      <c r="K286" s="322"/>
      <c r="L286" s="333"/>
      <c r="M286" s="323"/>
      <c r="N286" s="323"/>
      <c r="O286" s="322"/>
      <c r="P286" s="322"/>
      <c r="Q286" s="322"/>
      <c r="R286" s="322"/>
      <c r="S286" s="333"/>
      <c r="T286" s="323"/>
      <c r="U286" s="323"/>
    </row>
    <row r="287" spans="8:21" ht="11.25">
      <c r="H287" s="323"/>
      <c r="I287" s="322"/>
      <c r="J287" s="322"/>
      <c r="K287" s="322"/>
      <c r="L287" s="333"/>
      <c r="M287" s="323"/>
      <c r="N287" s="323"/>
      <c r="O287" s="322"/>
      <c r="P287" s="322"/>
      <c r="Q287" s="322"/>
      <c r="R287" s="322"/>
      <c r="S287" s="322"/>
      <c r="T287" s="322"/>
      <c r="U287" s="322"/>
    </row>
    <row r="288" spans="8:15" ht="11.25">
      <c r="H288" s="323"/>
      <c r="I288" s="322"/>
      <c r="J288" s="322"/>
      <c r="K288" s="322"/>
      <c r="L288" s="333"/>
      <c r="M288" s="323"/>
      <c r="N288" s="323"/>
      <c r="O288" s="322"/>
    </row>
    <row r="289" spans="8:15" ht="11.25">
      <c r="H289" s="323"/>
      <c r="I289" s="322"/>
      <c r="J289" s="322"/>
      <c r="K289" s="322"/>
      <c r="L289" s="333"/>
      <c r="M289" s="323"/>
      <c r="N289" s="323"/>
      <c r="O289" s="322"/>
    </row>
    <row r="290" spans="8:15" ht="11.25">
      <c r="H290" s="322"/>
      <c r="I290" s="668"/>
      <c r="J290" s="322"/>
      <c r="K290" s="322"/>
      <c r="L290" s="322"/>
      <c r="M290" s="323"/>
      <c r="N290" s="323"/>
      <c r="O290" s="322"/>
    </row>
    <row r="291" spans="8:15" ht="11.25">
      <c r="H291" s="323"/>
      <c r="I291" s="322"/>
      <c r="J291" s="322"/>
      <c r="K291" s="322"/>
      <c r="L291" s="333"/>
      <c r="M291" s="323"/>
      <c r="N291" s="323"/>
      <c r="O291" s="322"/>
    </row>
    <row r="292" spans="8:15" ht="11.25">
      <c r="H292" s="323"/>
      <c r="I292" s="322"/>
      <c r="J292" s="322"/>
      <c r="K292" s="322"/>
      <c r="L292" s="333"/>
      <c r="M292" s="323"/>
      <c r="N292" s="337"/>
      <c r="O292" s="322"/>
    </row>
    <row r="293" spans="8:15" ht="11.25">
      <c r="H293" s="323"/>
      <c r="I293" s="322"/>
      <c r="J293" s="322"/>
      <c r="K293" s="322"/>
      <c r="L293" s="333"/>
      <c r="M293" s="323"/>
      <c r="N293" s="323"/>
      <c r="O293" s="322"/>
    </row>
    <row r="294" spans="8:15" ht="11.25">
      <c r="H294" s="323"/>
      <c r="I294" s="322"/>
      <c r="J294" s="322"/>
      <c r="K294" s="322"/>
      <c r="L294" s="333"/>
      <c r="M294" s="323"/>
      <c r="N294" s="323"/>
      <c r="O294" s="322"/>
    </row>
    <row r="295" spans="8:15" ht="11.25">
      <c r="H295" s="323"/>
      <c r="I295" s="322"/>
      <c r="J295" s="322"/>
      <c r="K295" s="322"/>
      <c r="L295" s="333"/>
      <c r="M295" s="323"/>
      <c r="N295" s="323"/>
      <c r="O295" s="322"/>
    </row>
    <row r="296" spans="8:15" ht="11.25">
      <c r="H296" s="322"/>
      <c r="I296" s="322"/>
      <c r="J296" s="322"/>
      <c r="K296" s="322"/>
      <c r="L296" s="322"/>
      <c r="M296" s="323"/>
      <c r="N296" s="323"/>
      <c r="O296" s="322"/>
    </row>
    <row r="297" spans="8:15" ht="11.25">
      <c r="H297" s="322"/>
      <c r="I297" s="322"/>
      <c r="J297" s="322"/>
      <c r="K297" s="322"/>
      <c r="L297" s="322"/>
      <c r="M297" s="323"/>
      <c r="N297" s="323"/>
      <c r="O297" s="322"/>
    </row>
    <row r="298" spans="8:15" ht="11.25">
      <c r="H298" s="322"/>
      <c r="I298" s="322"/>
      <c r="J298" s="322"/>
      <c r="K298" s="322"/>
      <c r="L298" s="322"/>
      <c r="M298" s="322"/>
      <c r="N298" s="323"/>
      <c r="O298" s="322"/>
    </row>
    <row r="299" spans="8:15" ht="11.25">
      <c r="H299" s="322"/>
      <c r="I299" s="322"/>
      <c r="J299" s="322"/>
      <c r="K299" s="322"/>
      <c r="L299" s="322"/>
      <c r="M299" s="322"/>
      <c r="N299" s="323"/>
      <c r="O299" s="322"/>
    </row>
    <row r="300" spans="8:15" ht="11.25">
      <c r="H300" s="322"/>
      <c r="I300" s="322"/>
      <c r="J300" s="322"/>
      <c r="K300" s="322"/>
      <c r="L300" s="322"/>
      <c r="M300" s="322"/>
      <c r="N300" s="323"/>
      <c r="O300" s="322"/>
    </row>
    <row r="301" spans="8:15" ht="11.25">
      <c r="H301" s="322"/>
      <c r="I301" s="322"/>
      <c r="J301" s="322"/>
      <c r="K301" s="322"/>
      <c r="L301" s="322"/>
      <c r="M301" s="322"/>
      <c r="N301" s="323"/>
      <c r="O301" s="322"/>
    </row>
    <row r="302" spans="8:15" ht="11.25">
      <c r="H302" s="322"/>
      <c r="I302" s="322"/>
      <c r="J302" s="322"/>
      <c r="K302" s="322"/>
      <c r="L302" s="322"/>
      <c r="M302" s="322"/>
      <c r="N302" s="323"/>
      <c r="O302" s="322"/>
    </row>
    <row r="303" spans="8:15" ht="11.25">
      <c r="H303" s="322"/>
      <c r="I303" s="322"/>
      <c r="J303" s="322"/>
      <c r="K303" s="322"/>
      <c r="L303" s="322"/>
      <c r="M303" s="322"/>
      <c r="N303" s="323"/>
      <c r="O303" s="322"/>
    </row>
    <row r="304" spans="8:14" ht="11.25">
      <c r="H304" s="315"/>
      <c r="L304" s="315"/>
      <c r="M304" s="315"/>
      <c r="N304" s="316"/>
    </row>
    <row r="305" spans="8:14" ht="11.25">
      <c r="H305" s="315"/>
      <c r="L305" s="315"/>
      <c r="M305" s="315"/>
      <c r="N305" s="316"/>
    </row>
    <row r="306" spans="8:14" ht="11.25">
      <c r="H306" s="315"/>
      <c r="L306" s="315"/>
      <c r="M306" s="315"/>
      <c r="N306" s="316"/>
    </row>
    <row r="307" spans="8:14" ht="11.25">
      <c r="H307" s="315"/>
      <c r="L307" s="315"/>
      <c r="M307" s="315"/>
      <c r="N307" s="316"/>
    </row>
    <row r="308" spans="8:14" ht="11.25">
      <c r="H308" s="315"/>
      <c r="L308" s="315"/>
      <c r="M308" s="315"/>
      <c r="N308" s="316"/>
    </row>
    <row r="309" spans="8:14" ht="11.25">
      <c r="H309" s="315"/>
      <c r="L309" s="315"/>
      <c r="M309" s="315"/>
      <c r="N309" s="316"/>
    </row>
    <row r="310" spans="8:14" ht="11.25">
      <c r="H310" s="315"/>
      <c r="L310" s="315"/>
      <c r="M310" s="315"/>
      <c r="N310" s="316"/>
    </row>
    <row r="311" spans="8:14" ht="11.25">
      <c r="H311" s="315"/>
      <c r="L311" s="315"/>
      <c r="M311" s="315"/>
      <c r="N311" s="316"/>
    </row>
    <row r="312" spans="5:14" ht="11.25">
      <c r="E312" s="315"/>
      <c r="H312" s="315"/>
      <c r="L312" s="315"/>
      <c r="M312" s="315"/>
      <c r="N312" s="316"/>
    </row>
    <row r="313" spans="5:14" ht="11.25">
      <c r="E313" s="315"/>
      <c r="H313" s="315"/>
      <c r="L313" s="315"/>
      <c r="M313" s="315"/>
      <c r="N313" s="316"/>
    </row>
    <row r="314" spans="5:14" ht="11.25">
      <c r="E314" s="315"/>
      <c r="H314" s="315"/>
      <c r="L314" s="315"/>
      <c r="M314" s="315"/>
      <c r="N314" s="316"/>
    </row>
    <row r="315" spans="5:14" ht="11.25">
      <c r="E315" s="315"/>
      <c r="H315" s="315"/>
      <c r="L315" s="315"/>
      <c r="M315" s="315"/>
      <c r="N315" s="316"/>
    </row>
    <row r="316" spans="5:14" ht="11.25">
      <c r="E316" s="315"/>
      <c r="H316" s="315"/>
      <c r="L316" s="315"/>
      <c r="M316" s="315"/>
      <c r="N316" s="316"/>
    </row>
    <row r="317" spans="5:14" ht="11.25">
      <c r="E317" s="315"/>
      <c r="H317" s="315"/>
      <c r="L317" s="315"/>
      <c r="M317" s="315"/>
      <c r="N317" s="316"/>
    </row>
    <row r="318" spans="5:14" ht="11.25">
      <c r="E318" s="315"/>
      <c r="H318" s="315"/>
      <c r="L318" s="315"/>
      <c r="M318" s="315"/>
      <c r="N318" s="316"/>
    </row>
    <row r="319" spans="5:14" ht="11.25">
      <c r="E319" s="315"/>
      <c r="H319" s="315"/>
      <c r="L319" s="315"/>
      <c r="M319" s="315"/>
      <c r="N319" s="316"/>
    </row>
    <row r="320" spans="5:14" ht="11.25">
      <c r="E320" s="315"/>
      <c r="H320" s="315"/>
      <c r="L320" s="315"/>
      <c r="M320" s="315"/>
      <c r="N320" s="316"/>
    </row>
    <row r="321" spans="5:14" ht="11.25">
      <c r="E321" s="315"/>
      <c r="H321" s="315"/>
      <c r="L321" s="315"/>
      <c r="M321" s="315"/>
      <c r="N321" s="316"/>
    </row>
    <row r="322" spans="5:14" ht="11.25">
      <c r="E322" s="315"/>
      <c r="H322" s="315"/>
      <c r="L322" s="315"/>
      <c r="M322" s="315"/>
      <c r="N322" s="316"/>
    </row>
    <row r="323" spans="5:13" ht="11.25">
      <c r="E323" s="315"/>
      <c r="H323" s="315"/>
      <c r="L323" s="315"/>
      <c r="M323" s="315"/>
    </row>
    <row r="324" spans="5:13" ht="11.25">
      <c r="E324" s="315"/>
      <c r="H324" s="315"/>
      <c r="L324" s="315"/>
      <c r="M324" s="315"/>
    </row>
    <row r="325" spans="5:13" ht="11.25">
      <c r="E325" s="315"/>
      <c r="H325" s="315"/>
      <c r="L325" s="315"/>
      <c r="M325" s="315"/>
    </row>
    <row r="326" spans="5:13" ht="11.25">
      <c r="E326" s="315"/>
      <c r="H326" s="315"/>
      <c r="L326" s="315"/>
      <c r="M326" s="315"/>
    </row>
    <row r="327" spans="5:13" ht="11.25">
      <c r="E327" s="315"/>
      <c r="H327" s="315"/>
      <c r="L327" s="315"/>
      <c r="M327" s="315"/>
    </row>
  </sheetData>
  <sheetProtection password="CD36" sheet="1" objects="1" scenarios="1"/>
  <printOptions horizontalCentered="1"/>
  <pageMargins left="0.3937007874015748" right="0.3937007874015748" top="0.1968503937007874" bottom="0.1968503937007874" header="0.5118110236220472" footer="0.5118110236220472"/>
  <pageSetup horizontalDpi="600" verticalDpi="600" orientation="portrait" paperSize="9" scale="69" r:id="rId1"/>
  <headerFooter alignWithMargins="0">
    <oddFooter>&amp;R&amp;A&amp;   pagina &amp;P</oddFooter>
  </headerFooter>
  <rowBreaks count="3" manualBreakCount="3">
    <brk id="82" max="12" man="1"/>
    <brk id="149" max="12" man="1"/>
    <brk id="228" max="12" man="1"/>
  </rowBreaks>
</worksheet>
</file>

<file path=xl/worksheets/sheet2.xml><?xml version="1.0" encoding="utf-8"?>
<worksheet xmlns="http://schemas.openxmlformats.org/spreadsheetml/2006/main" xmlns:r="http://schemas.openxmlformats.org/officeDocument/2006/relationships">
  <dimension ref="A1:X55"/>
  <sheetViews>
    <sheetView showGridLines="0" tabSelected="1" zoomScale="86" zoomScaleNormal="86" zoomScaleSheetLayoutView="86" workbookViewId="0" topLeftCell="A1">
      <selection activeCell="A17" sqref="A17"/>
    </sheetView>
  </sheetViews>
  <sheetFormatPr defaultColWidth="9.140625" defaultRowHeight="12.75" zeroHeight="1"/>
  <cols>
    <col min="1" max="1" width="54.8515625" style="18" customWidth="1"/>
    <col min="2" max="2" width="27.8515625" style="18" customWidth="1"/>
    <col min="3" max="7" width="9.140625" style="18" customWidth="1"/>
    <col min="8" max="8" width="11.8515625" style="150" customWidth="1"/>
    <col min="9" max="9" width="9.140625" style="18" customWidth="1"/>
    <col min="10" max="10" width="0" style="18" hidden="1" customWidth="1"/>
    <col min="11" max="11" width="10.140625" style="18" hidden="1" customWidth="1"/>
    <col min="12" max="13" width="0" style="18" hidden="1" customWidth="1"/>
    <col min="14" max="14" width="15.8515625" style="18" hidden="1" customWidth="1"/>
    <col min="15" max="16384" width="0" style="18" hidden="1" customWidth="1"/>
  </cols>
  <sheetData>
    <row r="1" spans="1:17" ht="15" customHeight="1">
      <c r="A1" s="10"/>
      <c r="B1" s="10"/>
      <c r="C1" s="10"/>
      <c r="D1" s="10"/>
      <c r="E1" s="29"/>
      <c r="F1" s="29"/>
      <c r="G1" s="10"/>
      <c r="H1" s="149"/>
      <c r="I1" s="10"/>
      <c r="J1" s="10"/>
      <c r="K1" s="10"/>
      <c r="L1" s="10"/>
      <c r="M1" s="10"/>
      <c r="N1" s="10"/>
      <c r="O1" s="10"/>
      <c r="P1" s="10"/>
      <c r="Q1" s="10"/>
    </row>
    <row r="2" spans="5:22" s="3" customFormat="1" ht="14.25" customHeight="1">
      <c r="E2" s="260" t="b">
        <f>voorblad!E14</f>
        <v>1</v>
      </c>
      <c r="O2" s="236"/>
      <c r="P2" s="236"/>
      <c r="Q2" s="237"/>
      <c r="R2" s="237"/>
      <c r="S2" s="236"/>
      <c r="T2" s="236"/>
      <c r="U2" s="238"/>
      <c r="V2" s="239"/>
    </row>
    <row r="3" spans="1:18" s="108" customFormat="1" ht="13.5" customHeight="1">
      <c r="A3" s="110" t="str">
        <f>voorblad!A20</f>
        <v>Mutatieformulier regiokader gehandicaptenzorg 2006</v>
      </c>
      <c r="B3" s="1"/>
      <c r="C3" s="240"/>
      <c r="D3" s="228"/>
      <c r="E3" s="241" t="str">
        <f>"versie: "&amp;TEXT(voorblad!$L$25,"dd-mm-jjjj")</f>
        <v>versie: 11-09-2006</v>
      </c>
      <c r="F3" s="242"/>
      <c r="G3" s="231"/>
      <c r="H3" s="244">
        <v>2</v>
      </c>
      <c r="J3" s="244"/>
      <c r="K3" s="245"/>
      <c r="L3" s="245"/>
      <c r="M3" s="244"/>
      <c r="N3" s="244"/>
      <c r="O3" s="246"/>
      <c r="P3" s="247"/>
      <c r="Q3" s="2"/>
      <c r="R3" s="2"/>
    </row>
    <row r="4" spans="2:24" s="108" customFormat="1" ht="13.5" customHeight="1">
      <c r="B4" s="248"/>
      <c r="C4" s="248"/>
      <c r="D4" s="248"/>
      <c r="E4" s="248"/>
      <c r="F4" s="248"/>
      <c r="G4" s="248"/>
      <c r="H4" s="248"/>
      <c r="I4" s="248"/>
      <c r="J4" s="3"/>
      <c r="K4" s="249"/>
      <c r="L4" s="250"/>
      <c r="M4" s="251"/>
      <c r="O4" s="244"/>
      <c r="P4" s="244"/>
      <c r="Q4" s="245"/>
      <c r="R4" s="245"/>
      <c r="S4" s="244"/>
      <c r="T4" s="244"/>
      <c r="U4" s="246"/>
      <c r="V4" s="247"/>
      <c r="W4" s="2"/>
      <c r="X4" s="2"/>
    </row>
    <row r="5" spans="1:24" s="108" customFormat="1" ht="18" customHeight="1">
      <c r="A5" s="500" t="s">
        <v>887</v>
      </c>
      <c r="B5" s="248"/>
      <c r="C5" s="248"/>
      <c r="D5" s="248"/>
      <c r="E5" s="248"/>
      <c r="F5" s="248"/>
      <c r="G5" s="248"/>
      <c r="H5" s="248"/>
      <c r="I5" s="248"/>
      <c r="J5" s="3"/>
      <c r="K5" s="249"/>
      <c r="L5" s="250"/>
      <c r="M5" s="251"/>
      <c r="O5" s="244"/>
      <c r="P5" s="244"/>
      <c r="Q5" s="245"/>
      <c r="R5" s="245"/>
      <c r="S5" s="244"/>
      <c r="T5" s="244"/>
      <c r="U5" s="246"/>
      <c r="V5" s="247"/>
      <c r="W5" s="2"/>
      <c r="X5" s="2"/>
    </row>
    <row r="6" spans="2:24" s="108" customFormat="1" ht="13.5" customHeight="1">
      <c r="B6" s="248"/>
      <c r="C6" s="248"/>
      <c r="D6" s="248"/>
      <c r="E6" s="248"/>
      <c r="F6" s="248"/>
      <c r="G6" s="248"/>
      <c r="H6" s="248"/>
      <c r="I6" s="248"/>
      <c r="J6" s="3"/>
      <c r="K6" s="249"/>
      <c r="L6" s="250"/>
      <c r="M6" s="251"/>
      <c r="O6" s="244"/>
      <c r="P6" s="244"/>
      <c r="Q6" s="245"/>
      <c r="R6" s="245"/>
      <c r="S6" s="244"/>
      <c r="T6" s="244"/>
      <c r="U6" s="246"/>
      <c r="V6" s="247"/>
      <c r="W6" s="2"/>
      <c r="X6" s="2"/>
    </row>
    <row r="7" spans="1:17" ht="15" customHeight="1">
      <c r="A7" s="296"/>
      <c r="B7" s="10"/>
      <c r="C7" s="10"/>
      <c r="D7" s="10"/>
      <c r="E7" s="29"/>
      <c r="F7" s="29"/>
      <c r="G7" s="10"/>
      <c r="H7" s="149"/>
      <c r="I7" s="10"/>
      <c r="J7" s="10"/>
      <c r="K7" s="10"/>
      <c r="L7" s="10"/>
      <c r="M7" s="10"/>
      <c r="N7" s="10"/>
      <c r="O7" s="10"/>
      <c r="P7" s="10"/>
      <c r="Q7" s="10"/>
    </row>
    <row r="8" spans="1:17" ht="15" customHeight="1">
      <c r="A8" s="10"/>
      <c r="B8" s="10"/>
      <c r="C8" s="10"/>
      <c r="D8" s="10"/>
      <c r="E8" s="29"/>
      <c r="F8" s="29"/>
      <c r="G8" s="10"/>
      <c r="H8" s="149"/>
      <c r="I8" s="10"/>
      <c r="J8" s="10"/>
      <c r="K8" s="10"/>
      <c r="L8" s="10"/>
      <c r="M8" s="10"/>
      <c r="N8" s="10"/>
      <c r="O8" s="10"/>
      <c r="P8" s="10"/>
      <c r="Q8" s="10"/>
    </row>
    <row r="9" spans="1:17" ht="15" customHeight="1">
      <c r="A9" s="10"/>
      <c r="B9" s="10"/>
      <c r="C9" s="10"/>
      <c r="D9" s="10"/>
      <c r="E9" s="29"/>
      <c r="F9" s="29"/>
      <c r="G9" s="10"/>
      <c r="H9" s="149"/>
      <c r="I9" s="10"/>
      <c r="J9" s="10"/>
      <c r="K9" s="10"/>
      <c r="L9" s="10"/>
      <c r="M9" s="10"/>
      <c r="N9" s="10"/>
      <c r="O9" s="10"/>
      <c r="P9" s="10"/>
      <c r="Q9" s="10"/>
    </row>
    <row r="10" spans="1:17" ht="15" customHeight="1">
      <c r="A10" s="10"/>
      <c r="B10" s="10"/>
      <c r="C10" s="380"/>
      <c r="D10" s="10"/>
      <c r="E10" s="29"/>
      <c r="F10" s="29"/>
      <c r="G10" s="10"/>
      <c r="H10" s="149"/>
      <c r="I10" s="10"/>
      <c r="J10" s="10"/>
      <c r="K10" s="10"/>
      <c r="L10" s="10"/>
      <c r="M10" s="10"/>
      <c r="N10" s="10"/>
      <c r="O10" s="10"/>
      <c r="P10" s="10"/>
      <c r="Q10" s="10"/>
    </row>
    <row r="11" spans="1:17" ht="15" customHeight="1">
      <c r="A11" s="12"/>
      <c r="B11" s="10"/>
      <c r="C11" s="470"/>
      <c r="D11" s="10"/>
      <c r="E11" s="29"/>
      <c r="F11" s="29"/>
      <c r="G11" s="10"/>
      <c r="H11" s="149"/>
      <c r="I11" s="10"/>
      <c r="J11" s="10"/>
      <c r="K11" s="10"/>
      <c r="L11" s="10"/>
      <c r="M11" s="10"/>
      <c r="N11" s="10"/>
      <c r="O11" s="10"/>
      <c r="P11" s="10"/>
      <c r="Q11" s="10"/>
    </row>
    <row r="12" spans="1:17" ht="15" customHeight="1">
      <c r="A12" s="12"/>
      <c r="B12" s="12"/>
      <c r="C12" s="470"/>
      <c r="D12" s="10"/>
      <c r="E12" s="29"/>
      <c r="F12" s="29"/>
      <c r="G12" s="10"/>
      <c r="H12" s="149"/>
      <c r="I12" s="10"/>
      <c r="J12" s="10"/>
      <c r="K12" s="10"/>
      <c r="L12" s="10"/>
      <c r="M12" s="10"/>
      <c r="N12" s="10"/>
      <c r="O12" s="10"/>
      <c r="P12" s="10"/>
      <c r="Q12" s="10"/>
    </row>
    <row r="13" spans="1:17" ht="15" customHeight="1">
      <c r="A13" s="12"/>
      <c r="B13" s="12"/>
      <c r="C13" s="471"/>
      <c r="D13" s="10"/>
      <c r="E13" s="29"/>
      <c r="F13" s="29"/>
      <c r="G13" s="10"/>
      <c r="H13" s="149"/>
      <c r="I13" s="10"/>
      <c r="J13" s="10"/>
      <c r="K13" s="10"/>
      <c r="L13" s="10"/>
      <c r="M13" s="10"/>
      <c r="N13" s="10"/>
      <c r="O13" s="10"/>
      <c r="P13" s="10"/>
      <c r="Q13" s="10"/>
    </row>
    <row r="14" spans="1:17" ht="15" customHeight="1">
      <c r="A14" s="12"/>
      <c r="B14" s="12"/>
      <c r="C14" s="471"/>
      <c r="D14" s="10"/>
      <c r="E14" s="29"/>
      <c r="F14" s="29"/>
      <c r="G14" s="10"/>
      <c r="H14" s="149"/>
      <c r="I14" s="10"/>
      <c r="J14" s="10"/>
      <c r="K14" s="10"/>
      <c r="L14" s="10"/>
      <c r="M14" s="10"/>
      <c r="N14" s="10"/>
      <c r="O14" s="10"/>
      <c r="P14" s="10"/>
      <c r="Q14" s="10"/>
    </row>
    <row r="15" ht="12.75">
      <c r="C15" s="472"/>
    </row>
    <row r="16" spans="1:3" ht="12.75">
      <c r="A16" s="12"/>
      <c r="B16" s="12"/>
      <c r="C16" s="473"/>
    </row>
    <row r="17" spans="1:3" ht="12.75">
      <c r="A17" s="12"/>
      <c r="B17" s="12"/>
      <c r="C17" s="472"/>
    </row>
    <row r="18" spans="1:3" ht="12.75">
      <c r="A18" s="12"/>
      <c r="B18" s="12"/>
      <c r="C18" s="472"/>
    </row>
    <row r="19" spans="1:3" ht="12.75">
      <c r="A19" s="12"/>
      <c r="B19" s="12"/>
      <c r="C19" s="472"/>
    </row>
    <row r="20" spans="1:3" ht="12.75">
      <c r="A20" s="12"/>
      <c r="B20" s="12"/>
      <c r="C20" s="472"/>
    </row>
    <row r="21" ht="12.75">
      <c r="C21" s="472"/>
    </row>
    <row r="22" ht="12.75">
      <c r="C22" s="472"/>
    </row>
    <row r="23" ht="12.75">
      <c r="C23" s="472"/>
    </row>
    <row r="24" ht="12.75">
      <c r="C24" s="472"/>
    </row>
    <row r="25" ht="12.75">
      <c r="C25" s="472"/>
    </row>
    <row r="26" ht="12.75">
      <c r="C26" s="472"/>
    </row>
    <row r="27" ht="12.75">
      <c r="C27" s="472"/>
    </row>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spans="1:18" s="108" customFormat="1" ht="13.5" customHeight="1">
      <c r="A52" s="110" t="str">
        <f>voorblad!A20</f>
        <v>Mutatieformulier regiokader gehandicaptenzorg 2006</v>
      </c>
      <c r="B52" s="1"/>
      <c r="C52" s="240"/>
      <c r="D52" s="228"/>
      <c r="E52" s="468">
        <f>voorblad!L25</f>
        <v>38971</v>
      </c>
      <c r="F52" s="242"/>
      <c r="G52" s="231"/>
      <c r="H52" s="244">
        <f>H3+1</f>
        <v>3</v>
      </c>
      <c r="J52" s="244"/>
      <c r="K52" s="245"/>
      <c r="L52" s="245"/>
      <c r="M52" s="244"/>
      <c r="N52" s="244"/>
      <c r="O52" s="246"/>
      <c r="P52" s="247"/>
      <c r="Q52" s="2"/>
      <c r="R52" s="2"/>
    </row>
    <row r="53" spans="5:22" s="3" customFormat="1" ht="14.25" customHeight="1">
      <c r="E53" s="260">
        <f>voorblad!E66</f>
        <v>0</v>
      </c>
      <c r="O53" s="236"/>
      <c r="P53" s="236"/>
      <c r="Q53" s="237"/>
      <c r="R53" s="237"/>
      <c r="S53" s="236"/>
      <c r="T53" s="236"/>
      <c r="U53" s="238"/>
      <c r="V53" s="239"/>
    </row>
    <row r="54" ht="12.75"/>
    <row r="55" spans="2:24" s="108" customFormat="1" ht="13.5" customHeight="1">
      <c r="B55" s="248"/>
      <c r="C55" s="248"/>
      <c r="D55" s="248"/>
      <c r="E55" s="248"/>
      <c r="F55" s="248"/>
      <c r="G55" s="248"/>
      <c r="H55" s="248"/>
      <c r="I55" s="248"/>
      <c r="J55" s="3"/>
      <c r="K55" s="249"/>
      <c r="L55" s="250"/>
      <c r="M55" s="251"/>
      <c r="O55" s="244"/>
      <c r="P55" s="244"/>
      <c r="Q55" s="245"/>
      <c r="R55" s="245"/>
      <c r="S55" s="244"/>
      <c r="T55" s="244"/>
      <c r="U55" s="246"/>
      <c r="V55" s="247"/>
      <c r="W55" s="2"/>
      <c r="X55" s="2"/>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sheetData>
  <sheetProtection password="CD36" sheet="1" objects="1" scenarios="1"/>
  <printOptions horizontalCentered="1"/>
  <pageMargins left="0.3937007874015748" right="0.3937007874015748" top="0.1968503937007874" bottom="0.1968503937007874" header="0.5118110236220472" footer="0.5118110236220472"/>
  <pageSetup horizontalDpi="600" verticalDpi="600" orientation="landscape" paperSize="9" scale="85" r:id="rId2"/>
  <headerFooter alignWithMargins="0">
    <oddFooter>&amp;C&amp;A</oddFooter>
  </headerFooter>
  <drawing r:id="rId1"/>
</worksheet>
</file>

<file path=xl/worksheets/sheet3.xml><?xml version="1.0" encoding="utf-8"?>
<worksheet xmlns="http://schemas.openxmlformats.org/spreadsheetml/2006/main" xmlns:r="http://schemas.openxmlformats.org/officeDocument/2006/relationships">
  <dimension ref="A1:X20"/>
  <sheetViews>
    <sheetView showGridLines="0" tabSelected="1" zoomScale="86" zoomScaleNormal="86" zoomScaleSheetLayoutView="86" workbookViewId="0" topLeftCell="A1">
      <selection activeCell="A17" sqref="A17"/>
    </sheetView>
  </sheetViews>
  <sheetFormatPr defaultColWidth="9.140625" defaultRowHeight="12.75" zeroHeight="1"/>
  <cols>
    <col min="1" max="1" width="54.8515625" style="18" customWidth="1"/>
    <col min="2" max="2" width="27.8515625" style="18" customWidth="1"/>
    <col min="3" max="7" width="9.140625" style="18" customWidth="1"/>
    <col min="8" max="8" width="11.8515625" style="150" customWidth="1"/>
    <col min="9" max="10" width="0" style="18" hidden="1" customWidth="1"/>
    <col min="11" max="11" width="10.140625" style="18" hidden="1" customWidth="1"/>
    <col min="12" max="13" width="0" style="18" hidden="1" customWidth="1"/>
    <col min="14" max="14" width="15.8515625" style="18" hidden="1" customWidth="1"/>
    <col min="15" max="16384" width="0" style="18" hidden="1" customWidth="1"/>
  </cols>
  <sheetData>
    <row r="1" spans="1:17" ht="15" customHeight="1">
      <c r="A1" s="10"/>
      <c r="B1" s="10"/>
      <c r="C1" s="10"/>
      <c r="D1" s="10"/>
      <c r="E1" s="29"/>
      <c r="F1" s="29"/>
      <c r="G1" s="10"/>
      <c r="H1" s="149"/>
      <c r="I1" s="10"/>
      <c r="J1" s="10"/>
      <c r="K1" s="10"/>
      <c r="L1" s="10"/>
      <c r="M1" s="10"/>
      <c r="N1" s="10"/>
      <c r="O1" s="10"/>
      <c r="P1" s="10"/>
      <c r="Q1" s="10"/>
    </row>
    <row r="2" spans="5:22" s="3" customFormat="1" ht="14.25" customHeight="1">
      <c r="E2" s="260" t="b">
        <f>voorblad!E14</f>
        <v>1</v>
      </c>
      <c r="O2" s="236"/>
      <c r="P2" s="236"/>
      <c r="Q2" s="237"/>
      <c r="R2" s="237"/>
      <c r="S2" s="236"/>
      <c r="T2" s="236"/>
      <c r="U2" s="238"/>
      <c r="V2" s="239"/>
    </row>
    <row r="3" spans="1:18" s="108" customFormat="1" ht="13.5" customHeight="1">
      <c r="A3" s="110" t="str">
        <f>voorblad!A20</f>
        <v>Mutatieformulier regiokader gehandicaptenzorg 2006</v>
      </c>
      <c r="B3" s="1"/>
      <c r="C3" s="240"/>
      <c r="D3" s="228"/>
      <c r="E3" s="241" t="str">
        <f>"versie: "&amp;TEXT(voorblad!$L$25,"dd-mm-jjjj")</f>
        <v>versie: 11-09-2006</v>
      </c>
      <c r="F3" s="242"/>
      <c r="G3" s="231"/>
      <c r="H3" s="244">
        <f>toelichting!H52+1</f>
        <v>4</v>
      </c>
      <c r="J3" s="244"/>
      <c r="K3" s="245"/>
      <c r="L3" s="245"/>
      <c r="M3" s="244"/>
      <c r="N3" s="244"/>
      <c r="O3" s="246"/>
      <c r="P3" s="247"/>
      <c r="Q3" s="2"/>
      <c r="R3" s="2"/>
    </row>
    <row r="4" spans="2:24" s="108" customFormat="1" ht="13.5" customHeight="1">
      <c r="B4" s="248"/>
      <c r="C4" s="248"/>
      <c r="D4" s="248"/>
      <c r="E4" s="248"/>
      <c r="F4" s="248"/>
      <c r="G4" s="248"/>
      <c r="H4" s="248"/>
      <c r="I4" s="248"/>
      <c r="J4" s="3"/>
      <c r="K4" s="249"/>
      <c r="L4" s="250"/>
      <c r="M4" s="251"/>
      <c r="O4" s="244"/>
      <c r="P4" s="244"/>
      <c r="Q4" s="245"/>
      <c r="R4" s="245"/>
      <c r="S4" s="244"/>
      <c r="T4" s="244"/>
      <c r="U4" s="246"/>
      <c r="V4" s="247"/>
      <c r="W4" s="2"/>
      <c r="X4" s="2"/>
    </row>
    <row r="5" spans="1:17" ht="15" customHeight="1">
      <c r="A5" s="296" t="s">
        <v>230</v>
      </c>
      <c r="B5" s="10"/>
      <c r="C5" s="10"/>
      <c r="D5" s="10"/>
      <c r="E5" s="29"/>
      <c r="F5" s="29"/>
      <c r="G5" s="10"/>
      <c r="H5" s="149"/>
      <c r="I5" s="10"/>
      <c r="J5" s="10"/>
      <c r="K5" s="10"/>
      <c r="L5" s="10"/>
      <c r="M5" s="10"/>
      <c r="N5" s="10"/>
      <c r="O5" s="10"/>
      <c r="P5" s="10"/>
      <c r="Q5" s="10"/>
    </row>
    <row r="6" spans="1:17" ht="15" customHeight="1">
      <c r="A6" s="10"/>
      <c r="B6" s="10"/>
      <c r="C6" s="10"/>
      <c r="D6" s="10"/>
      <c r="E6" s="29"/>
      <c r="F6" s="29"/>
      <c r="G6" s="10"/>
      <c r="H6" s="149"/>
      <c r="I6" s="10"/>
      <c r="J6" s="10"/>
      <c r="K6" s="10"/>
      <c r="L6" s="10"/>
      <c r="M6" s="10"/>
      <c r="N6" s="10"/>
      <c r="O6" s="10"/>
      <c r="P6" s="10"/>
      <c r="Q6" s="10"/>
    </row>
    <row r="7" spans="1:17" ht="15" customHeight="1">
      <c r="A7" s="10" t="s">
        <v>603</v>
      </c>
      <c r="B7" s="10" t="s">
        <v>674</v>
      </c>
      <c r="C7" s="10" t="s">
        <v>683</v>
      </c>
      <c r="D7" s="10"/>
      <c r="E7" s="29"/>
      <c r="F7" s="29"/>
      <c r="G7" s="10"/>
      <c r="H7" s="149"/>
      <c r="I7" s="10"/>
      <c r="J7" s="10"/>
      <c r="K7" s="10"/>
      <c r="L7" s="10"/>
      <c r="M7" s="10"/>
      <c r="N7" s="10"/>
      <c r="O7" s="10"/>
      <c r="P7" s="10"/>
      <c r="Q7" s="10"/>
    </row>
    <row r="8" spans="1:17" ht="15" customHeight="1">
      <c r="A8" s="10" t="s">
        <v>604</v>
      </c>
      <c r="B8" s="10" t="s">
        <v>615</v>
      </c>
      <c r="C8" s="380">
        <v>5</v>
      </c>
      <c r="D8" s="10"/>
      <c r="E8" s="29"/>
      <c r="F8" s="29"/>
      <c r="G8" s="10"/>
      <c r="H8" s="149"/>
      <c r="I8" s="10"/>
      <c r="J8" s="10"/>
      <c r="K8" s="10"/>
      <c r="L8" s="10"/>
      <c r="M8" s="10"/>
      <c r="N8" s="10"/>
      <c r="O8" s="10"/>
      <c r="P8" s="10"/>
      <c r="Q8" s="10"/>
    </row>
    <row r="9" spans="1:17" ht="15" customHeight="1">
      <c r="A9" s="12" t="s">
        <v>605</v>
      </c>
      <c r="B9" s="10" t="s">
        <v>675</v>
      </c>
      <c r="C9" s="470" t="s">
        <v>584</v>
      </c>
      <c r="D9" s="10"/>
      <c r="E9" s="29"/>
      <c r="F9" s="29"/>
      <c r="G9" s="10"/>
      <c r="H9" s="149"/>
      <c r="I9" s="10"/>
      <c r="J9" s="10"/>
      <c r="K9" s="10"/>
      <c r="L9" s="10"/>
      <c r="M9" s="10"/>
      <c r="N9" s="10"/>
      <c r="O9" s="10"/>
      <c r="P9" s="10"/>
      <c r="Q9" s="10"/>
    </row>
    <row r="10" spans="1:17" ht="15" customHeight="1">
      <c r="A10" s="12" t="s">
        <v>606</v>
      </c>
      <c r="B10" s="12" t="s">
        <v>676</v>
      </c>
      <c r="C10" s="470" t="s">
        <v>583</v>
      </c>
      <c r="D10" s="10"/>
      <c r="E10" s="29"/>
      <c r="F10" s="29"/>
      <c r="G10" s="10"/>
      <c r="H10" s="149"/>
      <c r="I10" s="10"/>
      <c r="J10" s="10"/>
      <c r="K10" s="10"/>
      <c r="L10" s="10"/>
      <c r="M10" s="10"/>
      <c r="N10" s="10"/>
      <c r="O10" s="10"/>
      <c r="P10" s="10"/>
      <c r="Q10" s="10"/>
    </row>
    <row r="11" spans="1:17" ht="15" customHeight="1">
      <c r="A11" s="12" t="s">
        <v>608</v>
      </c>
      <c r="B11" s="12" t="s">
        <v>227</v>
      </c>
      <c r="C11" s="496" t="s">
        <v>228</v>
      </c>
      <c r="D11" s="10"/>
      <c r="E11" s="29"/>
      <c r="F11" s="29"/>
      <c r="G11" s="10"/>
      <c r="H11" s="149"/>
      <c r="I11" s="10"/>
      <c r="J11" s="10"/>
      <c r="K11" s="10"/>
      <c r="L11" s="10"/>
      <c r="M11" s="10"/>
      <c r="N11" s="10"/>
      <c r="O11" s="10"/>
      <c r="P11" s="10"/>
      <c r="Q11" s="10"/>
    </row>
    <row r="12" spans="1:17" ht="15" customHeight="1">
      <c r="A12" s="12" t="s">
        <v>607</v>
      </c>
      <c r="B12" s="12" t="s">
        <v>677</v>
      </c>
      <c r="C12" s="380" t="s">
        <v>229</v>
      </c>
      <c r="D12" s="10"/>
      <c r="E12" s="29"/>
      <c r="F12" s="29"/>
      <c r="G12" s="10"/>
      <c r="H12" s="149"/>
      <c r="I12" s="10"/>
      <c r="J12" s="10"/>
      <c r="K12" s="10"/>
      <c r="L12" s="10"/>
      <c r="M12" s="10"/>
      <c r="N12" s="10"/>
      <c r="O12" s="10"/>
      <c r="P12" s="10"/>
      <c r="Q12" s="10"/>
    </row>
    <row r="13" ht="12.75">
      <c r="C13" s="472"/>
    </row>
    <row r="14" spans="1:3" ht="12.75">
      <c r="A14" s="12" t="s">
        <v>609</v>
      </c>
      <c r="B14" s="12" t="s">
        <v>678</v>
      </c>
      <c r="C14" s="473">
        <v>19</v>
      </c>
    </row>
    <row r="15" spans="1:3" ht="12.75">
      <c r="A15" s="12" t="s">
        <v>610</v>
      </c>
      <c r="B15" s="12" t="s">
        <v>679</v>
      </c>
      <c r="C15" s="472">
        <v>20</v>
      </c>
    </row>
    <row r="16" spans="1:3" ht="12.75">
      <c r="A16" s="12" t="s">
        <v>611</v>
      </c>
      <c r="B16" s="12" t="s">
        <v>680</v>
      </c>
      <c r="C16" s="472">
        <v>21</v>
      </c>
    </row>
    <row r="17" spans="1:3" ht="12.75">
      <c r="A17" s="12" t="s">
        <v>612</v>
      </c>
      <c r="B17" s="12" t="s">
        <v>681</v>
      </c>
      <c r="C17" s="472">
        <v>22</v>
      </c>
    </row>
    <row r="18" spans="1:3" ht="12.75">
      <c r="A18" s="18" t="s">
        <v>60</v>
      </c>
      <c r="B18" s="18" t="s">
        <v>682</v>
      </c>
      <c r="C18" s="472">
        <v>23</v>
      </c>
    </row>
    <row r="19" ht="12.75">
      <c r="C19" s="472"/>
    </row>
    <row r="20" spans="1:3" ht="12.75">
      <c r="A20" s="18" t="s">
        <v>613</v>
      </c>
      <c r="B20" s="18" t="s">
        <v>614</v>
      </c>
      <c r="C20" s="472" t="s">
        <v>889</v>
      </c>
    </row>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sheetData>
  <sheetProtection password="CD36" sheet="1" objects="1" scenarios="1"/>
  <printOptions horizontalCentered="1"/>
  <pageMargins left="0.3937007874015748" right="0.3937007874015748" top="0.1968503937007874" bottom="0.1968503937007874" header="0.5118110236220472" footer="0.5118110236220472"/>
  <pageSetup horizontalDpi="600" verticalDpi="600" orientation="landscape" paperSize="9" scale="85" r:id="rId2"/>
  <headerFooter alignWithMargins="0">
    <oddFooter>&amp;C&amp;A</oddFooter>
  </headerFooter>
  <drawing r:id="rId1"/>
</worksheet>
</file>

<file path=xl/worksheets/sheet4.xml><?xml version="1.0" encoding="utf-8"?>
<worksheet xmlns="http://schemas.openxmlformats.org/spreadsheetml/2006/main" xmlns:r="http://schemas.openxmlformats.org/officeDocument/2006/relationships">
  <dimension ref="A1:X21"/>
  <sheetViews>
    <sheetView showGridLines="0" tabSelected="1" zoomScale="86" zoomScaleNormal="86" zoomScaleSheetLayoutView="86" workbookViewId="0" topLeftCell="A1">
      <selection activeCell="A17" sqref="A17"/>
    </sheetView>
  </sheetViews>
  <sheetFormatPr defaultColWidth="9.140625" defaultRowHeight="12.75" zeroHeight="1"/>
  <cols>
    <col min="1" max="7" width="9.140625" style="18" customWidth="1"/>
    <col min="8" max="8" width="11.8515625" style="150" customWidth="1"/>
    <col min="9" max="10" width="9.140625" style="18" customWidth="1"/>
    <col min="11" max="11" width="10.140625" style="18" bestFit="1" customWidth="1"/>
    <col min="12" max="13" width="9.140625" style="18" customWidth="1"/>
    <col min="14" max="14" width="15.8515625" style="18" bestFit="1" customWidth="1"/>
    <col min="15" max="15" width="9.140625" style="18" customWidth="1"/>
    <col min="16" max="16384" width="0" style="18" hidden="1" customWidth="1"/>
  </cols>
  <sheetData>
    <row r="1" spans="1:17" ht="15" customHeight="1">
      <c r="A1" s="10"/>
      <c r="B1" s="10"/>
      <c r="C1" s="10"/>
      <c r="D1" s="10"/>
      <c r="E1" s="29"/>
      <c r="F1" s="29"/>
      <c r="G1" s="10"/>
      <c r="H1" s="149"/>
      <c r="I1" s="10"/>
      <c r="J1" s="10"/>
      <c r="K1" s="10"/>
      <c r="L1" s="10"/>
      <c r="M1" s="10"/>
      <c r="N1" s="10"/>
      <c r="O1" s="10"/>
      <c r="P1" s="10"/>
      <c r="Q1" s="10"/>
    </row>
    <row r="2" spans="5:22" s="3" customFormat="1" ht="14.25" customHeight="1">
      <c r="E2" s="260" t="b">
        <f>voorblad!E14</f>
        <v>1</v>
      </c>
      <c r="O2" s="236"/>
      <c r="P2" s="236"/>
      <c r="Q2" s="237"/>
      <c r="R2" s="237"/>
      <c r="S2" s="236"/>
      <c r="T2" s="236"/>
      <c r="U2" s="238"/>
      <c r="V2" s="239"/>
    </row>
    <row r="3" spans="1:24" s="108" customFormat="1" ht="13.5" customHeight="1">
      <c r="A3" s="110" t="str">
        <f>voorblad!A20</f>
        <v>Mutatieformulier regiokader gehandicaptenzorg 2006</v>
      </c>
      <c r="B3" s="1"/>
      <c r="C3" s="1"/>
      <c r="D3" s="1"/>
      <c r="E3" s="1"/>
      <c r="F3" s="1"/>
      <c r="G3" s="1"/>
      <c r="H3" s="1"/>
      <c r="I3" s="240"/>
      <c r="J3" s="228"/>
      <c r="K3" s="241" t="str">
        <f>"versie: "&amp;TEXT(voorblad!$L$25,"dd-mm-jjjj")</f>
        <v>versie: 11-09-2006</v>
      </c>
      <c r="L3" s="242"/>
      <c r="M3" s="231"/>
      <c r="N3" s="244">
        <f>inhoudsopgave!H3+1</f>
        <v>5</v>
      </c>
      <c r="P3" s="244"/>
      <c r="Q3" s="245"/>
      <c r="R3" s="245"/>
      <c r="S3" s="244"/>
      <c r="T3" s="244"/>
      <c r="U3" s="246"/>
      <c r="V3" s="247"/>
      <c r="W3" s="2"/>
      <c r="X3" s="2"/>
    </row>
    <row r="4" spans="2:24" s="108" customFormat="1" ht="13.5" customHeight="1">
      <c r="B4" s="248"/>
      <c r="C4" s="248"/>
      <c r="D4" s="248"/>
      <c r="E4" s="248"/>
      <c r="F4" s="248"/>
      <c r="G4" s="248"/>
      <c r="H4" s="248"/>
      <c r="I4" s="248"/>
      <c r="J4" s="3"/>
      <c r="K4" s="249"/>
      <c r="L4" s="250"/>
      <c r="M4" s="251"/>
      <c r="O4" s="244"/>
      <c r="P4" s="244"/>
      <c r="Q4" s="245"/>
      <c r="R4" s="245"/>
      <c r="S4" s="244"/>
      <c r="T4" s="244"/>
      <c r="U4" s="246"/>
      <c r="V4" s="247"/>
      <c r="W4" s="2"/>
      <c r="X4" s="2"/>
    </row>
    <row r="5" spans="1:24" s="108" customFormat="1" ht="13.5" customHeight="1">
      <c r="A5" s="500" t="s">
        <v>604</v>
      </c>
      <c r="B5" s="248"/>
      <c r="C5" s="248"/>
      <c r="D5" s="248"/>
      <c r="E5" s="248"/>
      <c r="F5" s="248"/>
      <c r="G5" s="248"/>
      <c r="H5" s="248"/>
      <c r="I5" s="248"/>
      <c r="J5" s="3"/>
      <c r="K5" s="249"/>
      <c r="L5" s="250"/>
      <c r="M5" s="251"/>
      <c r="O5" s="244"/>
      <c r="P5" s="244"/>
      <c r="Q5" s="245"/>
      <c r="R5" s="245"/>
      <c r="S5" s="244"/>
      <c r="T5" s="244"/>
      <c r="U5" s="246"/>
      <c r="V5" s="247"/>
      <c r="W5" s="2"/>
      <c r="X5" s="2"/>
    </row>
    <row r="6" spans="2:24" s="108" customFormat="1" ht="13.5" customHeight="1">
      <c r="B6" s="248"/>
      <c r="C6" s="248"/>
      <c r="D6" s="248"/>
      <c r="E6" s="248"/>
      <c r="F6" s="248"/>
      <c r="G6" s="248"/>
      <c r="H6" s="248"/>
      <c r="I6" s="248"/>
      <c r="J6" s="3"/>
      <c r="K6" s="249"/>
      <c r="L6" s="250"/>
      <c r="M6" s="251"/>
      <c r="O6" s="244"/>
      <c r="P6" s="244"/>
      <c r="Q6" s="245"/>
      <c r="R6" s="245"/>
      <c r="S6" s="244"/>
      <c r="T6" s="244"/>
      <c r="U6" s="246"/>
      <c r="V6" s="247"/>
      <c r="W6" s="2"/>
      <c r="X6" s="2"/>
    </row>
    <row r="7" spans="1:17" ht="15" customHeight="1">
      <c r="A7" s="10" t="s">
        <v>427</v>
      </c>
      <c r="B7" s="10"/>
      <c r="C7" s="10"/>
      <c r="D7" s="10"/>
      <c r="E7" s="29"/>
      <c r="F7" s="29"/>
      <c r="G7" s="10"/>
      <c r="H7" s="149"/>
      <c r="I7" s="10"/>
      <c r="J7" s="10"/>
      <c r="K7" s="10"/>
      <c r="L7" s="10"/>
      <c r="M7" s="10"/>
      <c r="N7" s="10"/>
      <c r="O7" s="10"/>
      <c r="P7" s="10"/>
      <c r="Q7" s="10"/>
    </row>
    <row r="8" spans="1:17" ht="15" customHeight="1">
      <c r="A8" s="10" t="s">
        <v>597</v>
      </c>
      <c r="B8" s="10"/>
      <c r="C8" s="10"/>
      <c r="D8" s="10"/>
      <c r="E8" s="29"/>
      <c r="F8" s="29"/>
      <c r="G8" s="10"/>
      <c r="H8" s="149"/>
      <c r="I8" s="10"/>
      <c r="J8" s="10"/>
      <c r="K8" s="10"/>
      <c r="L8" s="10"/>
      <c r="M8" s="10"/>
      <c r="N8" s="10"/>
      <c r="O8" s="10"/>
      <c r="P8" s="10"/>
      <c r="Q8" s="10"/>
    </row>
    <row r="9" spans="1:17" ht="15" customHeight="1">
      <c r="A9" s="10" t="s">
        <v>416</v>
      </c>
      <c r="B9" s="10"/>
      <c r="C9" s="10"/>
      <c r="D9" s="10"/>
      <c r="E9" s="29"/>
      <c r="F9" s="29"/>
      <c r="G9" s="10"/>
      <c r="H9" s="149"/>
      <c r="I9" s="10"/>
      <c r="J9" s="10"/>
      <c r="K9" s="10"/>
      <c r="L9" s="10"/>
      <c r="M9" s="10"/>
      <c r="N9" s="10"/>
      <c r="O9" s="10"/>
      <c r="P9" s="10"/>
      <c r="Q9" s="10"/>
    </row>
    <row r="10" spans="1:17" ht="15" customHeight="1">
      <c r="A10" s="10"/>
      <c r="B10" s="10"/>
      <c r="C10" s="10"/>
      <c r="D10" s="10"/>
      <c r="E10" s="29"/>
      <c r="F10" s="29"/>
      <c r="G10" s="10"/>
      <c r="H10" s="149"/>
      <c r="I10" s="10"/>
      <c r="J10" s="10"/>
      <c r="K10" s="10"/>
      <c r="L10" s="10"/>
      <c r="M10" s="10"/>
      <c r="N10" s="10"/>
      <c r="O10" s="10"/>
      <c r="P10" s="10"/>
      <c r="Q10" s="10"/>
    </row>
    <row r="11" spans="1:17" ht="15" customHeight="1">
      <c r="A11" s="223" t="s">
        <v>322</v>
      </c>
      <c r="B11" s="223" t="s">
        <v>323</v>
      </c>
      <c r="C11" s="224"/>
      <c r="D11" s="224"/>
      <c r="E11" s="225"/>
      <c r="F11" s="225"/>
      <c r="G11" s="226"/>
      <c r="H11" s="222" t="s">
        <v>324</v>
      </c>
      <c r="I11" s="10"/>
      <c r="J11" s="10"/>
      <c r="K11" s="10"/>
      <c r="L11" s="10"/>
      <c r="M11" s="10"/>
      <c r="N11" s="10"/>
      <c r="O11" s="10"/>
      <c r="P11" s="10"/>
      <c r="Q11" s="10"/>
    </row>
    <row r="12" spans="1:17" ht="15" customHeight="1">
      <c r="A12" s="191">
        <v>3</v>
      </c>
      <c r="B12" s="27" t="s">
        <v>267</v>
      </c>
      <c r="C12" s="21"/>
      <c r="D12" s="21"/>
      <c r="E12" s="192"/>
      <c r="F12" s="192"/>
      <c r="G12" s="116"/>
      <c r="H12" s="190"/>
      <c r="I12" s="10"/>
      <c r="K12" s="10"/>
      <c r="L12" s="10"/>
      <c r="M12" s="10"/>
      <c r="N12" s="10"/>
      <c r="O12" s="10"/>
      <c r="P12" s="10"/>
      <c r="Q12" s="10"/>
    </row>
    <row r="13" spans="1:17" ht="15" customHeight="1">
      <c r="A13" s="191">
        <v>4</v>
      </c>
      <c r="B13" s="193" t="s">
        <v>269</v>
      </c>
      <c r="C13" s="10"/>
      <c r="D13" s="10"/>
      <c r="E13" s="196"/>
      <c r="F13" s="196"/>
      <c r="G13" s="195"/>
      <c r="H13" s="198"/>
      <c r="I13" s="10"/>
      <c r="K13" s="10"/>
      <c r="L13" s="10"/>
      <c r="M13" s="10"/>
      <c r="N13" s="10"/>
      <c r="O13" s="10"/>
      <c r="P13" s="10"/>
      <c r="Q13" s="10"/>
    </row>
    <row r="14" spans="1:17" ht="15" customHeight="1">
      <c r="A14" s="191">
        <v>5</v>
      </c>
      <c r="B14" s="27" t="s">
        <v>273</v>
      </c>
      <c r="C14" s="21"/>
      <c r="D14" s="21"/>
      <c r="E14" s="192"/>
      <c r="F14" s="192"/>
      <c r="G14" s="116"/>
      <c r="H14" s="190"/>
      <c r="I14" s="10"/>
      <c r="K14" s="10"/>
      <c r="L14" s="10"/>
      <c r="M14" s="10"/>
      <c r="N14" s="10"/>
      <c r="O14" s="10"/>
      <c r="P14" s="10"/>
      <c r="Q14" s="10"/>
    </row>
    <row r="15" spans="1:17" ht="15" customHeight="1">
      <c r="A15" s="191">
        <v>6</v>
      </c>
      <c r="B15" s="193" t="s">
        <v>325</v>
      </c>
      <c r="C15" s="10"/>
      <c r="D15" s="10"/>
      <c r="E15" s="194"/>
      <c r="F15" s="194"/>
      <c r="G15" s="195"/>
      <c r="H15" s="190"/>
      <c r="I15" s="10"/>
      <c r="K15" s="10"/>
      <c r="L15" s="10"/>
      <c r="M15" s="10"/>
      <c r="N15" s="10"/>
      <c r="O15" s="10"/>
      <c r="P15" s="10"/>
      <c r="Q15" s="10"/>
    </row>
    <row r="16" spans="1:17" ht="15" customHeight="1">
      <c r="A16" s="191">
        <v>7</v>
      </c>
      <c r="B16" s="27" t="s">
        <v>326</v>
      </c>
      <c r="C16" s="21"/>
      <c r="D16" s="21"/>
      <c r="E16" s="192"/>
      <c r="F16" s="192"/>
      <c r="G16" s="116"/>
      <c r="H16" s="190"/>
      <c r="I16" s="10"/>
      <c r="K16" s="10"/>
      <c r="L16" s="10"/>
      <c r="M16" s="10"/>
      <c r="N16" s="10"/>
      <c r="O16" s="10"/>
      <c r="P16" s="10"/>
      <c r="Q16" s="10"/>
    </row>
    <row r="17" spans="1:17" ht="15" customHeight="1">
      <c r="A17" s="191">
        <v>8</v>
      </c>
      <c r="B17" s="193" t="s">
        <v>327</v>
      </c>
      <c r="C17" s="10"/>
      <c r="D17" s="10"/>
      <c r="E17" s="196"/>
      <c r="F17" s="196"/>
      <c r="G17" s="195"/>
      <c r="H17" s="190"/>
      <c r="I17" s="10"/>
      <c r="K17" s="10"/>
      <c r="L17" s="10"/>
      <c r="M17" s="10"/>
      <c r="N17" s="10"/>
      <c r="O17" s="10"/>
      <c r="P17" s="10"/>
      <c r="Q17" s="10"/>
    </row>
    <row r="18" spans="1:17" ht="15" customHeight="1">
      <c r="A18" s="191">
        <v>9</v>
      </c>
      <c r="B18" s="27" t="s">
        <v>401</v>
      </c>
      <c r="C18" s="21"/>
      <c r="D18" s="21"/>
      <c r="E18" s="192"/>
      <c r="F18" s="192"/>
      <c r="G18" s="116"/>
      <c r="H18" s="190"/>
      <c r="I18" s="10"/>
      <c r="J18" s="10"/>
      <c r="K18" s="10"/>
      <c r="L18" s="10"/>
      <c r="M18" s="10"/>
      <c r="N18" s="10"/>
      <c r="O18" s="10"/>
      <c r="P18" s="10"/>
      <c r="Q18" s="10"/>
    </row>
    <row r="19" spans="1:17" ht="15" customHeight="1">
      <c r="A19" s="191">
        <v>11</v>
      </c>
      <c r="B19" s="193" t="s">
        <v>328</v>
      </c>
      <c r="C19" s="10"/>
      <c r="D19" s="10"/>
      <c r="E19" s="196"/>
      <c r="F19" s="196"/>
      <c r="G19" s="195"/>
      <c r="H19" s="197"/>
      <c r="I19" s="10"/>
      <c r="J19" s="10"/>
      <c r="K19" s="10"/>
      <c r="L19" s="10"/>
      <c r="M19" s="10"/>
      <c r="N19" s="10"/>
      <c r="O19" s="10"/>
      <c r="P19" s="10"/>
      <c r="Q19" s="10"/>
    </row>
    <row r="20" spans="1:17" ht="15" customHeight="1">
      <c r="A20" s="191">
        <v>16</v>
      </c>
      <c r="B20" s="27" t="s">
        <v>293</v>
      </c>
      <c r="C20" s="21"/>
      <c r="D20" s="21"/>
      <c r="E20" s="192"/>
      <c r="F20" s="192"/>
      <c r="G20" s="116"/>
      <c r="H20" s="190"/>
      <c r="I20" s="10"/>
      <c r="J20" s="10"/>
      <c r="K20" s="10"/>
      <c r="L20" s="10"/>
      <c r="M20" s="10"/>
      <c r="N20" s="10"/>
      <c r="O20" s="10"/>
      <c r="P20" s="10"/>
      <c r="Q20" s="10"/>
    </row>
    <row r="21" spans="1:17" ht="15" customHeight="1">
      <c r="A21" s="10"/>
      <c r="B21" s="10"/>
      <c r="C21" s="10"/>
      <c r="D21" s="10"/>
      <c r="E21" s="29"/>
      <c r="F21" s="29"/>
      <c r="G21" s="10"/>
      <c r="H21" s="149"/>
      <c r="I21" s="10"/>
      <c r="J21" s="10"/>
      <c r="K21" s="10"/>
      <c r="L21" s="10"/>
      <c r="M21" s="10"/>
      <c r="N21" s="10"/>
      <c r="O21" s="10"/>
      <c r="P21" s="10"/>
      <c r="Q21" s="10"/>
    </row>
    <row r="22" ht="12.75"/>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sheetData>
  <sheetProtection password="CD36" sheet="1" objects="1" scenarios="1"/>
  <conditionalFormatting sqref="E12:F20">
    <cfRule type="expression" priority="1" dxfId="1" stopIfTrue="1">
      <formula>#REF!=TRUE</formula>
    </cfRule>
  </conditionalFormatting>
  <conditionalFormatting sqref="H12:H20">
    <cfRule type="expression" priority="2" dxfId="0" stopIfTrue="1">
      <formula>$E$2=TRUE</formula>
    </cfRule>
  </conditionalFormatting>
  <dataValidations count="2">
    <dataValidation type="list" allowBlank="1" showInputMessage="1" showErrorMessage="1" error="Hier kan alleen ja of nee ingevuld worden" sqref="H12:H20">
      <formula1>"ja,nee"</formula1>
    </dataValidation>
    <dataValidation allowBlank="1" showInputMessage="1" showErrorMessage="1" error="Hier kan alleen ja of nee ingevuld worden" sqref="F12:F20"/>
  </dataValidations>
  <printOptions horizontalCentered="1"/>
  <pageMargins left="0.3937007874015748" right="0.3937007874015748" top="0.1968503937007874" bottom="0.1968503937007874" header="0.5118110236220472" footer="0.5118110236220472"/>
  <pageSetup horizontalDpi="600" verticalDpi="600" orientation="landscape" paperSize="9" scale="85" r:id="rId2"/>
  <headerFooter alignWithMargins="0">
    <oddFooter>&amp;C&amp;A</oddFooter>
  </headerFooter>
  <drawing r:id="rId1"/>
</worksheet>
</file>

<file path=xl/worksheets/sheet5.xml><?xml version="1.0" encoding="utf-8"?>
<worksheet xmlns="http://schemas.openxmlformats.org/spreadsheetml/2006/main" xmlns:r="http://schemas.openxmlformats.org/officeDocument/2006/relationships">
  <dimension ref="A1:Y116"/>
  <sheetViews>
    <sheetView showGridLines="0" tabSelected="1" zoomScale="90" zoomScaleNormal="90" zoomScaleSheetLayoutView="75" workbookViewId="0" topLeftCell="A1">
      <selection activeCell="A17" sqref="A17"/>
    </sheetView>
  </sheetViews>
  <sheetFormatPr defaultColWidth="9.140625" defaultRowHeight="0" customHeight="1" zeroHeight="1"/>
  <cols>
    <col min="1" max="1" width="5.8515625" style="42" customWidth="1"/>
    <col min="2" max="2" width="9.421875" style="11" customWidth="1"/>
    <col min="3" max="3" width="9.28125" style="11" customWidth="1"/>
    <col min="4" max="4" width="13.28125" style="11" customWidth="1"/>
    <col min="5" max="5" width="14.140625" style="11" customWidth="1"/>
    <col min="6" max="9" width="10.8515625" style="11" customWidth="1"/>
    <col min="10" max="10" width="11.140625" style="11" customWidth="1"/>
    <col min="11" max="11" width="2.7109375" style="11" customWidth="1"/>
    <col min="12" max="13" width="11.140625" style="11" customWidth="1"/>
    <col min="14" max="14" width="9.421875" style="11" customWidth="1"/>
    <col min="15" max="16384" width="9.421875" style="11" hidden="1" customWidth="1"/>
  </cols>
  <sheetData>
    <row r="1" spans="1:23" s="3" customFormat="1" ht="14.25" customHeight="1">
      <c r="A1" s="284"/>
      <c r="P1" s="236"/>
      <c r="Q1" s="236"/>
      <c r="R1" s="237"/>
      <c r="S1" s="237"/>
      <c r="T1" s="236"/>
      <c r="U1" s="236"/>
      <c r="V1" s="238"/>
      <c r="W1" s="239"/>
    </row>
    <row r="2" spans="1:25" s="108" customFormat="1" ht="13.5" customHeight="1">
      <c r="A2" s="285" t="str">
        <f>voorblad!A20</f>
        <v>Mutatieformulier regiokader gehandicaptenzorg 2006</v>
      </c>
      <c r="B2" s="1"/>
      <c r="C2" s="1"/>
      <c r="D2" s="228"/>
      <c r="E2" s="228"/>
      <c r="F2" s="254" t="b">
        <f>voorblad!E14</f>
        <v>1</v>
      </c>
      <c r="G2" s="228"/>
      <c r="H2" s="228"/>
      <c r="I2" s="241"/>
      <c r="J2" s="241" t="str">
        <f>"versie: "&amp;TEXT(voorblad!$L$25,"dd-mm-jjjj")</f>
        <v>versie: 11-09-2006</v>
      </c>
      <c r="K2" s="2"/>
      <c r="L2" s="2"/>
      <c r="M2" s="244">
        <f>functies!N3+1</f>
        <v>6</v>
      </c>
      <c r="O2" s="243"/>
      <c r="P2" s="244">
        <v>1</v>
      </c>
      <c r="Q2" s="244"/>
      <c r="R2" s="245"/>
      <c r="S2" s="245"/>
      <c r="T2" s="244"/>
      <c r="U2" s="244"/>
      <c r="V2" s="246"/>
      <c r="W2" s="247"/>
      <c r="X2" s="2"/>
      <c r="Y2" s="2"/>
    </row>
    <row r="3" spans="1:17" s="3" customFormat="1" ht="19.5" customHeight="1">
      <c r="A3" s="230"/>
      <c r="B3" s="232"/>
      <c r="C3" s="230" t="s">
        <v>601</v>
      </c>
      <c r="D3" s="230" t="s">
        <v>601</v>
      </c>
      <c r="E3" s="233"/>
      <c r="F3" s="233"/>
      <c r="G3" s="2"/>
      <c r="H3" s="234"/>
      <c r="I3" s="234"/>
      <c r="J3" s="2"/>
      <c r="K3" s="2"/>
      <c r="L3" s="9"/>
      <c r="M3" s="2"/>
      <c r="N3" s="229"/>
      <c r="O3" s="229"/>
      <c r="P3" s="2"/>
      <c r="Q3" s="2"/>
    </row>
    <row r="4" spans="1:11" ht="15" customHeight="1">
      <c r="A4" s="297" t="s">
        <v>361</v>
      </c>
      <c r="B4" s="15"/>
      <c r="C4" s="15"/>
      <c r="D4" s="15"/>
      <c r="E4" s="15"/>
      <c r="H4" s="15"/>
      <c r="I4" s="15"/>
      <c r="J4" s="15"/>
      <c r="K4" s="15"/>
    </row>
    <row r="5" spans="1:11" ht="15" customHeight="1" thickBot="1">
      <c r="A5" s="297"/>
      <c r="B5" s="15"/>
      <c r="C5" s="15"/>
      <c r="D5" s="15"/>
      <c r="E5" s="15"/>
      <c r="H5" s="15"/>
      <c r="I5" s="15"/>
      <c r="J5" s="15"/>
      <c r="K5" s="15"/>
    </row>
    <row r="6" spans="1:11" ht="15" customHeight="1" thickBot="1">
      <c r="A6" s="331"/>
      <c r="B6" s="32" t="s">
        <v>39</v>
      </c>
      <c r="C6" s="16"/>
      <c r="D6" s="332"/>
      <c r="E6" s="327"/>
      <c r="F6" s="343" t="s">
        <v>109</v>
      </c>
      <c r="H6" s="15"/>
      <c r="I6" s="15"/>
      <c r="J6" s="15"/>
      <c r="K6" s="15"/>
    </row>
    <row r="7" spans="1:10" ht="15" customHeight="1">
      <c r="A7" s="30" t="s">
        <v>888</v>
      </c>
      <c r="B7" s="15"/>
      <c r="C7" s="30"/>
      <c r="D7" s="330"/>
      <c r="E7" s="23"/>
      <c r="G7" s="15"/>
      <c r="H7" s="15"/>
      <c r="I7" s="15"/>
      <c r="J7" s="15"/>
    </row>
    <row r="8" spans="1:11" ht="15" customHeight="1">
      <c r="A8" s="30"/>
      <c r="B8" s="15"/>
      <c r="C8" s="15"/>
      <c r="D8" s="15"/>
      <c r="E8" s="15"/>
      <c r="H8" s="15"/>
      <c r="I8" s="15"/>
      <c r="J8" s="15"/>
      <c r="K8" s="15"/>
    </row>
    <row r="9" spans="1:12" ht="15" customHeight="1">
      <c r="A9" s="30"/>
      <c r="C9" s="30"/>
      <c r="D9" s="30"/>
      <c r="E9" s="30"/>
      <c r="G9" s="81" t="s">
        <v>1032</v>
      </c>
      <c r="H9" s="23"/>
      <c r="I9" s="23"/>
      <c r="J9" s="23"/>
      <c r="K9" s="23"/>
      <c r="L9" s="25"/>
    </row>
    <row r="10" spans="1:12" ht="15" customHeight="1">
      <c r="A10" s="11"/>
      <c r="B10" s="330" t="s">
        <v>109</v>
      </c>
      <c r="E10" s="30"/>
      <c r="G10" s="205" t="s">
        <v>132</v>
      </c>
      <c r="H10" s="205" t="s">
        <v>404</v>
      </c>
      <c r="I10" s="205" t="s">
        <v>216</v>
      </c>
      <c r="J10" s="205" t="s">
        <v>218</v>
      </c>
      <c r="K10" s="509"/>
      <c r="L10" s="509"/>
    </row>
    <row r="11" spans="1:12" ht="15" customHeight="1">
      <c r="A11" s="31"/>
      <c r="B11" s="330" t="s">
        <v>143</v>
      </c>
      <c r="D11" s="30"/>
      <c r="E11" s="30"/>
      <c r="G11" s="207" t="s">
        <v>452</v>
      </c>
      <c r="H11" s="207" t="s">
        <v>148</v>
      </c>
      <c r="I11" s="207" t="s">
        <v>148</v>
      </c>
      <c r="J11" s="207" t="s">
        <v>148</v>
      </c>
      <c r="K11" s="509"/>
      <c r="L11" s="509"/>
    </row>
    <row r="12" spans="1:12" ht="15" customHeight="1">
      <c r="A12" s="47">
        <f>M2*100+1</f>
        <v>601</v>
      </c>
      <c r="B12" s="85" t="s">
        <v>684</v>
      </c>
      <c r="C12" s="16"/>
      <c r="D12" s="38"/>
      <c r="E12" s="38"/>
      <c r="F12" s="38"/>
      <c r="G12" s="282"/>
      <c r="H12" s="61"/>
      <c r="I12" s="61"/>
      <c r="J12" s="61">
        <f>I12-H12</f>
        <v>0</v>
      </c>
      <c r="K12" s="34"/>
      <c r="L12" s="810" t="s">
        <v>904</v>
      </c>
    </row>
    <row r="13" spans="1:12" ht="15" customHeight="1">
      <c r="A13" s="31"/>
      <c r="B13" s="30" t="s">
        <v>363</v>
      </c>
      <c r="C13" s="30"/>
      <c r="D13" s="30"/>
      <c r="E13" s="30"/>
      <c r="F13" s="38"/>
      <c r="G13" s="825">
        <f>IF(AND(J12&gt;0,I12&gt;G12),"U mag alleen muteren binnen de laatst afgegeven toelating.","")</f>
      </c>
      <c r="H13" s="34"/>
      <c r="I13" s="34"/>
      <c r="J13" s="561"/>
      <c r="K13" s="34"/>
      <c r="L13" s="34"/>
    </row>
    <row r="14" spans="1:12" ht="15" customHeight="1">
      <c r="A14" s="47">
        <f>A12+1</f>
        <v>602</v>
      </c>
      <c r="B14" s="49" t="s">
        <v>400</v>
      </c>
      <c r="C14" s="16"/>
      <c r="D14" s="16"/>
      <c r="E14" s="16"/>
      <c r="F14" s="38"/>
      <c r="G14" s="282"/>
      <c r="H14" s="61"/>
      <c r="I14" s="61"/>
      <c r="J14" s="61">
        <f>I14-H14</f>
        <v>0</v>
      </c>
      <c r="K14" s="34"/>
      <c r="L14" s="810" t="s">
        <v>997</v>
      </c>
    </row>
    <row r="15" spans="1:12" ht="15" customHeight="1">
      <c r="A15" s="47">
        <f>A14+1</f>
        <v>603</v>
      </c>
      <c r="B15" s="57" t="s">
        <v>419</v>
      </c>
      <c r="C15" s="30"/>
      <c r="D15" s="30"/>
      <c r="E15" s="30"/>
      <c r="F15" s="38"/>
      <c r="G15" s="282"/>
      <c r="H15" s="61"/>
      <c r="I15" s="61"/>
      <c r="J15" s="61">
        <f>I15-H15</f>
        <v>0</v>
      </c>
      <c r="K15" s="34"/>
      <c r="L15" s="810" t="s">
        <v>905</v>
      </c>
    </row>
    <row r="16" spans="1:12" ht="15" customHeight="1">
      <c r="A16" s="47">
        <f>A15+1</f>
        <v>604</v>
      </c>
      <c r="B16" s="49" t="s">
        <v>423</v>
      </c>
      <c r="C16" s="16"/>
      <c r="D16" s="16"/>
      <c r="E16" s="16"/>
      <c r="F16" s="38"/>
      <c r="G16" s="282"/>
      <c r="H16" s="61"/>
      <c r="I16" s="61"/>
      <c r="J16" s="61">
        <f>I16-H16</f>
        <v>0</v>
      </c>
      <c r="K16" s="34"/>
      <c r="L16" s="810" t="s">
        <v>906</v>
      </c>
    </row>
    <row r="17" spans="1:12" ht="15" customHeight="1">
      <c r="A17" s="47">
        <f>A16+1</f>
        <v>605</v>
      </c>
      <c r="B17" s="49" t="s">
        <v>424</v>
      </c>
      <c r="C17" s="16"/>
      <c r="D17" s="16"/>
      <c r="E17" s="16"/>
      <c r="F17" s="38"/>
      <c r="G17" s="282"/>
      <c r="H17" s="61"/>
      <c r="I17" s="61"/>
      <c r="J17" s="61">
        <f>I17-H17</f>
        <v>0</v>
      </c>
      <c r="K17" s="34"/>
      <c r="L17" s="810" t="s">
        <v>907</v>
      </c>
    </row>
    <row r="18" spans="1:12" ht="15" customHeight="1">
      <c r="A18" s="47">
        <f>A17+1</f>
        <v>606</v>
      </c>
      <c r="B18" s="65" t="s">
        <v>425</v>
      </c>
      <c r="C18" s="66"/>
      <c r="D18" s="66"/>
      <c r="E18" s="66"/>
      <c r="F18" s="38"/>
      <c r="G18" s="282"/>
      <c r="H18" s="61"/>
      <c r="I18" s="61"/>
      <c r="J18" s="61">
        <f>I18-H18</f>
        <v>0</v>
      </c>
      <c r="K18" s="34"/>
      <c r="L18" s="810" t="s">
        <v>908</v>
      </c>
    </row>
    <row r="19" spans="1:12" ht="15" customHeight="1">
      <c r="A19" s="31"/>
      <c r="B19" s="30" t="s">
        <v>491</v>
      </c>
      <c r="C19" s="30"/>
      <c r="D19" s="30"/>
      <c r="E19" s="30"/>
      <c r="F19" s="38"/>
      <c r="H19" s="34"/>
      <c r="I19" s="34"/>
      <c r="J19" s="561"/>
      <c r="K19" s="34"/>
      <c r="L19" s="34"/>
    </row>
    <row r="20" spans="1:12" ht="15" customHeight="1">
      <c r="A20" s="47">
        <f>A18+1</f>
        <v>607</v>
      </c>
      <c r="B20" s="60" t="s">
        <v>410</v>
      </c>
      <c r="C20" s="64"/>
      <c r="D20" s="64"/>
      <c r="E20" s="64"/>
      <c r="F20" s="38"/>
      <c r="G20" s="282"/>
      <c r="H20" s="61"/>
      <c r="I20" s="61"/>
      <c r="J20" s="61">
        <f>I20-H20</f>
        <v>0</v>
      </c>
      <c r="K20" s="34"/>
      <c r="L20" s="810" t="s">
        <v>909</v>
      </c>
    </row>
    <row r="21" spans="1:12" ht="15" customHeight="1">
      <c r="A21" s="47">
        <f>A20+1</f>
        <v>608</v>
      </c>
      <c r="B21" s="49" t="s">
        <v>411</v>
      </c>
      <c r="C21" s="16"/>
      <c r="D21" s="16"/>
      <c r="E21" s="16"/>
      <c r="F21" s="38"/>
      <c r="G21" s="282"/>
      <c r="H21" s="61"/>
      <c r="I21" s="61"/>
      <c r="J21" s="61">
        <f>I21-H21</f>
        <v>0</v>
      </c>
      <c r="K21" s="34"/>
      <c r="L21" s="810" t="s">
        <v>910</v>
      </c>
    </row>
    <row r="22" spans="1:12" ht="15" customHeight="1">
      <c r="A22" s="47">
        <f>A21+1</f>
        <v>609</v>
      </c>
      <c r="B22" s="49" t="s">
        <v>362</v>
      </c>
      <c r="C22" s="16"/>
      <c r="D22" s="16"/>
      <c r="E22" s="16"/>
      <c r="F22" s="38"/>
      <c r="G22" s="282"/>
      <c r="H22" s="61"/>
      <c r="I22" s="61"/>
      <c r="J22" s="61">
        <f>I22-H22</f>
        <v>0</v>
      </c>
      <c r="K22" s="34"/>
      <c r="L22" s="810" t="s">
        <v>911</v>
      </c>
    </row>
    <row r="23" spans="1:12" ht="15" customHeight="1">
      <c r="A23" s="31"/>
      <c r="B23" s="30"/>
      <c r="C23" s="15"/>
      <c r="D23" s="15"/>
      <c r="E23" s="15"/>
      <c r="F23" s="38"/>
      <c r="H23" s="34"/>
      <c r="I23" s="34"/>
      <c r="J23" s="561"/>
      <c r="K23" s="34"/>
      <c r="L23" s="34"/>
    </row>
    <row r="24" spans="1:12" ht="15" customHeight="1">
      <c r="A24" s="47">
        <f>A22+1</f>
        <v>610</v>
      </c>
      <c r="B24" s="85" t="s">
        <v>685</v>
      </c>
      <c r="C24" s="22"/>
      <c r="D24" s="22"/>
      <c r="E24" s="22"/>
      <c r="F24" s="38"/>
      <c r="G24" s="282"/>
      <c r="H24" s="283"/>
      <c r="I24" s="61"/>
      <c r="J24" s="61">
        <f>I24-H24</f>
        <v>0</v>
      </c>
      <c r="K24" s="34"/>
      <c r="L24" s="34"/>
    </row>
    <row r="25" spans="1:12" ht="15" customHeight="1">
      <c r="A25" s="31"/>
      <c r="B25" s="30" t="s">
        <v>363</v>
      </c>
      <c r="C25" s="30"/>
      <c r="D25" s="30"/>
      <c r="E25" s="30"/>
      <c r="F25" s="38"/>
      <c r="G25" s="825">
        <f>IF(AND(J24&gt;0,I24&gt;G24),"U mag alleen muteren binnen de laatst afgegeven toelating.","")</f>
      </c>
      <c r="H25" s="34"/>
      <c r="I25" s="34"/>
      <c r="J25" s="561"/>
      <c r="K25" s="34"/>
      <c r="L25" s="34"/>
    </row>
    <row r="26" spans="1:12" ht="15" customHeight="1">
      <c r="A26" s="47">
        <f>A24+1</f>
        <v>611</v>
      </c>
      <c r="B26" s="60" t="s">
        <v>388</v>
      </c>
      <c r="C26" s="52"/>
      <c r="D26" s="52"/>
      <c r="E26" s="52"/>
      <c r="F26" s="56"/>
      <c r="G26" s="282"/>
      <c r="H26" s="61"/>
      <c r="I26" s="61"/>
      <c r="J26" s="61">
        <f>I26-H26</f>
        <v>0</v>
      </c>
      <c r="K26" s="34"/>
      <c r="L26" s="810" t="s">
        <v>912</v>
      </c>
    </row>
    <row r="27" spans="1:12" ht="15" customHeight="1">
      <c r="A27" s="85">
        <f>A26+1</f>
        <v>612</v>
      </c>
      <c r="B27" s="49" t="s">
        <v>155</v>
      </c>
      <c r="C27" s="16"/>
      <c r="D27" s="22"/>
      <c r="E27" s="22"/>
      <c r="F27" s="261"/>
      <c r="G27" s="594"/>
      <c r="H27" s="61"/>
      <c r="I27" s="61"/>
      <c r="J27" s="61">
        <f>I27-H27</f>
        <v>0</v>
      </c>
      <c r="K27" s="34"/>
      <c r="L27" s="810" t="s">
        <v>913</v>
      </c>
    </row>
    <row r="28" spans="1:12" ht="15" customHeight="1">
      <c r="A28" s="47">
        <f>A27+1</f>
        <v>613</v>
      </c>
      <c r="B28" s="65" t="s">
        <v>835</v>
      </c>
      <c r="C28" s="86"/>
      <c r="D28" s="86"/>
      <c r="E28" s="86"/>
      <c r="F28" s="55"/>
      <c r="G28" s="44">
        <f>G24-G26</f>
        <v>0</v>
      </c>
      <c r="H28" s="44">
        <f>H24-H26</f>
        <v>0</v>
      </c>
      <c r="I28" s="44">
        <f>I24-I26</f>
        <v>0</v>
      </c>
      <c r="J28" s="61">
        <f>I28-H28</f>
        <v>0</v>
      </c>
      <c r="K28" s="34"/>
      <c r="L28" s="810" t="s">
        <v>914</v>
      </c>
    </row>
    <row r="29" spans="1:12" ht="15" customHeight="1">
      <c r="A29" s="31"/>
      <c r="B29" s="15"/>
      <c r="C29" s="25"/>
      <c r="D29" s="25"/>
      <c r="E29" s="25"/>
      <c r="F29" s="38"/>
      <c r="H29" s="34"/>
      <c r="I29" s="34"/>
      <c r="K29" s="34"/>
      <c r="L29" s="34"/>
    </row>
    <row r="30" spans="1:12" ht="15" customHeight="1">
      <c r="A30" s="47">
        <f>A28+1</f>
        <v>614</v>
      </c>
      <c r="B30" s="83" t="s">
        <v>686</v>
      </c>
      <c r="C30" s="37"/>
      <c r="D30" s="37"/>
      <c r="E30" s="37"/>
      <c r="F30" s="38"/>
      <c r="G30" s="282"/>
      <c r="H30" s="61"/>
      <c r="I30" s="61"/>
      <c r="J30" s="61">
        <f>I30-H30</f>
        <v>0</v>
      </c>
      <c r="K30" s="34"/>
      <c r="L30" s="811" t="s">
        <v>915</v>
      </c>
    </row>
    <row r="31" spans="1:12" ht="15.75" customHeight="1">
      <c r="A31" s="31"/>
      <c r="B31" s="30" t="s">
        <v>363</v>
      </c>
      <c r="C31" s="15"/>
      <c r="D31" s="15"/>
      <c r="E31" s="15"/>
      <c r="F31" s="38"/>
      <c r="G31" s="825">
        <f>IF(AND(J30&gt;0,I30&gt;G30),"U mag alleen muteren binnen de laatst afgegeven toelating.","")</f>
      </c>
      <c r="H31" s="34"/>
      <c r="I31" s="34"/>
      <c r="J31" s="561"/>
      <c r="K31" s="34"/>
      <c r="L31" s="34"/>
    </row>
    <row r="32" spans="1:12" ht="15.75" customHeight="1">
      <c r="A32" s="47">
        <f>A30+1</f>
        <v>615</v>
      </c>
      <c r="B32" s="32" t="s">
        <v>412</v>
      </c>
      <c r="C32" s="22"/>
      <c r="D32" s="22"/>
      <c r="E32" s="22"/>
      <c r="F32" s="38"/>
      <c r="G32" s="282"/>
      <c r="H32" s="61"/>
      <c r="I32" s="61"/>
      <c r="J32" s="61">
        <f>I32-H32</f>
        <v>0</v>
      </c>
      <c r="K32" s="34"/>
      <c r="L32" s="810" t="s">
        <v>916</v>
      </c>
    </row>
    <row r="33" spans="1:12" ht="15" customHeight="1">
      <c r="A33" s="47">
        <f>A32+1</f>
        <v>616</v>
      </c>
      <c r="B33" s="49" t="s">
        <v>413</v>
      </c>
      <c r="C33" s="22"/>
      <c r="D33" s="22"/>
      <c r="E33" s="22"/>
      <c r="F33" s="38"/>
      <c r="G33" s="282"/>
      <c r="H33" s="61"/>
      <c r="I33" s="61"/>
      <c r="J33" s="61">
        <f>I33-H33</f>
        <v>0</v>
      </c>
      <c r="K33" s="34"/>
      <c r="L33" s="810" t="s">
        <v>917</v>
      </c>
    </row>
    <row r="34" spans="1:11" ht="15" customHeight="1">
      <c r="A34" s="31"/>
      <c r="B34" s="31"/>
      <c r="C34" s="15"/>
      <c r="D34" s="15"/>
      <c r="E34" s="15"/>
      <c r="G34" s="34"/>
      <c r="H34" s="34"/>
      <c r="I34" s="34"/>
      <c r="J34" s="23"/>
      <c r="K34" s="23"/>
    </row>
    <row r="35" spans="1:23" s="3" customFormat="1" ht="14.25" customHeight="1">
      <c r="A35" s="284"/>
      <c r="P35" s="236"/>
      <c r="Q35" s="236"/>
      <c r="R35" s="237"/>
      <c r="S35" s="237"/>
      <c r="T35" s="236"/>
      <c r="U35" s="236"/>
      <c r="V35" s="238"/>
      <c r="W35" s="239"/>
    </row>
    <row r="36" spans="1:25" s="108" customFormat="1" ht="13.5" customHeight="1">
      <c r="A36" s="285" t="str">
        <f>voorblad!A20</f>
        <v>Mutatieformulier regiokader gehandicaptenzorg 2006</v>
      </c>
      <c r="B36" s="1"/>
      <c r="C36" s="1"/>
      <c r="D36" s="228"/>
      <c r="E36" s="228"/>
      <c r="F36" s="1"/>
      <c r="G36" s="228"/>
      <c r="H36" s="228"/>
      <c r="I36" s="241"/>
      <c r="J36" s="241" t="str">
        <f>"versie: "&amp;TEXT(voorblad!$L$25,"dd-mm-jjjj")</f>
        <v>versie: 11-09-2006</v>
      </c>
      <c r="K36" s="2"/>
      <c r="L36" s="2"/>
      <c r="M36" s="244">
        <f>M2+1</f>
        <v>7</v>
      </c>
      <c r="O36" s="243"/>
      <c r="P36" s="244">
        <v>1</v>
      </c>
      <c r="Q36" s="244"/>
      <c r="R36" s="245"/>
      <c r="S36" s="245"/>
      <c r="T36" s="244"/>
      <c r="U36" s="244"/>
      <c r="V36" s="246"/>
      <c r="W36" s="247"/>
      <c r="X36" s="2"/>
      <c r="Y36" s="2"/>
    </row>
    <row r="37" spans="1:17" s="3" customFormat="1" ht="19.5" customHeight="1">
      <c r="A37" s="230"/>
      <c r="B37" s="232"/>
      <c r="C37" s="230" t="s">
        <v>601</v>
      </c>
      <c r="D37" s="230" t="s">
        <v>601</v>
      </c>
      <c r="E37" s="233"/>
      <c r="F37" s="233"/>
      <c r="G37" s="2"/>
      <c r="H37" s="234"/>
      <c r="I37" s="234"/>
      <c r="J37" s="2"/>
      <c r="K37" s="2"/>
      <c r="L37" s="9"/>
      <c r="M37" s="2"/>
      <c r="N37" s="229"/>
      <c r="O37" s="229"/>
      <c r="P37" s="2"/>
      <c r="Q37" s="2"/>
    </row>
    <row r="38" spans="1:11" ht="15" customHeight="1">
      <c r="A38" s="31" t="s">
        <v>455</v>
      </c>
      <c r="B38" s="31"/>
      <c r="C38" s="15"/>
      <c r="D38" s="15"/>
      <c r="E38" s="15"/>
      <c r="G38" s="34"/>
      <c r="H38" s="34"/>
      <c r="I38" s="34"/>
      <c r="J38" s="23"/>
      <c r="K38" s="23"/>
    </row>
    <row r="39" spans="1:11" ht="15" customHeight="1">
      <c r="A39" s="31"/>
      <c r="B39" s="31"/>
      <c r="C39" s="15"/>
      <c r="D39" s="15"/>
      <c r="E39" s="15"/>
      <c r="G39" s="34"/>
      <c r="H39" s="34"/>
      <c r="I39" s="34"/>
      <c r="J39" s="23"/>
      <c r="K39" s="23"/>
    </row>
    <row r="40" spans="1:12" ht="15" customHeight="1">
      <c r="A40" s="31"/>
      <c r="B40" s="31"/>
      <c r="C40" s="15"/>
      <c r="D40" s="15"/>
      <c r="E40" s="15"/>
      <c r="H40" s="35" t="s">
        <v>1033</v>
      </c>
      <c r="J40" s="23"/>
      <c r="K40" s="23"/>
      <c r="L40" s="25"/>
    </row>
    <row r="41" spans="1:13" ht="15" customHeight="1">
      <c r="A41" s="31"/>
      <c r="B41" s="31"/>
      <c r="C41" s="15"/>
      <c r="D41" s="15"/>
      <c r="E41" s="15"/>
      <c r="F41" s="15"/>
      <c r="H41" s="205" t="s">
        <v>404</v>
      </c>
      <c r="I41" s="205" t="s">
        <v>216</v>
      </c>
      <c r="J41" s="205" t="s">
        <v>218</v>
      </c>
      <c r="K41" s="509"/>
      <c r="L41" s="509"/>
      <c r="M41" s="509"/>
    </row>
    <row r="42" spans="1:13" ht="15" customHeight="1">
      <c r="A42" s="31"/>
      <c r="B42" s="31"/>
      <c r="C42" s="15"/>
      <c r="D42" s="15"/>
      <c r="E42" s="15"/>
      <c r="F42" s="15"/>
      <c r="H42" s="207" t="s">
        <v>148</v>
      </c>
      <c r="I42" s="207" t="s">
        <v>148</v>
      </c>
      <c r="J42" s="207" t="s">
        <v>148</v>
      </c>
      <c r="K42" s="509"/>
      <c r="L42" s="509"/>
      <c r="M42" s="509"/>
    </row>
    <row r="43" spans="1:13" ht="15" customHeight="1">
      <c r="A43" s="82">
        <f>M36*100+1</f>
        <v>701</v>
      </c>
      <c r="B43" s="83" t="s">
        <v>38</v>
      </c>
      <c r="C43" s="16"/>
      <c r="D43" s="16"/>
      <c r="E43" s="16"/>
      <c r="F43" s="16"/>
      <c r="G43" s="261"/>
      <c r="H43" s="465"/>
      <c r="I43" s="61"/>
      <c r="J43" s="62">
        <f>I43-H43</f>
        <v>0</v>
      </c>
      <c r="K43" s="23"/>
      <c r="M43" s="34"/>
    </row>
    <row r="44" spans="1:11" ht="15" customHeight="1">
      <c r="A44" s="84"/>
      <c r="B44" s="30" t="s">
        <v>363</v>
      </c>
      <c r="C44" s="30"/>
      <c r="D44" s="30"/>
      <c r="E44" s="30"/>
      <c r="F44" s="30"/>
      <c r="G44" s="38"/>
      <c r="H44" s="41"/>
      <c r="I44" s="34"/>
      <c r="J44" s="34"/>
      <c r="K44" s="23"/>
    </row>
    <row r="45" spans="1:13" ht="15" customHeight="1">
      <c r="A45" s="47">
        <f>A43+1</f>
        <v>702</v>
      </c>
      <c r="B45" s="60" t="s">
        <v>421</v>
      </c>
      <c r="C45" s="64"/>
      <c r="D45" s="64"/>
      <c r="E45" s="64"/>
      <c r="F45" s="64"/>
      <c r="G45" s="261"/>
      <c r="H45" s="465"/>
      <c r="I45" s="61"/>
      <c r="J45" s="62">
        <f>I45-H45</f>
        <v>0</v>
      </c>
      <c r="K45" s="23"/>
      <c r="L45" s="810" t="s">
        <v>998</v>
      </c>
      <c r="M45" s="34"/>
    </row>
    <row r="46" spans="1:13" ht="15" customHeight="1">
      <c r="A46" s="47">
        <f>A45+1</f>
        <v>703</v>
      </c>
      <c r="B46" s="49" t="s">
        <v>400</v>
      </c>
      <c r="C46" s="16"/>
      <c r="D46" s="16"/>
      <c r="E46" s="16"/>
      <c r="F46" s="16"/>
      <c r="G46" s="261"/>
      <c r="H46" s="465"/>
      <c r="I46" s="61"/>
      <c r="J46" s="62">
        <f>I46-H46</f>
        <v>0</v>
      </c>
      <c r="K46" s="23"/>
      <c r="L46" s="810" t="s">
        <v>999</v>
      </c>
      <c r="M46" s="34"/>
    </row>
    <row r="47" spans="1:12" ht="15" customHeight="1">
      <c r="A47" s="31"/>
      <c r="B47" s="30" t="s">
        <v>834</v>
      </c>
      <c r="C47" s="30"/>
      <c r="D47" s="30"/>
      <c r="E47" s="30"/>
      <c r="F47" s="30"/>
      <c r="G47" s="38"/>
      <c r="H47" s="41"/>
      <c r="I47" s="34"/>
      <c r="J47" s="34"/>
      <c r="K47" s="23"/>
      <c r="L47" s="34"/>
    </row>
    <row r="48" spans="1:13" ht="15" customHeight="1">
      <c r="A48" s="47">
        <f>A46+1</f>
        <v>704</v>
      </c>
      <c r="B48" s="60" t="s">
        <v>410</v>
      </c>
      <c r="C48" s="64"/>
      <c r="D48" s="64"/>
      <c r="E48" s="64"/>
      <c r="F48" s="64"/>
      <c r="G48" s="261"/>
      <c r="H48" s="465"/>
      <c r="I48" s="61"/>
      <c r="J48" s="62">
        <f aca="true" t="shared" si="0" ref="J48:J54">I48-H48</f>
        <v>0</v>
      </c>
      <c r="K48" s="23"/>
      <c r="L48" s="810" t="s">
        <v>918</v>
      </c>
      <c r="M48" s="34"/>
    </row>
    <row r="49" spans="1:13" ht="15" customHeight="1">
      <c r="A49" s="47">
        <f aca="true" t="shared" si="1" ref="A49:A54">A48+1</f>
        <v>705</v>
      </c>
      <c r="B49" s="49" t="s">
        <v>411</v>
      </c>
      <c r="C49" s="16"/>
      <c r="D49" s="16"/>
      <c r="E49" s="16"/>
      <c r="F49" s="16"/>
      <c r="G49" s="261"/>
      <c r="H49" s="465"/>
      <c r="I49" s="61"/>
      <c r="J49" s="62">
        <f t="shared" si="0"/>
        <v>0</v>
      </c>
      <c r="K49" s="23"/>
      <c r="L49" s="810" t="s">
        <v>919</v>
      </c>
      <c r="M49" s="34"/>
    </row>
    <row r="50" spans="1:13" ht="15" customHeight="1">
      <c r="A50" s="47">
        <f t="shared" si="1"/>
        <v>706</v>
      </c>
      <c r="B50" s="57" t="s">
        <v>362</v>
      </c>
      <c r="C50" s="30"/>
      <c r="D50" s="30"/>
      <c r="E50" s="30"/>
      <c r="F50" s="30"/>
      <c r="G50" s="261"/>
      <c r="H50" s="465"/>
      <c r="I50" s="61"/>
      <c r="J50" s="62">
        <f t="shared" si="0"/>
        <v>0</v>
      </c>
      <c r="K50" s="23"/>
      <c r="L50" s="810" t="s">
        <v>920</v>
      </c>
      <c r="M50" s="34"/>
    </row>
    <row r="51" spans="1:13" ht="15" customHeight="1">
      <c r="A51" s="47">
        <f t="shared" si="1"/>
        <v>707</v>
      </c>
      <c r="B51" s="49" t="s">
        <v>420</v>
      </c>
      <c r="C51" s="16"/>
      <c r="D51" s="16"/>
      <c r="E51" s="16"/>
      <c r="F51" s="16"/>
      <c r="G51" s="261"/>
      <c r="H51" s="465"/>
      <c r="I51" s="61"/>
      <c r="J51" s="62">
        <f t="shared" si="0"/>
        <v>0</v>
      </c>
      <c r="K51" s="23"/>
      <c r="L51" s="810" t="s">
        <v>921</v>
      </c>
      <c r="M51" s="34"/>
    </row>
    <row r="52" spans="1:13" ht="15" customHeight="1">
      <c r="A52" s="47">
        <f t="shared" si="1"/>
        <v>708</v>
      </c>
      <c r="B52" s="57" t="s">
        <v>422</v>
      </c>
      <c r="C52" s="30"/>
      <c r="D52" s="30"/>
      <c r="E52" s="30"/>
      <c r="F52" s="30"/>
      <c r="G52" s="261"/>
      <c r="H52" s="465"/>
      <c r="I52" s="61"/>
      <c r="J52" s="62">
        <f t="shared" si="0"/>
        <v>0</v>
      </c>
      <c r="K52" s="23"/>
      <c r="L52" s="810" t="s">
        <v>922</v>
      </c>
      <c r="M52" s="34"/>
    </row>
    <row r="53" spans="1:13" ht="15" customHeight="1">
      <c r="A53" s="47">
        <f t="shared" si="1"/>
        <v>709</v>
      </c>
      <c r="B53" s="49" t="s">
        <v>602</v>
      </c>
      <c r="C53" s="16"/>
      <c r="D53" s="16"/>
      <c r="E53" s="16"/>
      <c r="F53" s="16"/>
      <c r="G53" s="261"/>
      <c r="H53" s="563">
        <f>H43-H46</f>
        <v>0</v>
      </c>
      <c r="I53" s="62">
        <f>I43-I46</f>
        <v>0</v>
      </c>
      <c r="J53" s="62">
        <f t="shared" si="0"/>
        <v>0</v>
      </c>
      <c r="K53" s="23"/>
      <c r="L53" s="34"/>
      <c r="M53" s="34"/>
    </row>
    <row r="54" spans="1:13" ht="15" customHeight="1">
      <c r="A54" s="47">
        <f t="shared" si="1"/>
        <v>710</v>
      </c>
      <c r="B54" s="16" t="s">
        <v>492</v>
      </c>
      <c r="C54" s="16"/>
      <c r="D54" s="16"/>
      <c r="E54" s="16"/>
      <c r="F54" s="16"/>
      <c r="G54" s="261"/>
      <c r="H54" s="563">
        <f>H53-H107</f>
        <v>0</v>
      </c>
      <c r="I54" s="563">
        <f>I53-I107</f>
        <v>0</v>
      </c>
      <c r="J54" s="62">
        <f t="shared" si="0"/>
        <v>0</v>
      </c>
      <c r="K54" s="23"/>
      <c r="L54" s="34"/>
      <c r="M54" s="34"/>
    </row>
    <row r="55" spans="1:12" ht="15" customHeight="1">
      <c r="A55" s="31"/>
      <c r="B55" s="30"/>
      <c r="C55" s="15"/>
      <c r="D55" s="15"/>
      <c r="E55" s="15"/>
      <c r="F55" s="15"/>
      <c r="G55" s="38"/>
      <c r="H55" s="41"/>
      <c r="I55" s="34"/>
      <c r="J55" s="34"/>
      <c r="K55" s="23"/>
      <c r="L55" s="34"/>
    </row>
    <row r="56" spans="1:13" ht="15" customHeight="1">
      <c r="A56" s="47">
        <f>A54+1</f>
        <v>711</v>
      </c>
      <c r="B56" s="85" t="s">
        <v>417</v>
      </c>
      <c r="C56" s="22"/>
      <c r="D56" s="22"/>
      <c r="E56" s="22"/>
      <c r="F56" s="22"/>
      <c r="G56" s="261"/>
      <c r="H56" s="465"/>
      <c r="I56" s="61"/>
      <c r="J56" s="62">
        <f aca="true" t="shared" si="2" ref="J56:J63">I56-H56</f>
        <v>0</v>
      </c>
      <c r="K56" s="23"/>
      <c r="L56" s="812"/>
      <c r="M56" s="34"/>
    </row>
    <row r="57" spans="1:12" ht="15" customHeight="1">
      <c r="A57" s="31"/>
      <c r="B57" s="30" t="s">
        <v>363</v>
      </c>
      <c r="C57" s="30"/>
      <c r="D57" s="30"/>
      <c r="E57" s="30"/>
      <c r="F57" s="30"/>
      <c r="G57" s="38"/>
      <c r="H57" s="41"/>
      <c r="I57" s="34"/>
      <c r="J57" s="34"/>
      <c r="K57" s="23"/>
      <c r="L57" s="34"/>
    </row>
    <row r="58" spans="1:13" ht="15" customHeight="1">
      <c r="A58" s="85">
        <f>A56+1</f>
        <v>712</v>
      </c>
      <c r="B58" s="49" t="s">
        <v>832</v>
      </c>
      <c r="C58" s="22"/>
      <c r="D58" s="22"/>
      <c r="E58" s="22"/>
      <c r="F58" s="22"/>
      <c r="G58" s="261"/>
      <c r="H58" s="465"/>
      <c r="I58" s="61"/>
      <c r="J58" s="62">
        <f t="shared" si="2"/>
        <v>0</v>
      </c>
      <c r="K58" s="23"/>
      <c r="L58" s="810" t="s">
        <v>923</v>
      </c>
      <c r="M58" s="34"/>
    </row>
    <row r="59" spans="1:13" ht="15" customHeight="1">
      <c r="A59" s="85">
        <f>A58+1</f>
        <v>713</v>
      </c>
      <c r="B59" s="49" t="s">
        <v>691</v>
      </c>
      <c r="C59" s="22"/>
      <c r="D59" s="22"/>
      <c r="E59" s="22"/>
      <c r="F59" s="22"/>
      <c r="G59" s="261"/>
      <c r="H59" s="465"/>
      <c r="I59" s="61"/>
      <c r="J59" s="62">
        <f t="shared" si="2"/>
        <v>0</v>
      </c>
      <c r="K59" s="23"/>
      <c r="L59" s="810" t="s">
        <v>924</v>
      </c>
      <c r="M59" s="34"/>
    </row>
    <row r="60" spans="1:13" ht="15" customHeight="1">
      <c r="A60" s="85">
        <f>A59+1</f>
        <v>714</v>
      </c>
      <c r="B60" s="49" t="s">
        <v>831</v>
      </c>
      <c r="C60" s="22"/>
      <c r="D60" s="22"/>
      <c r="E60" s="22"/>
      <c r="F60" s="22"/>
      <c r="G60" s="261"/>
      <c r="H60" s="465"/>
      <c r="I60" s="61"/>
      <c r="J60" s="62">
        <f t="shared" si="2"/>
        <v>0</v>
      </c>
      <c r="K60" s="23"/>
      <c r="L60" s="810" t="s">
        <v>925</v>
      </c>
      <c r="M60" s="34"/>
    </row>
    <row r="61" spans="1:13" ht="15" customHeight="1">
      <c r="A61" s="85">
        <f>A60+1</f>
        <v>715</v>
      </c>
      <c r="B61" s="65" t="s">
        <v>833</v>
      </c>
      <c r="C61" s="86"/>
      <c r="D61" s="86"/>
      <c r="E61" s="86"/>
      <c r="F61" s="86"/>
      <c r="G61" s="261"/>
      <c r="H61" s="62">
        <f>H56-H58-H60</f>
        <v>0</v>
      </c>
      <c r="I61" s="62">
        <f>I56-I58-I60</f>
        <v>0</v>
      </c>
      <c r="J61" s="62">
        <f t="shared" si="2"/>
        <v>0</v>
      </c>
      <c r="K61" s="23"/>
      <c r="L61" s="810" t="s">
        <v>926</v>
      </c>
      <c r="M61" s="34"/>
    </row>
    <row r="62" spans="1:13" ht="15" customHeight="1">
      <c r="A62" s="85">
        <f>A61+1</f>
        <v>716</v>
      </c>
      <c r="B62" s="49" t="s">
        <v>690</v>
      </c>
      <c r="C62" s="22"/>
      <c r="D62" s="22"/>
      <c r="E62" s="22"/>
      <c r="F62" s="22"/>
      <c r="G62" s="261"/>
      <c r="H62" s="465"/>
      <c r="I62" s="61"/>
      <c r="J62" s="62">
        <f t="shared" si="2"/>
        <v>0</v>
      </c>
      <c r="K62" s="23"/>
      <c r="L62" s="810" t="s">
        <v>927</v>
      </c>
      <c r="M62" s="34"/>
    </row>
    <row r="63" spans="1:13" ht="15" customHeight="1">
      <c r="A63" s="85">
        <f>A62+1</f>
        <v>717</v>
      </c>
      <c r="B63" s="49" t="s">
        <v>422</v>
      </c>
      <c r="C63" s="22"/>
      <c r="D63" s="22"/>
      <c r="E63" s="22"/>
      <c r="F63" s="22"/>
      <c r="G63" s="261"/>
      <c r="H63" s="465"/>
      <c r="I63" s="465"/>
      <c r="J63" s="62">
        <f t="shared" si="2"/>
        <v>0</v>
      </c>
      <c r="K63" s="23"/>
      <c r="L63" s="810" t="s">
        <v>928</v>
      </c>
      <c r="M63" s="34"/>
    </row>
    <row r="64" spans="1:13" ht="15" customHeight="1">
      <c r="A64" s="31"/>
      <c r="B64" s="30"/>
      <c r="C64" s="15"/>
      <c r="D64" s="15"/>
      <c r="E64" s="15"/>
      <c r="F64" s="15"/>
      <c r="G64" s="38"/>
      <c r="H64" s="41" t="s">
        <v>33</v>
      </c>
      <c r="I64" s="34" t="s">
        <v>33</v>
      </c>
      <c r="J64" s="34"/>
      <c r="K64" s="23"/>
      <c r="L64" s="34"/>
      <c r="M64" s="34"/>
    </row>
    <row r="65" spans="1:13" ht="15" customHeight="1">
      <c r="A65" s="47">
        <f>A62+1</f>
        <v>717</v>
      </c>
      <c r="B65" s="49" t="s">
        <v>124</v>
      </c>
      <c r="C65" s="22"/>
      <c r="D65" s="22"/>
      <c r="E65" s="22"/>
      <c r="F65" s="22"/>
      <c r="G65" s="261"/>
      <c r="H65" s="564"/>
      <c r="I65" s="787"/>
      <c r="J65" s="62">
        <f>H65</f>
        <v>0</v>
      </c>
      <c r="K65" s="23"/>
      <c r="L65" s="814"/>
      <c r="M65" s="34"/>
    </row>
    <row r="66" spans="1:12" ht="15" customHeight="1">
      <c r="A66" s="31"/>
      <c r="B66" s="15"/>
      <c r="C66" s="25"/>
      <c r="D66" s="25"/>
      <c r="E66" s="25"/>
      <c r="F66" s="25"/>
      <c r="G66" s="38"/>
      <c r="H66" s="41"/>
      <c r="I66" s="34"/>
      <c r="J66" s="34"/>
      <c r="K66" s="23"/>
      <c r="L66" s="34"/>
    </row>
    <row r="67" spans="1:13" ht="15" customHeight="1">
      <c r="A67" s="47">
        <f>A65+1</f>
        <v>718</v>
      </c>
      <c r="B67" s="83" t="s">
        <v>418</v>
      </c>
      <c r="C67" s="37"/>
      <c r="D67" s="37"/>
      <c r="E67" s="37"/>
      <c r="F67" s="37"/>
      <c r="G67" s="261"/>
      <c r="H67" s="465"/>
      <c r="I67" s="61"/>
      <c r="J67" s="62">
        <f>I67-H67</f>
        <v>0</v>
      </c>
      <c r="K67" s="23"/>
      <c r="L67" s="810" t="s">
        <v>930</v>
      </c>
      <c r="M67" s="34"/>
    </row>
    <row r="68" spans="1:13" ht="15" customHeight="1">
      <c r="A68" s="85">
        <f>A67+1</f>
        <v>719</v>
      </c>
      <c r="B68" s="49" t="s">
        <v>422</v>
      </c>
      <c r="C68" s="22"/>
      <c r="D68" s="22"/>
      <c r="E68" s="22"/>
      <c r="F68" s="22"/>
      <c r="G68" s="261"/>
      <c r="H68" s="465"/>
      <c r="I68" s="61"/>
      <c r="J68" s="62">
        <f>I68-H68</f>
        <v>0</v>
      </c>
      <c r="K68" s="23"/>
      <c r="L68" s="813" t="s">
        <v>929</v>
      </c>
      <c r="M68" s="34"/>
    </row>
    <row r="69" spans="1:12" ht="15" customHeight="1">
      <c r="A69" s="31"/>
      <c r="B69" s="31"/>
      <c r="C69" s="15"/>
      <c r="D69" s="15"/>
      <c r="E69" s="15"/>
      <c r="F69" s="15"/>
      <c r="G69" s="38"/>
      <c r="H69" s="41"/>
      <c r="I69" s="34"/>
      <c r="J69" s="34"/>
      <c r="K69" s="23"/>
      <c r="L69" s="23"/>
    </row>
    <row r="70" spans="1:11" ht="15" customHeight="1">
      <c r="A70" s="47"/>
      <c r="B70" s="85" t="s">
        <v>435</v>
      </c>
      <c r="C70" s="22"/>
      <c r="D70" s="22"/>
      <c r="E70" s="22"/>
      <c r="F70" s="22"/>
      <c r="G70" s="261"/>
      <c r="H70" s="563">
        <f>H43+H56+H67</f>
        <v>0</v>
      </c>
      <c r="I70" s="62">
        <f>I43+I56+I67</f>
        <v>0</v>
      </c>
      <c r="J70" s="62">
        <f>J43+J56+J67</f>
        <v>0</v>
      </c>
      <c r="K70" s="23"/>
    </row>
    <row r="71" spans="1:11" ht="15" customHeight="1">
      <c r="A71" s="31"/>
      <c r="B71" s="31"/>
      <c r="C71" s="15"/>
      <c r="D71" s="15"/>
      <c r="E71" s="15"/>
      <c r="G71" s="34"/>
      <c r="H71" s="34"/>
      <c r="I71" s="34"/>
      <c r="J71" s="23"/>
      <c r="K71" s="23"/>
    </row>
    <row r="72" spans="1:10" ht="15" customHeight="1">
      <c r="A72" s="31"/>
      <c r="B72" s="31"/>
      <c r="C72" s="15"/>
      <c r="D72" s="15"/>
      <c r="E72" s="15"/>
      <c r="G72" s="34"/>
      <c r="H72" s="34"/>
      <c r="I72" s="34"/>
      <c r="J72" s="23"/>
    </row>
    <row r="73" spans="1:11" ht="15" customHeight="1">
      <c r="A73" s="31"/>
      <c r="B73" s="31"/>
      <c r="C73" s="15"/>
      <c r="D73" s="15"/>
      <c r="E73" s="15"/>
      <c r="G73" s="34"/>
      <c r="H73" s="34"/>
      <c r="I73" s="34"/>
      <c r="J73" s="23"/>
      <c r="K73" s="23"/>
    </row>
    <row r="74" spans="1:11" ht="15" customHeight="1">
      <c r="A74" s="31"/>
      <c r="B74" s="31"/>
      <c r="C74" s="15"/>
      <c r="D74" s="15"/>
      <c r="E74" s="15"/>
      <c r="G74" s="34"/>
      <c r="H74" s="34"/>
      <c r="I74" s="34"/>
      <c r="J74" s="23"/>
      <c r="K74" s="23"/>
    </row>
    <row r="75" spans="1:11" ht="15" customHeight="1">
      <c r="A75" s="31"/>
      <c r="B75" s="31"/>
      <c r="C75" s="15"/>
      <c r="D75" s="15"/>
      <c r="E75" s="15"/>
      <c r="G75" s="34"/>
      <c r="H75" s="34"/>
      <c r="I75" s="34"/>
      <c r="J75" s="23"/>
      <c r="K75" s="23"/>
    </row>
    <row r="76" spans="1:11" ht="15" customHeight="1">
      <c r="A76" s="31"/>
      <c r="B76" s="31"/>
      <c r="C76" s="15"/>
      <c r="D76" s="15"/>
      <c r="E76" s="15"/>
      <c r="G76" s="34"/>
      <c r="H76" s="34"/>
      <c r="I76" s="34"/>
      <c r="J76" s="23"/>
      <c r="K76" s="23"/>
    </row>
    <row r="77" spans="1:23" s="3" customFormat="1" ht="14.25" customHeight="1">
      <c r="A77" s="284"/>
      <c r="P77" s="236"/>
      <c r="Q77" s="236"/>
      <c r="R77" s="237"/>
      <c r="S77" s="237"/>
      <c r="T77" s="236"/>
      <c r="U77" s="236"/>
      <c r="V77" s="238"/>
      <c r="W77" s="239"/>
    </row>
    <row r="78" spans="1:25" s="108" customFormat="1" ht="13.5" customHeight="1">
      <c r="A78" s="285" t="str">
        <f>voorblad!A20</f>
        <v>Mutatieformulier regiokader gehandicaptenzorg 2006</v>
      </c>
      <c r="B78" s="1"/>
      <c r="C78" s="1"/>
      <c r="D78" s="228"/>
      <c r="E78" s="228"/>
      <c r="F78" s="1"/>
      <c r="G78" s="228"/>
      <c r="H78" s="228"/>
      <c r="I78" s="241"/>
      <c r="J78" s="241" t="str">
        <f>"versie: "&amp;TEXT(voorblad!L25,"dd-mm-jjjj")</f>
        <v>versie: 11-09-2006</v>
      </c>
      <c r="K78" s="2"/>
      <c r="L78" s="2"/>
      <c r="M78" s="244">
        <f>M36+1</f>
        <v>8</v>
      </c>
      <c r="O78" s="243"/>
      <c r="P78" s="244">
        <v>1</v>
      </c>
      <c r="Q78" s="244"/>
      <c r="R78" s="245"/>
      <c r="S78" s="245"/>
      <c r="T78" s="244"/>
      <c r="U78" s="244"/>
      <c r="V78" s="246"/>
      <c r="W78" s="247"/>
      <c r="X78" s="2"/>
      <c r="Y78" s="2"/>
    </row>
    <row r="79" spans="1:17" s="3" customFormat="1" ht="19.5" customHeight="1">
      <c r="A79" s="230"/>
      <c r="B79" s="232"/>
      <c r="C79" s="230" t="s">
        <v>601</v>
      </c>
      <c r="D79" s="230" t="s">
        <v>601</v>
      </c>
      <c r="E79" s="233"/>
      <c r="F79" s="233"/>
      <c r="G79" s="2"/>
      <c r="H79" s="234"/>
      <c r="I79" s="234"/>
      <c r="J79" s="2"/>
      <c r="K79" s="2"/>
      <c r="L79" s="9"/>
      <c r="M79" s="2"/>
      <c r="N79" s="229"/>
      <c r="O79" s="229"/>
      <c r="P79" s="2"/>
      <c r="Q79" s="2"/>
    </row>
    <row r="80" spans="1:12" ht="15" customHeight="1">
      <c r="A80" s="30"/>
      <c r="B80" s="31" t="s">
        <v>802</v>
      </c>
      <c r="C80" s="15"/>
      <c r="D80" s="15"/>
      <c r="E80" s="15"/>
      <c r="F80" s="15"/>
      <c r="G80" s="15"/>
      <c r="H80" s="15"/>
      <c r="I80" s="15"/>
      <c r="L80" s="25"/>
    </row>
    <row r="81" spans="1:13" ht="15" customHeight="1">
      <c r="A81" s="31"/>
      <c r="B81" s="35" t="s">
        <v>415</v>
      </c>
      <c r="C81" s="30"/>
      <c r="D81" s="30"/>
      <c r="E81" s="30"/>
      <c r="F81" s="30"/>
      <c r="H81" s="205" t="s">
        <v>404</v>
      </c>
      <c r="I81" s="205" t="s">
        <v>216</v>
      </c>
      <c r="J81" s="209" t="s">
        <v>218</v>
      </c>
      <c r="K81" s="294"/>
      <c r="L81" s="509"/>
      <c r="M81" s="509"/>
    </row>
    <row r="82" spans="1:13" ht="15" customHeight="1">
      <c r="A82" s="30"/>
      <c r="B82" s="25" t="s">
        <v>437</v>
      </c>
      <c r="H82" s="207" t="s">
        <v>148</v>
      </c>
      <c r="I82" s="207" t="s">
        <v>148</v>
      </c>
      <c r="J82" s="363" t="s">
        <v>148</v>
      </c>
      <c r="K82" s="294"/>
      <c r="L82" s="509"/>
      <c r="M82" s="509"/>
    </row>
    <row r="83" spans="1:13" ht="15" customHeight="1">
      <c r="A83" s="47">
        <f>M78*100+1</f>
        <v>801</v>
      </c>
      <c r="B83" s="51" t="s">
        <v>364</v>
      </c>
      <c r="C83" s="52"/>
      <c r="D83" s="51" t="s">
        <v>365</v>
      </c>
      <c r="E83" s="52"/>
      <c r="F83" s="52"/>
      <c r="G83" s="261"/>
      <c r="H83" s="465"/>
      <c r="I83" s="61"/>
      <c r="J83" s="59">
        <f>I83-H83</f>
        <v>0</v>
      </c>
      <c r="L83" s="810" t="s">
        <v>1000</v>
      </c>
      <c r="M83" s="565"/>
    </row>
    <row r="84" spans="1:13" ht="15" customHeight="1">
      <c r="A84" s="47">
        <f>A83+1</f>
        <v>802</v>
      </c>
      <c r="B84" s="53"/>
      <c r="C84" s="15"/>
      <c r="D84" s="32" t="s">
        <v>366</v>
      </c>
      <c r="E84" s="22"/>
      <c r="F84" s="22"/>
      <c r="G84" s="261"/>
      <c r="H84" s="465"/>
      <c r="I84" s="61"/>
      <c r="J84" s="59">
        <f>I84-H84</f>
        <v>0</v>
      </c>
      <c r="L84" s="810" t="s">
        <v>1001</v>
      </c>
      <c r="M84" s="565"/>
    </row>
    <row r="85" spans="1:13" ht="15" customHeight="1">
      <c r="A85" s="47">
        <f>A84+1</f>
        <v>803</v>
      </c>
      <c r="B85" s="53"/>
      <c r="C85" s="15"/>
      <c r="D85" s="53" t="s">
        <v>367</v>
      </c>
      <c r="E85" s="15"/>
      <c r="F85" s="15"/>
      <c r="G85" s="261"/>
      <c r="H85" s="465"/>
      <c r="I85" s="61"/>
      <c r="J85" s="59">
        <f>I85-H85</f>
        <v>0</v>
      </c>
      <c r="L85" s="810" t="s">
        <v>1002</v>
      </c>
      <c r="M85" s="565"/>
    </row>
    <row r="86" spans="1:13" ht="15" customHeight="1">
      <c r="A86" s="47">
        <f>A85+1</f>
        <v>804</v>
      </c>
      <c r="B86" s="54"/>
      <c r="C86" s="86"/>
      <c r="D86" s="32" t="s">
        <v>368</v>
      </c>
      <c r="E86" s="22"/>
      <c r="F86" s="22"/>
      <c r="G86" s="261"/>
      <c r="H86" s="465"/>
      <c r="I86" s="61"/>
      <c r="J86" s="59">
        <f>I86-H86</f>
        <v>0</v>
      </c>
      <c r="L86" s="810" t="s">
        <v>1003</v>
      </c>
      <c r="M86" s="565"/>
    </row>
    <row r="87" spans="7:12" ht="15" customHeight="1">
      <c r="G87" s="38"/>
      <c r="H87" s="582"/>
      <c r="I87" s="36"/>
      <c r="J87" s="36"/>
      <c r="L87" s="815"/>
    </row>
    <row r="88" spans="1:13" ht="15" customHeight="1">
      <c r="A88" s="47">
        <f>A86+1</f>
        <v>805</v>
      </c>
      <c r="B88" s="51" t="s">
        <v>428</v>
      </c>
      <c r="C88" s="52"/>
      <c r="D88" s="51" t="s">
        <v>365</v>
      </c>
      <c r="E88" s="52"/>
      <c r="F88" s="52"/>
      <c r="G88" s="261"/>
      <c r="H88" s="465"/>
      <c r="I88" s="61"/>
      <c r="J88" s="59">
        <f>I88-H88</f>
        <v>0</v>
      </c>
      <c r="L88" s="810" t="s">
        <v>1004</v>
      </c>
      <c r="M88" s="565"/>
    </row>
    <row r="89" spans="1:13" ht="15" customHeight="1">
      <c r="A89" s="47">
        <f>A88+1</f>
        <v>806</v>
      </c>
      <c r="B89" s="53"/>
      <c r="C89" s="15"/>
      <c r="D89" s="32" t="s">
        <v>366</v>
      </c>
      <c r="E89" s="22"/>
      <c r="F89" s="22"/>
      <c r="G89" s="261"/>
      <c r="H89" s="465"/>
      <c r="I89" s="61"/>
      <c r="J89" s="59">
        <f>I89-H89</f>
        <v>0</v>
      </c>
      <c r="L89" s="810" t="s">
        <v>1005</v>
      </c>
      <c r="M89" s="565"/>
    </row>
    <row r="90" spans="1:13" ht="15" customHeight="1">
      <c r="A90" s="47">
        <f>A89+1</f>
        <v>807</v>
      </c>
      <c r="B90" s="53"/>
      <c r="C90" s="15"/>
      <c r="D90" s="53" t="s">
        <v>367</v>
      </c>
      <c r="E90" s="15"/>
      <c r="F90" s="15"/>
      <c r="G90" s="261"/>
      <c r="H90" s="465"/>
      <c r="I90" s="61"/>
      <c r="J90" s="59">
        <f>I90-H90</f>
        <v>0</v>
      </c>
      <c r="L90" s="810" t="s">
        <v>1006</v>
      </c>
      <c r="M90" s="565"/>
    </row>
    <row r="91" spans="1:13" ht="15" customHeight="1">
      <c r="A91" s="47">
        <f>A90+1</f>
        <v>808</v>
      </c>
      <c r="B91" s="54"/>
      <c r="C91" s="86"/>
      <c r="D91" s="32" t="s">
        <v>368</v>
      </c>
      <c r="E91" s="22"/>
      <c r="F91" s="22"/>
      <c r="G91" s="261"/>
      <c r="H91" s="465"/>
      <c r="I91" s="61"/>
      <c r="J91" s="59">
        <f>I91-H91</f>
        <v>0</v>
      </c>
      <c r="L91" s="810" t="s">
        <v>1007</v>
      </c>
      <c r="M91" s="565"/>
    </row>
    <row r="92" spans="7:12" ht="15" customHeight="1">
      <c r="G92" s="38"/>
      <c r="H92" s="582"/>
      <c r="I92" s="36"/>
      <c r="J92" s="36"/>
      <c r="L92" s="815"/>
    </row>
    <row r="93" spans="1:13" ht="15" customHeight="1">
      <c r="A93" s="47">
        <f>A91+1</f>
        <v>809</v>
      </c>
      <c r="B93" s="51" t="s">
        <v>402</v>
      </c>
      <c r="C93" s="52"/>
      <c r="D93" s="51" t="s">
        <v>365</v>
      </c>
      <c r="E93" s="52"/>
      <c r="F93" s="52"/>
      <c r="G93" s="261"/>
      <c r="H93" s="465"/>
      <c r="I93" s="61"/>
      <c r="J93" s="59">
        <f>I93-H93</f>
        <v>0</v>
      </c>
      <c r="L93" s="810" t="s">
        <v>1008</v>
      </c>
      <c r="M93" s="565"/>
    </row>
    <row r="94" spans="1:13" ht="15" customHeight="1">
      <c r="A94" s="47">
        <f>A93+1</f>
        <v>810</v>
      </c>
      <c r="B94" s="53" t="s">
        <v>436</v>
      </c>
      <c r="C94" s="15"/>
      <c r="D94" s="32" t="s">
        <v>366</v>
      </c>
      <c r="E94" s="22"/>
      <c r="F94" s="22"/>
      <c r="G94" s="261"/>
      <c r="H94" s="465"/>
      <c r="I94" s="61"/>
      <c r="J94" s="59">
        <f>I94-H94</f>
        <v>0</v>
      </c>
      <c r="L94" s="810" t="s">
        <v>1009</v>
      </c>
      <c r="M94" s="565"/>
    </row>
    <row r="95" spans="1:13" ht="15" customHeight="1">
      <c r="A95" s="47">
        <f>A94+1</f>
        <v>811</v>
      </c>
      <c r="B95" s="53"/>
      <c r="C95" s="15"/>
      <c r="D95" s="53" t="s">
        <v>367</v>
      </c>
      <c r="E95" s="15"/>
      <c r="F95" s="15"/>
      <c r="G95" s="261"/>
      <c r="H95" s="465"/>
      <c r="I95" s="61"/>
      <c r="J95" s="59">
        <f>I95-H95</f>
        <v>0</v>
      </c>
      <c r="L95" s="810" t="s">
        <v>1010</v>
      </c>
      <c r="M95" s="565"/>
    </row>
    <row r="96" spans="1:13" ht="15" customHeight="1">
      <c r="A96" s="47">
        <f>A95+1</f>
        <v>812</v>
      </c>
      <c r="B96" s="54"/>
      <c r="C96" s="86"/>
      <c r="D96" s="32" t="s">
        <v>368</v>
      </c>
      <c r="E96" s="22"/>
      <c r="F96" s="22"/>
      <c r="G96" s="261"/>
      <c r="H96" s="465"/>
      <c r="I96" s="61"/>
      <c r="J96" s="59">
        <f>I96-H96</f>
        <v>0</v>
      </c>
      <c r="L96" s="810" t="s">
        <v>1011</v>
      </c>
      <c r="M96" s="565"/>
    </row>
    <row r="97" spans="1:12" ht="15" customHeight="1">
      <c r="A97" s="31"/>
      <c r="B97" s="15"/>
      <c r="C97" s="34"/>
      <c r="D97" s="34"/>
      <c r="E97" s="34"/>
      <c r="F97" s="34"/>
      <c r="G97" s="38"/>
      <c r="H97" s="41"/>
      <c r="I97" s="34"/>
      <c r="J97" s="36"/>
      <c r="K97" s="15"/>
      <c r="L97" s="34"/>
    </row>
    <row r="98" spans="1:13" ht="15" customHeight="1">
      <c r="A98" s="47">
        <f>A96+1</f>
        <v>813</v>
      </c>
      <c r="B98" s="51" t="s">
        <v>402</v>
      </c>
      <c r="C98" s="52"/>
      <c r="D98" s="51" t="s">
        <v>365</v>
      </c>
      <c r="E98" s="52"/>
      <c r="F98" s="52"/>
      <c r="G98" s="261"/>
      <c r="H98" s="465"/>
      <c r="I98" s="61"/>
      <c r="J98" s="59">
        <f>I98-H98</f>
        <v>0</v>
      </c>
      <c r="K98" s="15"/>
      <c r="L98" s="810" t="s">
        <v>1012</v>
      </c>
      <c r="M98" s="565"/>
    </row>
    <row r="99" spans="1:13" ht="15" customHeight="1">
      <c r="A99" s="47">
        <f>A98+1</f>
        <v>814</v>
      </c>
      <c r="B99" s="53" t="s">
        <v>45</v>
      </c>
      <c r="C99" s="15"/>
      <c r="D99" s="32" t="s">
        <v>366</v>
      </c>
      <c r="E99" s="22"/>
      <c r="F99" s="22"/>
      <c r="G99" s="261"/>
      <c r="H99" s="465"/>
      <c r="I99" s="61"/>
      <c r="J99" s="59">
        <f>I99-H99</f>
        <v>0</v>
      </c>
      <c r="K99" s="15"/>
      <c r="L99" s="810" t="s">
        <v>1013</v>
      </c>
      <c r="M99" s="565"/>
    </row>
    <row r="100" spans="1:13" ht="15" customHeight="1">
      <c r="A100" s="47">
        <f>A99+1</f>
        <v>815</v>
      </c>
      <c r="B100" s="53"/>
      <c r="C100" s="15"/>
      <c r="D100" s="53" t="s">
        <v>367</v>
      </c>
      <c r="E100" s="15"/>
      <c r="F100" s="15"/>
      <c r="G100" s="261"/>
      <c r="H100" s="465"/>
      <c r="I100" s="61"/>
      <c r="J100" s="59">
        <f>I100-H100</f>
        <v>0</v>
      </c>
      <c r="K100" s="15"/>
      <c r="L100" s="810" t="s">
        <v>1014</v>
      </c>
      <c r="M100" s="565"/>
    </row>
    <row r="101" spans="1:13" ht="15" customHeight="1">
      <c r="A101" s="47">
        <f>A100+1</f>
        <v>816</v>
      </c>
      <c r="B101" s="54"/>
      <c r="C101" s="86"/>
      <c r="D101" s="32" t="s">
        <v>368</v>
      </c>
      <c r="E101" s="22"/>
      <c r="F101" s="22"/>
      <c r="G101" s="261"/>
      <c r="H101" s="465"/>
      <c r="I101" s="61"/>
      <c r="J101" s="59">
        <f>I101-H101</f>
        <v>0</v>
      </c>
      <c r="K101" s="15"/>
      <c r="L101" s="810" t="s">
        <v>1015</v>
      </c>
      <c r="M101" s="565"/>
    </row>
    <row r="102" spans="1:12" ht="15" customHeight="1">
      <c r="A102" s="31"/>
      <c r="B102" s="15"/>
      <c r="C102" s="34"/>
      <c r="D102" s="34"/>
      <c r="E102" s="34"/>
      <c r="F102" s="34"/>
      <c r="G102" s="38"/>
      <c r="H102" s="41"/>
      <c r="I102" s="34"/>
      <c r="J102" s="36"/>
      <c r="K102" s="15"/>
      <c r="L102" s="34"/>
    </row>
    <row r="103" spans="1:13" ht="15" customHeight="1">
      <c r="A103" s="47">
        <f>A101+1</f>
        <v>817</v>
      </c>
      <c r="B103" s="51" t="s">
        <v>402</v>
      </c>
      <c r="C103" s="52"/>
      <c r="D103" s="51" t="s">
        <v>365</v>
      </c>
      <c r="E103" s="52"/>
      <c r="F103" s="52"/>
      <c r="G103" s="261"/>
      <c r="H103" s="465"/>
      <c r="I103" s="61"/>
      <c r="J103" s="59">
        <f>I103-H103</f>
        <v>0</v>
      </c>
      <c r="K103" s="15"/>
      <c r="L103" s="810" t="s">
        <v>1016</v>
      </c>
      <c r="M103" s="565"/>
    </row>
    <row r="104" spans="1:13" ht="15" customHeight="1">
      <c r="A104" s="47">
        <f>A103+1</f>
        <v>818</v>
      </c>
      <c r="B104" s="53" t="s">
        <v>438</v>
      </c>
      <c r="C104" s="15"/>
      <c r="D104" s="32" t="s">
        <v>366</v>
      </c>
      <c r="E104" s="22"/>
      <c r="F104" s="22"/>
      <c r="G104" s="261"/>
      <c r="H104" s="465"/>
      <c r="I104" s="61"/>
      <c r="J104" s="59">
        <f>I104-H104</f>
        <v>0</v>
      </c>
      <c r="K104" s="15"/>
      <c r="L104" s="810" t="s">
        <v>1017</v>
      </c>
      <c r="M104" s="565"/>
    </row>
    <row r="105" spans="1:13" ht="15" customHeight="1">
      <c r="A105" s="47">
        <f>A104+1</f>
        <v>819</v>
      </c>
      <c r="B105" s="53"/>
      <c r="C105" s="15"/>
      <c r="D105" s="53" t="s">
        <v>367</v>
      </c>
      <c r="E105" s="15"/>
      <c r="F105" s="15"/>
      <c r="G105" s="261"/>
      <c r="H105" s="465"/>
      <c r="I105" s="61"/>
      <c r="J105" s="59">
        <f>I105-H105</f>
        <v>0</v>
      </c>
      <c r="K105" s="15"/>
      <c r="L105" s="810" t="s">
        <v>1018</v>
      </c>
      <c r="M105" s="565"/>
    </row>
    <row r="106" spans="1:13" ht="15" customHeight="1">
      <c r="A106" s="47">
        <f>A105+1</f>
        <v>820</v>
      </c>
      <c r="B106" s="54"/>
      <c r="C106" s="86"/>
      <c r="D106" s="32" t="s">
        <v>368</v>
      </c>
      <c r="E106" s="22"/>
      <c r="F106" s="22"/>
      <c r="G106" s="261"/>
      <c r="H106" s="465"/>
      <c r="I106" s="61"/>
      <c r="J106" s="59">
        <f>I106-H106</f>
        <v>0</v>
      </c>
      <c r="K106" s="15"/>
      <c r="L106" s="810" t="s">
        <v>1019</v>
      </c>
      <c r="M106" s="565"/>
    </row>
    <row r="107" spans="1:13" ht="15" customHeight="1">
      <c r="A107" s="47">
        <f>A106+1</f>
        <v>821</v>
      </c>
      <c r="B107" s="22" t="s">
        <v>294</v>
      </c>
      <c r="C107" s="41"/>
      <c r="D107" s="466"/>
      <c r="E107" s="466"/>
      <c r="F107" s="466"/>
      <c r="G107" s="261"/>
      <c r="H107" s="563">
        <f>SUM(H83:H106)</f>
        <v>0</v>
      </c>
      <c r="I107" s="62">
        <f>SUM(I83:I106)</f>
        <v>0</v>
      </c>
      <c r="J107" s="62">
        <f>SUM(J83:J106)</f>
        <v>0</v>
      </c>
      <c r="K107" s="15"/>
      <c r="L107" s="34"/>
      <c r="M107" s="34"/>
    </row>
    <row r="108" spans="1:12" ht="15" customHeight="1">
      <c r="A108" s="31"/>
      <c r="B108" s="15"/>
      <c r="C108" s="34"/>
      <c r="D108" s="34"/>
      <c r="E108" s="34"/>
      <c r="F108" s="34"/>
      <c r="G108" s="34"/>
      <c r="H108" s="15"/>
      <c r="I108" s="15"/>
      <c r="J108" s="15"/>
      <c r="K108" s="15"/>
      <c r="L108" s="15"/>
    </row>
    <row r="109" spans="10:13" ht="15" customHeight="1">
      <c r="J109" s="15"/>
      <c r="L109" s="15"/>
      <c r="M109" s="33"/>
    </row>
    <row r="110" spans="1:13" ht="15" customHeight="1">
      <c r="A110" s="30"/>
      <c r="B110" s="25"/>
      <c r="C110" s="13"/>
      <c r="D110" s="13"/>
      <c r="E110" s="13"/>
      <c r="F110" s="13"/>
      <c r="G110" s="15"/>
      <c r="H110" s="15"/>
      <c r="I110" s="509"/>
      <c r="J110" s="509"/>
      <c r="K110" s="509"/>
      <c r="L110" s="509"/>
      <c r="M110" s="509"/>
    </row>
    <row r="111" spans="1:13" ht="15" customHeight="1">
      <c r="A111" s="31"/>
      <c r="B111" s="30"/>
      <c r="C111" s="30"/>
      <c r="D111" s="13"/>
      <c r="E111" s="13"/>
      <c r="F111" s="13"/>
      <c r="G111" s="15"/>
      <c r="H111" s="15"/>
      <c r="I111" s="567"/>
      <c r="J111" s="566"/>
      <c r="K111" s="13"/>
      <c r="L111" s="567"/>
      <c r="M111" s="566"/>
    </row>
    <row r="112" spans="1:13" ht="15" customHeight="1">
      <c r="A112" s="31"/>
      <c r="B112" s="30"/>
      <c r="C112" s="30"/>
      <c r="D112" s="13"/>
      <c r="E112" s="13"/>
      <c r="F112" s="13"/>
      <c r="G112" s="15"/>
      <c r="H112" s="15"/>
      <c r="I112" s="567"/>
      <c r="J112" s="566"/>
      <c r="K112" s="13"/>
      <c r="L112" s="567"/>
      <c r="M112" s="566"/>
    </row>
    <row r="113" spans="1:13" ht="15" customHeight="1">
      <c r="A113" s="31"/>
      <c r="B113" s="30"/>
      <c r="C113" s="30"/>
      <c r="D113" s="13"/>
      <c r="E113" s="13"/>
      <c r="F113" s="13"/>
      <c r="G113" s="15"/>
      <c r="H113" s="15"/>
      <c r="I113" s="567"/>
      <c r="J113" s="566"/>
      <c r="K113" s="13"/>
      <c r="L113" s="567"/>
      <c r="M113" s="566"/>
    </row>
    <row r="114" spans="1:13" ht="15" customHeight="1">
      <c r="A114" s="31"/>
      <c r="B114" s="30"/>
      <c r="C114" s="30"/>
      <c r="D114" s="13"/>
      <c r="E114" s="13"/>
      <c r="F114" s="13"/>
      <c r="G114" s="15"/>
      <c r="H114" s="15"/>
      <c r="I114" s="567"/>
      <c r="J114" s="566"/>
      <c r="K114" s="13"/>
      <c r="L114" s="567"/>
      <c r="M114" s="566"/>
    </row>
    <row r="115" spans="1:13" ht="15" customHeight="1">
      <c r="A115" s="31"/>
      <c r="B115" s="30"/>
      <c r="C115" s="30"/>
      <c r="D115" s="13"/>
      <c r="E115" s="13"/>
      <c r="F115" s="13"/>
      <c r="G115" s="13"/>
      <c r="H115" s="15"/>
      <c r="I115" s="15"/>
      <c r="J115" s="15"/>
      <c r="K115" s="15"/>
      <c r="L115" s="15"/>
      <c r="M115" s="13"/>
    </row>
    <row r="116" spans="1:12" ht="15" customHeight="1">
      <c r="A116" s="31"/>
      <c r="B116" s="15"/>
      <c r="C116" s="34"/>
      <c r="D116" s="34"/>
      <c r="E116" s="34"/>
      <c r="F116" s="34"/>
      <c r="G116" s="34"/>
      <c r="H116" s="15"/>
      <c r="I116" s="15"/>
      <c r="J116" s="15"/>
      <c r="K116" s="15"/>
      <c r="L116" s="15"/>
    </row>
    <row r="117" ht="12.75" customHeight="1"/>
    <row r="118" ht="12.75" customHeight="1"/>
    <row r="119" ht="12.75" customHeight="1"/>
    <row r="120" ht="12.75" customHeight="1" hidden="1"/>
    <row r="121" ht="12.75" customHeight="1" hidden="1"/>
    <row r="122" ht="12.75" customHeight="1" hidden="1"/>
    <row r="123" ht="12.75" customHeight="1" hidden="1"/>
    <row r="124" ht="12.75" customHeight="1" hidden="1"/>
    <row r="125" ht="12.75" customHeight="1" hidden="1"/>
    <row r="126" ht="12.75" customHeight="1" hidden="1"/>
    <row r="127" ht="12.75" customHeight="1" hidden="1"/>
    <row r="128" ht="12.75" customHeight="1" hidden="1"/>
  </sheetData>
  <sheetProtection password="CD36" sheet="1" objects="1" scenarios="1"/>
  <conditionalFormatting sqref="G20:I22 F6 H65 H83:I86 H88:I91 H93:I96 H98:I101 H103:I106 H56:I56 H62:I63 H67:I68 H48:I52 H58:I60 G14:I18 H45:I46 H43:I43 G26:I27 G30:I30 G12:I12 G24:I24 G32:I33">
    <cfRule type="expression" priority="1" dxfId="0" stopIfTrue="1">
      <formula>$F$2=TRUE</formula>
    </cfRule>
  </conditionalFormatting>
  <conditionalFormatting sqref="J12:J28 K25 I65 J30:J33 I111:M114 L107">
    <cfRule type="expression" priority="2" dxfId="3" stopIfTrue="1">
      <formula>$F$2=TRUE</formula>
    </cfRule>
  </conditionalFormatting>
  <conditionalFormatting sqref="L56 L65:L66">
    <cfRule type="expression" priority="3" dxfId="3" stopIfTrue="1">
      <formula>$F$2=TRUE</formula>
    </cfRule>
  </conditionalFormatting>
  <dataValidations count="3">
    <dataValidation type="whole" allowBlank="1" showInputMessage="1" showErrorMessage="1" error="percentage minimaal 0%, maximaal 100%" sqref="L65 H65:I65">
      <formula1>0</formula1>
      <formula2>100</formula2>
    </dataValidation>
    <dataValidation type="list" allowBlank="1" showInputMessage="1" showErrorMessage="1" sqref="F6">
      <formula1>$B$10:$B$11</formula1>
    </dataValidation>
    <dataValidation operator="lessThanOrEqual" allowBlank="1" showInputMessage="1" showErrorMessage="1" error="U kunt hier alleen binnen de toelating muteren. Toekomstige toelatingswijzigingen kunt u aanvragen met het mutatieformulier capaciteitswijziging." sqref="I12:I33"/>
  </dataValidations>
  <printOptions horizontalCentered="1"/>
  <pageMargins left="0.3937007874015748" right="0.3937007874015748" top="0.1968503937007874" bottom="0.1968503937007874" header="0.5118110236220472" footer="0.5118110236220472"/>
  <pageSetup horizontalDpi="600" verticalDpi="600" orientation="landscape" paperSize="9" scale="85" r:id="rId2"/>
  <headerFooter alignWithMargins="0">
    <oddFooter>&amp;C&amp;A</oddFooter>
  </headerFooter>
  <rowBreaks count="2" manualBreakCount="2">
    <brk id="34" max="255" man="1"/>
    <brk id="75" max="255" man="1"/>
  </rowBreaks>
  <drawing r:id="rId1"/>
</worksheet>
</file>

<file path=xl/worksheets/sheet6.xml><?xml version="1.0" encoding="utf-8"?>
<worksheet xmlns="http://schemas.openxmlformats.org/spreadsheetml/2006/main" xmlns:r="http://schemas.openxmlformats.org/officeDocument/2006/relationships">
  <dimension ref="A1:V77"/>
  <sheetViews>
    <sheetView showGridLines="0" tabSelected="1" zoomScale="90" zoomScaleNormal="90" workbookViewId="0" topLeftCell="A1">
      <selection activeCell="A17" sqref="A17"/>
    </sheetView>
  </sheetViews>
  <sheetFormatPr defaultColWidth="9.140625" defaultRowHeight="12.75" zeroHeight="1"/>
  <cols>
    <col min="1" max="1" width="5.7109375" style="280" customWidth="1"/>
    <col min="2" max="2" width="40.7109375" style="184" customWidth="1"/>
    <col min="3" max="3" width="12.421875" style="5" customWidth="1"/>
    <col min="4" max="4" width="13.57421875" style="279" customWidth="1"/>
    <col min="5" max="5" width="12.7109375" style="111" customWidth="1"/>
    <col min="6" max="6" width="13.421875" style="111" customWidth="1"/>
    <col min="7" max="7" width="13.28125" style="111" customWidth="1"/>
    <col min="8" max="8" width="6.57421875" style="111" customWidth="1"/>
    <col min="9" max="9" width="11.28125" style="0" customWidth="1"/>
    <col min="10" max="10" width="14.57421875" style="111" customWidth="1"/>
    <col min="11" max="11" width="14.57421875" style="111" hidden="1" customWidth="1"/>
    <col min="12" max="16384" width="0" style="111" hidden="1" customWidth="1"/>
  </cols>
  <sheetData>
    <row r="1" spans="1:22" s="3" customFormat="1" ht="14.25" customHeight="1">
      <c r="A1" s="284"/>
      <c r="D1" s="309"/>
      <c r="O1" s="236"/>
      <c r="P1" s="236"/>
      <c r="Q1" s="237"/>
      <c r="R1" s="237"/>
      <c r="S1" s="236"/>
      <c r="T1" s="236"/>
      <c r="U1" s="238"/>
      <c r="V1" s="239"/>
    </row>
    <row r="2" spans="1:21" s="108" customFormat="1" ht="13.5" customHeight="1">
      <c r="A2" s="285" t="str">
        <f>voorblad!A20</f>
        <v>Mutatieformulier regiokader gehandicaptenzorg 2006</v>
      </c>
      <c r="B2" s="1"/>
      <c r="C2" s="254" t="b">
        <f>voorblad!E14</f>
        <v>1</v>
      </c>
      <c r="D2" s="228"/>
      <c r="E2" s="228"/>
      <c r="F2" s="241" t="str">
        <f>"versie: "&amp;TEXT(voorblad!$L$25,"dd-mm-jjjj")</f>
        <v>versie: 11-09-2006</v>
      </c>
      <c r="G2" s="2"/>
      <c r="H2" s="244">
        <f>'verblijf met behandeling'!M78+1</f>
        <v>9</v>
      </c>
      <c r="J2" s="231"/>
      <c r="K2" s="243"/>
      <c r="L2" s="244">
        <v>1</v>
      </c>
      <c r="M2" s="244"/>
      <c r="N2" s="245"/>
      <c r="O2" s="245"/>
      <c r="P2" s="244"/>
      <c r="Q2" s="244"/>
      <c r="R2" s="246"/>
      <c r="S2" s="247"/>
      <c r="T2" s="2"/>
      <c r="U2" s="2"/>
    </row>
    <row r="3" spans="1:16" s="3" customFormat="1" ht="19.5" customHeight="1">
      <c r="A3" s="230"/>
      <c r="B3" s="232"/>
      <c r="C3" s="230" t="s">
        <v>601</v>
      </c>
      <c r="D3" s="310"/>
      <c r="E3" s="230" t="s">
        <v>601</v>
      </c>
      <c r="F3" s="233"/>
      <c r="G3" s="2"/>
      <c r="H3" s="234"/>
      <c r="J3" s="2"/>
      <c r="K3" s="9"/>
      <c r="L3" s="2"/>
      <c r="M3" s="229"/>
      <c r="N3" s="229"/>
      <c r="O3" s="2"/>
      <c r="P3" s="2"/>
    </row>
    <row r="4" spans="1:11" ht="15" customHeight="1">
      <c r="A4" s="297" t="s">
        <v>1034</v>
      </c>
      <c r="B4" s="30"/>
      <c r="C4" s="15"/>
      <c r="D4" s="24"/>
      <c r="E4" s="15"/>
      <c r="F4" s="11"/>
      <c r="G4" s="11"/>
      <c r="H4" s="11"/>
      <c r="J4" s="11"/>
      <c r="K4" s="11"/>
    </row>
    <row r="5" spans="1:11" ht="15" customHeight="1">
      <c r="A5" s="31"/>
      <c r="B5" s="30"/>
      <c r="C5" s="15"/>
      <c r="D5" s="24"/>
      <c r="E5" s="15"/>
      <c r="F5" s="11"/>
      <c r="G5" s="11"/>
      <c r="H5" s="11"/>
      <c r="J5" s="11"/>
      <c r="K5" s="11"/>
    </row>
    <row r="6" spans="1:5" ht="15" customHeight="1">
      <c r="A6" s="31"/>
      <c r="B6" s="30"/>
      <c r="C6" s="30"/>
      <c r="E6" s="24"/>
    </row>
    <row r="7" spans="1:8" ht="15" customHeight="1">
      <c r="A7" s="42"/>
      <c r="B7" s="31" t="s">
        <v>374</v>
      </c>
      <c r="C7" s="111"/>
      <c r="D7" s="205" t="s">
        <v>132</v>
      </c>
      <c r="E7" s="205" t="s">
        <v>404</v>
      </c>
      <c r="F7" s="205" t="s">
        <v>216</v>
      </c>
      <c r="G7" s="204" t="s">
        <v>218</v>
      </c>
      <c r="H7" s="509"/>
    </row>
    <row r="8" spans="1:8" ht="15" customHeight="1">
      <c r="A8" s="30"/>
      <c r="B8" s="30"/>
      <c r="C8" s="111"/>
      <c r="D8" s="207" t="s">
        <v>452</v>
      </c>
      <c r="E8" s="207" t="s">
        <v>148</v>
      </c>
      <c r="F8" s="207" t="s">
        <v>148</v>
      </c>
      <c r="G8" s="313"/>
      <c r="H8" s="509"/>
    </row>
    <row r="9" spans="1:9" ht="15" customHeight="1">
      <c r="A9" s="47">
        <f>H2*100+1</f>
        <v>901</v>
      </c>
      <c r="B9" s="60" t="s">
        <v>375</v>
      </c>
      <c r="C9" s="578"/>
      <c r="D9" s="828"/>
      <c r="E9" s="50"/>
      <c r="F9" s="568"/>
      <c r="G9" s="58">
        <f>F9-E9</f>
        <v>0</v>
      </c>
      <c r="H9" s="565"/>
      <c r="I9" s="816" t="s">
        <v>931</v>
      </c>
    </row>
    <row r="10" spans="1:9" ht="15" customHeight="1">
      <c r="A10" s="47">
        <f>A9+1</f>
        <v>902</v>
      </c>
      <c r="B10" s="49" t="s">
        <v>211</v>
      </c>
      <c r="C10" s="578"/>
      <c r="D10" s="828"/>
      <c r="E10" s="46"/>
      <c r="F10" s="568"/>
      <c r="G10" s="58">
        <f aca="true" t="shared" si="0" ref="G10:G17">F10-E10</f>
        <v>0</v>
      </c>
      <c r="H10" s="565"/>
      <c r="I10" s="816" t="s">
        <v>932</v>
      </c>
    </row>
    <row r="11" spans="1:9" ht="15" customHeight="1">
      <c r="A11" s="47">
        <f>A10+1</f>
        <v>903</v>
      </c>
      <c r="B11" s="57" t="s">
        <v>212</v>
      </c>
      <c r="C11" s="578"/>
      <c r="D11" s="828"/>
      <c r="E11" s="46"/>
      <c r="F11" s="568"/>
      <c r="G11" s="58">
        <f t="shared" si="0"/>
        <v>0</v>
      </c>
      <c r="H11" s="565"/>
      <c r="I11" s="816" t="s">
        <v>933</v>
      </c>
    </row>
    <row r="12" spans="1:9" ht="15" customHeight="1">
      <c r="A12" s="47">
        <f>A11+1</f>
        <v>904</v>
      </c>
      <c r="B12" s="49" t="s">
        <v>213</v>
      </c>
      <c r="C12" s="578"/>
      <c r="D12" s="828"/>
      <c r="E12" s="46"/>
      <c r="F12" s="568"/>
      <c r="G12" s="58">
        <f t="shared" si="0"/>
        <v>0</v>
      </c>
      <c r="H12" s="565"/>
      <c r="I12" s="816" t="s">
        <v>934</v>
      </c>
    </row>
    <row r="13" spans="1:9" ht="15" customHeight="1">
      <c r="A13" s="47">
        <f>A12+1</f>
        <v>905</v>
      </c>
      <c r="B13" s="57" t="s">
        <v>214</v>
      </c>
      <c r="C13" s="578"/>
      <c r="D13" s="828"/>
      <c r="E13" s="46"/>
      <c r="F13" s="568"/>
      <c r="G13" s="58">
        <f t="shared" si="0"/>
        <v>0</v>
      </c>
      <c r="H13" s="565"/>
      <c r="I13" s="816" t="s">
        <v>935</v>
      </c>
    </row>
    <row r="14" spans="1:12" ht="15" customHeight="1">
      <c r="A14" s="47">
        <f>A13+1</f>
        <v>906</v>
      </c>
      <c r="B14" s="49" t="s">
        <v>215</v>
      </c>
      <c r="C14" s="578"/>
      <c r="D14" s="828"/>
      <c r="E14" s="46"/>
      <c r="F14" s="568"/>
      <c r="G14" s="58">
        <f t="shared" si="0"/>
        <v>0</v>
      </c>
      <c r="H14" s="565"/>
      <c r="I14" s="816" t="s">
        <v>936</v>
      </c>
      <c r="J14" s="15"/>
      <c r="K14" s="15"/>
      <c r="L14" s="11"/>
    </row>
    <row r="15" spans="1:11" ht="15" customHeight="1">
      <c r="A15" s="30"/>
      <c r="B15" s="16" t="s">
        <v>363</v>
      </c>
      <c r="C15" s="570"/>
      <c r="D15" s="826">
        <f>IF(AND(G9+G10+G11+G12&gt;0,F9+F10+F11+F12&gt;D9+D10+D11+D12),"U mag alleen muteren binnen de laatst afgegeven toelating","")</f>
      </c>
      <c r="E15" s="24"/>
      <c r="F15" s="571"/>
      <c r="G15" s="24"/>
      <c r="H15" s="11"/>
      <c r="I15" s="24"/>
      <c r="J15" s="11"/>
      <c r="K15" s="11"/>
    </row>
    <row r="16" spans="1:9" ht="15" customHeight="1">
      <c r="A16" s="47">
        <f>A14+1</f>
        <v>907</v>
      </c>
      <c r="B16" s="49" t="s">
        <v>376</v>
      </c>
      <c r="C16" s="578"/>
      <c r="D16" s="828"/>
      <c r="E16" s="46"/>
      <c r="F16" s="568"/>
      <c r="G16" s="58">
        <f t="shared" si="0"/>
        <v>0</v>
      </c>
      <c r="H16" s="565"/>
      <c r="I16" s="816" t="s">
        <v>937</v>
      </c>
    </row>
    <row r="17" spans="1:11" ht="15" customHeight="1">
      <c r="A17" s="47">
        <f>A16+1</f>
        <v>908</v>
      </c>
      <c r="B17" s="49" t="s">
        <v>377</v>
      </c>
      <c r="C17" s="578"/>
      <c r="D17" s="828"/>
      <c r="E17" s="46"/>
      <c r="F17" s="568"/>
      <c r="G17" s="58">
        <f t="shared" si="0"/>
        <v>0</v>
      </c>
      <c r="H17" s="565"/>
      <c r="I17" s="816" t="s">
        <v>938</v>
      </c>
      <c r="J17" s="11"/>
      <c r="K17" s="11"/>
    </row>
    <row r="18" spans="2:11" ht="15" customHeight="1">
      <c r="B18" s="572"/>
      <c r="C18" s="573"/>
      <c r="D18" s="570"/>
      <c r="E18" s="573"/>
      <c r="F18" s="573"/>
      <c r="G18" s="565"/>
      <c r="H18" s="11"/>
      <c r="J18" s="11"/>
      <c r="K18" s="11"/>
    </row>
    <row r="19" spans="1:11" ht="15" customHeight="1">
      <c r="A19" s="42"/>
      <c r="B19" s="31" t="s">
        <v>386</v>
      </c>
      <c r="C19" s="577"/>
      <c r="D19" s="205" t="s">
        <v>132</v>
      </c>
      <c r="E19" s="205" t="s">
        <v>404</v>
      </c>
      <c r="F19" s="205" t="s">
        <v>216</v>
      </c>
      <c r="G19" s="204" t="s">
        <v>218</v>
      </c>
      <c r="H19" s="509"/>
      <c r="J19" s="11"/>
      <c r="K19" s="11"/>
    </row>
    <row r="20" spans="1:11" ht="15" customHeight="1">
      <c r="A20" s="42"/>
      <c r="B20" s="42"/>
      <c r="C20" s="579"/>
      <c r="D20" s="207" t="s">
        <v>452</v>
      </c>
      <c r="E20" s="207" t="s">
        <v>148</v>
      </c>
      <c r="F20" s="207" t="s">
        <v>148</v>
      </c>
      <c r="G20" s="313"/>
      <c r="H20" s="509"/>
      <c r="J20" s="15"/>
      <c r="K20" s="15"/>
    </row>
    <row r="21" spans="1:11" ht="15" customHeight="1">
      <c r="A21" s="47">
        <f>A17+1</f>
        <v>909</v>
      </c>
      <c r="B21" s="60" t="s">
        <v>379</v>
      </c>
      <c r="C21" s="578"/>
      <c r="D21" s="828"/>
      <c r="E21" s="46"/>
      <c r="F21" s="568"/>
      <c r="G21" s="58">
        <f>F21-E21</f>
        <v>0</v>
      </c>
      <c r="H21" s="565"/>
      <c r="I21" s="816" t="s">
        <v>939</v>
      </c>
      <c r="J21" s="15"/>
      <c r="K21" s="11"/>
    </row>
    <row r="22" spans="1:11" ht="15" customHeight="1">
      <c r="A22" s="47">
        <f>A21+1</f>
        <v>910</v>
      </c>
      <c r="B22" s="49" t="s">
        <v>380</v>
      </c>
      <c r="C22" s="578"/>
      <c r="D22" s="828"/>
      <c r="E22" s="46"/>
      <c r="F22" s="568"/>
      <c r="G22" s="58">
        <f>F22-E22</f>
        <v>0</v>
      </c>
      <c r="H22" s="565"/>
      <c r="I22" s="816" t="s">
        <v>940</v>
      </c>
      <c r="J22" s="15"/>
      <c r="K22" s="11"/>
    </row>
    <row r="23" spans="1:11" ht="15" customHeight="1">
      <c r="A23" s="47">
        <f>A22+1</f>
        <v>911</v>
      </c>
      <c r="B23" s="49" t="s">
        <v>381</v>
      </c>
      <c r="C23" s="578"/>
      <c r="D23" s="828"/>
      <c r="E23" s="46"/>
      <c r="F23" s="568"/>
      <c r="G23" s="58">
        <f>F23-E23</f>
        <v>0</v>
      </c>
      <c r="H23" s="565"/>
      <c r="I23" s="816" t="s">
        <v>941</v>
      </c>
      <c r="J23" s="11"/>
      <c r="K23" s="11"/>
    </row>
    <row r="24" spans="1:11" ht="15" customHeight="1">
      <c r="A24" s="47">
        <f>A23+1</f>
        <v>912</v>
      </c>
      <c r="B24" s="49" t="s">
        <v>377</v>
      </c>
      <c r="C24" s="578"/>
      <c r="D24" s="828"/>
      <c r="E24" s="46"/>
      <c r="F24" s="568"/>
      <c r="G24" s="58">
        <f>F24-E24</f>
        <v>0</v>
      </c>
      <c r="H24" s="565"/>
      <c r="I24" s="816" t="s">
        <v>942</v>
      </c>
      <c r="J24" s="15"/>
      <c r="K24" s="11"/>
    </row>
    <row r="25" spans="1:11" ht="15" customHeight="1">
      <c r="A25" s="31"/>
      <c r="B25" s="64"/>
      <c r="C25" s="573"/>
      <c r="D25" s="826">
        <f>IF(AND(G21+G22&gt;0,F21+F22&gt;D21+D22),"U mag alleen muteren binnen de laatst afgegeven toelating","")</f>
      </c>
      <c r="E25" s="15"/>
      <c r="F25" s="52"/>
      <c r="G25" s="24"/>
      <c r="H25" s="11"/>
      <c r="J25" s="15"/>
      <c r="K25" s="15"/>
    </row>
    <row r="26" spans="1:11" ht="15" customHeight="1">
      <c r="A26" s="30"/>
      <c r="B26" s="31" t="s">
        <v>382</v>
      </c>
      <c r="C26" s="577"/>
      <c r="D26" s="205" t="s">
        <v>132</v>
      </c>
      <c r="E26" s="205" t="s">
        <v>404</v>
      </c>
      <c r="F26" s="205" t="s">
        <v>216</v>
      </c>
      <c r="G26" s="311" t="s">
        <v>218</v>
      </c>
      <c r="H26" s="509"/>
      <c r="J26" s="11"/>
      <c r="K26" s="5"/>
    </row>
    <row r="27" spans="1:11" ht="15" customHeight="1">
      <c r="A27" s="30"/>
      <c r="C27" s="579"/>
      <c r="D27" s="207" t="s">
        <v>452</v>
      </c>
      <c r="E27" s="207" t="s">
        <v>148</v>
      </c>
      <c r="F27" s="207" t="s">
        <v>148</v>
      </c>
      <c r="G27" s="312"/>
      <c r="H27" s="509"/>
      <c r="J27" s="11"/>
      <c r="K27" s="5"/>
    </row>
    <row r="28" spans="1:11" ht="15" customHeight="1">
      <c r="A28" s="47">
        <f>A24+1</f>
        <v>913</v>
      </c>
      <c r="B28" s="49" t="s">
        <v>379</v>
      </c>
      <c r="C28" s="578"/>
      <c r="D28" s="828"/>
      <c r="E28" s="46"/>
      <c r="F28" s="568"/>
      <c r="G28" s="58">
        <f aca="true" t="shared" si="1" ref="G28:G33">F28-E28</f>
        <v>0</v>
      </c>
      <c r="H28" s="565"/>
      <c r="I28" s="816" t="s">
        <v>943</v>
      </c>
      <c r="J28" s="11"/>
      <c r="K28" s="5"/>
    </row>
    <row r="29" spans="1:11" ht="15" customHeight="1">
      <c r="A29" s="47">
        <f>A28+1</f>
        <v>914</v>
      </c>
      <c r="B29" s="49" t="s">
        <v>380</v>
      </c>
      <c r="C29" s="578"/>
      <c r="D29" s="828"/>
      <c r="E29" s="46"/>
      <c r="F29" s="568"/>
      <c r="G29" s="58">
        <f t="shared" si="1"/>
        <v>0</v>
      </c>
      <c r="H29" s="565"/>
      <c r="I29" s="816" t="s">
        <v>944</v>
      </c>
      <c r="J29" s="11"/>
      <c r="K29" s="5"/>
    </row>
    <row r="30" spans="1:11" ht="15" customHeight="1">
      <c r="A30" s="47">
        <f>A29+1</f>
        <v>915</v>
      </c>
      <c r="B30" s="49" t="s">
        <v>694</v>
      </c>
      <c r="C30" s="578"/>
      <c r="D30" s="608"/>
      <c r="E30" s="275"/>
      <c r="F30" s="569"/>
      <c r="G30" s="58"/>
      <c r="H30" s="565"/>
      <c r="I30" s="816" t="s">
        <v>945</v>
      </c>
      <c r="J30" s="11"/>
      <c r="K30" s="5"/>
    </row>
    <row r="31" spans="1:11" ht="15" customHeight="1">
      <c r="A31" s="47">
        <f>A30+1</f>
        <v>916</v>
      </c>
      <c r="B31" s="49" t="s">
        <v>381</v>
      </c>
      <c r="C31" s="578"/>
      <c r="D31" s="828"/>
      <c r="E31" s="46"/>
      <c r="F31" s="568"/>
      <c r="G31" s="58">
        <f t="shared" si="1"/>
        <v>0</v>
      </c>
      <c r="H31" s="565"/>
      <c r="I31" s="816" t="s">
        <v>946</v>
      </c>
      <c r="J31" s="11"/>
      <c r="K31" s="11"/>
    </row>
    <row r="32" spans="1:11" ht="15" customHeight="1">
      <c r="A32" s="47">
        <f>A31+1</f>
        <v>917</v>
      </c>
      <c r="B32" s="49" t="s">
        <v>383</v>
      </c>
      <c r="C32" s="578"/>
      <c r="D32" s="828"/>
      <c r="E32" s="46"/>
      <c r="F32" s="568"/>
      <c r="G32" s="58">
        <f t="shared" si="1"/>
        <v>0</v>
      </c>
      <c r="H32" s="565"/>
      <c r="I32" s="816" t="s">
        <v>947</v>
      </c>
      <c r="J32" s="11"/>
      <c r="K32" s="11"/>
    </row>
    <row r="33" spans="1:11" ht="15" customHeight="1">
      <c r="A33" s="47">
        <f>A32+1</f>
        <v>918</v>
      </c>
      <c r="B33" s="49" t="s">
        <v>384</v>
      </c>
      <c r="C33" s="578"/>
      <c r="D33" s="829"/>
      <c r="E33" s="46"/>
      <c r="F33" s="568"/>
      <c r="G33" s="58">
        <f t="shared" si="1"/>
        <v>0</v>
      </c>
      <c r="H33" s="565"/>
      <c r="I33" s="816" t="s">
        <v>948</v>
      </c>
      <c r="J33" s="11"/>
      <c r="K33" s="11"/>
    </row>
    <row r="34" spans="2:11" ht="15" customHeight="1">
      <c r="B34" s="64"/>
      <c r="C34" s="573"/>
      <c r="D34" s="827">
        <f>IF(AND(G28+G29&gt;0,F28+F29&gt;D28+D29),"U mag alleen muteren binnen de laatst afgegeven toelating","")</f>
      </c>
      <c r="E34" s="52"/>
      <c r="F34" s="52"/>
      <c r="G34" s="15"/>
      <c r="H34" s="15"/>
      <c r="J34" s="11"/>
      <c r="K34" s="5"/>
    </row>
    <row r="35" spans="2:11" ht="15" customHeight="1">
      <c r="B35" s="30"/>
      <c r="D35" s="5"/>
      <c r="E35" s="15"/>
      <c r="F35" s="15"/>
      <c r="G35" s="15"/>
      <c r="H35" s="15"/>
      <c r="J35" s="11"/>
      <c r="K35" s="5"/>
    </row>
    <row r="36" spans="1:22" s="3" customFormat="1" ht="14.25" customHeight="1">
      <c r="A36" s="284"/>
      <c r="C36" s="574"/>
      <c r="D36" s="574"/>
      <c r="O36" s="236"/>
      <c r="P36" s="236"/>
      <c r="Q36" s="237"/>
      <c r="R36" s="237"/>
      <c r="S36" s="236"/>
      <c r="T36" s="236"/>
      <c r="U36" s="238"/>
      <c r="V36" s="239"/>
    </row>
    <row r="37" spans="1:21" s="108" customFormat="1" ht="13.5" customHeight="1">
      <c r="A37" s="285" t="str">
        <f>voorblad!A20</f>
        <v>Mutatieformulier regiokader gehandicaptenzorg 2006</v>
      </c>
      <c r="B37" s="1"/>
      <c r="C37" s="228"/>
      <c r="D37" s="228"/>
      <c r="E37" s="228"/>
      <c r="F37" s="241" t="str">
        <f>"versie: "&amp;TEXT(voorblad!$L$25,"dd-mm-jjjj")</f>
        <v>versie: 11-09-2006</v>
      </c>
      <c r="H37" s="244">
        <f>H2+1</f>
        <v>10</v>
      </c>
      <c r="J37" s="231"/>
      <c r="K37" s="243"/>
      <c r="L37" s="244">
        <v>1</v>
      </c>
      <c r="M37" s="244"/>
      <c r="N37" s="245"/>
      <c r="O37" s="245"/>
      <c r="P37" s="244"/>
      <c r="Q37" s="244"/>
      <c r="R37" s="246"/>
      <c r="S37" s="247"/>
      <c r="T37" s="2"/>
      <c r="U37" s="2"/>
    </row>
    <row r="38" spans="1:16" s="3" customFormat="1" ht="19.5" customHeight="1">
      <c r="A38" s="230"/>
      <c r="B38" s="253"/>
      <c r="C38" s="580"/>
      <c r="D38" s="575"/>
      <c r="E38" s="230" t="s">
        <v>601</v>
      </c>
      <c r="F38" s="252" t="s">
        <v>601</v>
      </c>
      <c r="G38" s="233"/>
      <c r="H38" s="11"/>
      <c r="J38" s="2"/>
      <c r="K38" s="9"/>
      <c r="L38" s="2"/>
      <c r="M38" s="229"/>
      <c r="N38" s="229"/>
      <c r="O38" s="2"/>
      <c r="P38" s="2"/>
    </row>
    <row r="39" spans="1:11" ht="15" customHeight="1">
      <c r="A39" s="30"/>
      <c r="B39" s="31" t="s">
        <v>387</v>
      </c>
      <c r="C39" s="577"/>
      <c r="D39" s="205" t="s">
        <v>132</v>
      </c>
      <c r="E39" s="205" t="s">
        <v>404</v>
      </c>
      <c r="F39" s="205" t="s">
        <v>216</v>
      </c>
      <c r="G39" s="204" t="s">
        <v>218</v>
      </c>
      <c r="H39" s="509"/>
      <c r="J39" s="11"/>
      <c r="K39" s="11"/>
    </row>
    <row r="40" spans="1:8" ht="15" customHeight="1">
      <c r="A40" s="30"/>
      <c r="B40" s="30"/>
      <c r="C40" s="579"/>
      <c r="D40" s="207" t="s">
        <v>452</v>
      </c>
      <c r="E40" s="207" t="s">
        <v>148</v>
      </c>
      <c r="F40" s="207" t="s">
        <v>148</v>
      </c>
      <c r="G40" s="313"/>
      <c r="H40" s="509"/>
    </row>
    <row r="41" spans="1:11" ht="15" customHeight="1">
      <c r="A41" s="47">
        <f>H37*100+1</f>
        <v>1001</v>
      </c>
      <c r="B41" s="49" t="s">
        <v>646</v>
      </c>
      <c r="C41" s="578"/>
      <c r="D41" s="828"/>
      <c r="E41" s="46"/>
      <c r="F41" s="568"/>
      <c r="G41" s="58">
        <f aca="true" t="shared" si="2" ref="G41:G50">F41-E41</f>
        <v>0</v>
      </c>
      <c r="H41" s="565"/>
      <c r="I41" s="816" t="s">
        <v>949</v>
      </c>
      <c r="J41" s="11"/>
      <c r="K41" s="11"/>
    </row>
    <row r="42" spans="1:11" ht="15" customHeight="1">
      <c r="A42" s="47">
        <f aca="true" t="shared" si="3" ref="A42:A50">A41+1</f>
        <v>1002</v>
      </c>
      <c r="B42" s="49" t="s">
        <v>647</v>
      </c>
      <c r="C42" s="578"/>
      <c r="D42" s="828"/>
      <c r="E42" s="46"/>
      <c r="F42" s="568"/>
      <c r="G42" s="58">
        <f t="shared" si="2"/>
        <v>0</v>
      </c>
      <c r="H42" s="565"/>
      <c r="I42" s="816" t="s">
        <v>950</v>
      </c>
      <c r="J42" s="11"/>
      <c r="K42" s="11"/>
    </row>
    <row r="43" spans="1:11" ht="15" customHeight="1">
      <c r="A43" s="47">
        <f t="shared" si="3"/>
        <v>1003</v>
      </c>
      <c r="B43" s="49" t="s">
        <v>648</v>
      </c>
      <c r="C43" s="578"/>
      <c r="D43" s="828"/>
      <c r="E43" s="46"/>
      <c r="F43" s="568"/>
      <c r="G43" s="58">
        <f t="shared" si="2"/>
        <v>0</v>
      </c>
      <c r="H43" s="565"/>
      <c r="I43" s="816" t="s">
        <v>951</v>
      </c>
      <c r="J43" s="11"/>
      <c r="K43" s="11"/>
    </row>
    <row r="44" spans="1:11" ht="15" customHeight="1">
      <c r="A44" s="47">
        <f t="shared" si="3"/>
        <v>1004</v>
      </c>
      <c r="B44" s="49" t="s">
        <v>649</v>
      </c>
      <c r="C44" s="578"/>
      <c r="D44" s="828"/>
      <c r="E44" s="46"/>
      <c r="F44" s="568"/>
      <c r="G44" s="58">
        <f t="shared" si="2"/>
        <v>0</v>
      </c>
      <c r="H44" s="565"/>
      <c r="I44" s="816" t="s">
        <v>952</v>
      </c>
      <c r="J44" s="11"/>
      <c r="K44" s="11"/>
    </row>
    <row r="45" spans="1:11" ht="15" customHeight="1">
      <c r="A45" s="47">
        <f t="shared" si="3"/>
        <v>1005</v>
      </c>
      <c r="B45" s="49" t="s">
        <v>650</v>
      </c>
      <c r="C45" s="578"/>
      <c r="D45" s="828"/>
      <c r="E45" s="46"/>
      <c r="F45" s="568"/>
      <c r="G45" s="58">
        <f t="shared" si="2"/>
        <v>0</v>
      </c>
      <c r="H45" s="565"/>
      <c r="I45" s="816" t="s">
        <v>953</v>
      </c>
      <c r="J45" s="11"/>
      <c r="K45" s="11"/>
    </row>
    <row r="46" spans="1:11" ht="15" customHeight="1">
      <c r="A46" s="47">
        <f t="shared" si="3"/>
        <v>1006</v>
      </c>
      <c r="B46" s="49" t="s">
        <v>651</v>
      </c>
      <c r="C46" s="578"/>
      <c r="D46" s="828"/>
      <c r="E46" s="46"/>
      <c r="F46" s="568"/>
      <c r="G46" s="58">
        <f t="shared" si="2"/>
        <v>0</v>
      </c>
      <c r="H46" s="565"/>
      <c r="I46" s="816" t="s">
        <v>954</v>
      </c>
      <c r="J46" s="11"/>
      <c r="K46" s="11"/>
    </row>
    <row r="47" spans="1:9" ht="15" customHeight="1">
      <c r="A47" s="47">
        <f t="shared" si="3"/>
        <v>1007</v>
      </c>
      <c r="B47" s="49" t="s">
        <v>652</v>
      </c>
      <c r="C47" s="578"/>
      <c r="D47" s="828"/>
      <c r="E47" s="46"/>
      <c r="F47" s="568"/>
      <c r="G47" s="58">
        <f t="shared" si="2"/>
        <v>0</v>
      </c>
      <c r="H47" s="565"/>
      <c r="I47" s="816" t="s">
        <v>955</v>
      </c>
    </row>
    <row r="48" spans="1:11" ht="15" customHeight="1">
      <c r="A48" s="47">
        <f t="shared" si="3"/>
        <v>1008</v>
      </c>
      <c r="B48" s="49" t="s">
        <v>653</v>
      </c>
      <c r="C48" s="578"/>
      <c r="D48" s="828"/>
      <c r="E48" s="46"/>
      <c r="F48" s="568"/>
      <c r="G48" s="58">
        <f t="shared" si="2"/>
        <v>0</v>
      </c>
      <c r="H48" s="565"/>
      <c r="I48" s="816" t="s">
        <v>956</v>
      </c>
      <c r="J48" s="11"/>
      <c r="K48" s="11"/>
    </row>
    <row r="49" spans="1:11" ht="15" customHeight="1">
      <c r="A49" s="47">
        <f t="shared" si="3"/>
        <v>1009</v>
      </c>
      <c r="B49" s="49" t="s">
        <v>829</v>
      </c>
      <c r="C49" s="578"/>
      <c r="D49" s="828"/>
      <c r="E49" s="46"/>
      <c r="F49" s="568"/>
      <c r="G49" s="58">
        <f t="shared" si="2"/>
        <v>0</v>
      </c>
      <c r="H49" s="565"/>
      <c r="I49" s="816" t="s">
        <v>957</v>
      </c>
      <c r="J49" s="11"/>
      <c r="K49" s="11"/>
    </row>
    <row r="50" spans="1:11" ht="15" customHeight="1">
      <c r="A50" s="47">
        <f t="shared" si="3"/>
        <v>1010</v>
      </c>
      <c r="B50" s="49" t="s">
        <v>830</v>
      </c>
      <c r="C50" s="578"/>
      <c r="D50" s="828"/>
      <c r="E50" s="46"/>
      <c r="F50" s="568"/>
      <c r="G50" s="58">
        <f t="shared" si="2"/>
        <v>0</v>
      </c>
      <c r="H50" s="565"/>
      <c r="I50" s="816" t="s">
        <v>958</v>
      </c>
      <c r="J50" s="11"/>
      <c r="K50" s="11"/>
    </row>
    <row r="51" spans="1:11" ht="15" customHeight="1">
      <c r="A51" s="31"/>
      <c r="B51" s="16"/>
      <c r="C51" s="570"/>
      <c r="D51" s="826">
        <f>IF(AND(G41+G42+G43+G44+G47+G48+G45+G46&gt;0,F45+F46+F47+F48+F41+F42+F43+F44&gt;D45+D46+D41+D42+D43+D44+D47+D48),"U mag alleen muteren binnen de laatst afgegeven toelating","")</f>
      </c>
      <c r="E51" s="24"/>
      <c r="F51" s="571"/>
      <c r="G51" s="24"/>
      <c r="H51" s="11"/>
      <c r="I51" s="24"/>
      <c r="J51" s="11"/>
      <c r="K51" s="15"/>
    </row>
    <row r="52" spans="1:11" ht="15" customHeight="1">
      <c r="A52" s="47">
        <f>A50+1</f>
        <v>1011</v>
      </c>
      <c r="B52" s="49" t="s">
        <v>376</v>
      </c>
      <c r="C52" s="578"/>
      <c r="D52" s="828"/>
      <c r="E52" s="46"/>
      <c r="F52" s="568"/>
      <c r="G52" s="58">
        <f>F52-E52</f>
        <v>0</v>
      </c>
      <c r="H52" s="565"/>
      <c r="I52" s="816" t="s">
        <v>959</v>
      </c>
      <c r="J52" s="15"/>
      <c r="K52" s="15"/>
    </row>
    <row r="53" spans="1:11" ht="15" customHeight="1">
      <c r="A53" s="47">
        <f>A52+1</f>
        <v>1012</v>
      </c>
      <c r="B53" s="49" t="s">
        <v>377</v>
      </c>
      <c r="C53" s="578"/>
      <c r="D53" s="828"/>
      <c r="E53" s="46"/>
      <c r="F53" s="568"/>
      <c r="G53" s="58">
        <f>F53-E53</f>
        <v>0</v>
      </c>
      <c r="H53" s="565"/>
      <c r="I53" s="816" t="s">
        <v>960</v>
      </c>
      <c r="J53" s="15"/>
      <c r="K53" s="15"/>
    </row>
    <row r="54" spans="3:11" ht="15" customHeight="1">
      <c r="C54" s="573"/>
      <c r="D54" s="573"/>
      <c r="G54" s="565"/>
      <c r="H54" s="15"/>
      <c r="J54" s="15"/>
      <c r="K54" s="15"/>
    </row>
    <row r="55" spans="4:11" ht="15" customHeight="1">
      <c r="D55" s="576"/>
      <c r="G55" s="565"/>
      <c r="H55" s="11"/>
      <c r="J55" s="15"/>
      <c r="K55" s="15"/>
    </row>
    <row r="56" spans="1:8" ht="15" customHeight="1">
      <c r="A56" s="30"/>
      <c r="B56" s="31" t="s">
        <v>378</v>
      </c>
      <c r="C56" s="577"/>
      <c r="D56" s="205" t="s">
        <v>132</v>
      </c>
      <c r="E56" s="205" t="s">
        <v>404</v>
      </c>
      <c r="F56" s="205" t="s">
        <v>216</v>
      </c>
      <c r="G56" s="204" t="s">
        <v>218</v>
      </c>
      <c r="H56" s="509"/>
    </row>
    <row r="57" spans="1:11" ht="15" customHeight="1">
      <c r="A57" s="30"/>
      <c r="B57" s="30"/>
      <c r="C57" s="579"/>
      <c r="D57" s="207" t="s">
        <v>452</v>
      </c>
      <c r="E57" s="207" t="s">
        <v>148</v>
      </c>
      <c r="F57" s="207" t="s">
        <v>148</v>
      </c>
      <c r="G57" s="313"/>
      <c r="H57" s="509"/>
      <c r="J57" s="15"/>
      <c r="K57" s="15"/>
    </row>
    <row r="58" spans="1:11" ht="15" customHeight="1">
      <c r="A58" s="47">
        <f>A53+1</f>
        <v>1013</v>
      </c>
      <c r="B58" s="49" t="s">
        <v>379</v>
      </c>
      <c r="C58" s="578"/>
      <c r="D58" s="828"/>
      <c r="E58" s="46"/>
      <c r="F58" s="568"/>
      <c r="G58" s="58">
        <f>F58-E58</f>
        <v>0</v>
      </c>
      <c r="H58" s="565"/>
      <c r="I58" s="816" t="s">
        <v>961</v>
      </c>
      <c r="J58" s="15"/>
      <c r="K58" s="11"/>
    </row>
    <row r="59" spans="1:11" ht="15" customHeight="1">
      <c r="A59" s="47">
        <f>A58+1</f>
        <v>1014</v>
      </c>
      <c r="B59" s="49" t="s">
        <v>380</v>
      </c>
      <c r="C59" s="578"/>
      <c r="D59" s="828"/>
      <c r="E59" s="46"/>
      <c r="F59" s="568"/>
      <c r="G59" s="58">
        <f>F59-E59</f>
        <v>0</v>
      </c>
      <c r="H59" s="565"/>
      <c r="I59" s="816" t="s">
        <v>962</v>
      </c>
      <c r="J59" s="11"/>
      <c r="K59" s="11"/>
    </row>
    <row r="60" spans="1:11" ht="15" customHeight="1">
      <c r="A60" s="47">
        <f>A59+1</f>
        <v>1015</v>
      </c>
      <c r="B60" s="49" t="s">
        <v>381</v>
      </c>
      <c r="C60" s="578"/>
      <c r="D60" s="829"/>
      <c r="E60" s="46"/>
      <c r="F60" s="568"/>
      <c r="G60" s="58">
        <f>F60-E60</f>
        <v>0</v>
      </c>
      <c r="H60" s="565"/>
      <c r="I60" s="816" t="s">
        <v>963</v>
      </c>
      <c r="J60" s="11"/>
      <c r="K60" s="11"/>
    </row>
    <row r="61" spans="3:11" ht="15" customHeight="1">
      <c r="C61" s="573"/>
      <c r="D61" s="827">
        <f>IF(AND(G58+G59&gt;0,F58+F59&gt;D58+D59),"U mag alleen muteren binnen de laatst afgegeven toelating","")</f>
      </c>
      <c r="G61" s="565"/>
      <c r="H61" s="11"/>
      <c r="J61" s="11"/>
      <c r="K61" s="11"/>
    </row>
    <row r="62" spans="4:11" ht="15" customHeight="1">
      <c r="D62" s="576"/>
      <c r="G62" s="565"/>
      <c r="H62" s="11"/>
      <c r="J62" s="11"/>
      <c r="K62" s="11"/>
    </row>
    <row r="63" spans="1:11" ht="15" customHeight="1">
      <c r="A63" s="30"/>
      <c r="B63" s="31" t="s">
        <v>385</v>
      </c>
      <c r="C63" s="577"/>
      <c r="D63" s="205" t="s">
        <v>132</v>
      </c>
      <c r="E63" s="205" t="s">
        <v>404</v>
      </c>
      <c r="F63" s="205" t="s">
        <v>216</v>
      </c>
      <c r="G63" s="204" t="s">
        <v>218</v>
      </c>
      <c r="H63" s="509"/>
      <c r="J63" s="11"/>
      <c r="K63" s="11"/>
    </row>
    <row r="64" spans="1:11" ht="15" customHeight="1">
      <c r="A64" s="30"/>
      <c r="B64" s="30"/>
      <c r="C64" s="579"/>
      <c r="D64" s="207" t="s">
        <v>452</v>
      </c>
      <c r="E64" s="207" t="s">
        <v>148</v>
      </c>
      <c r="F64" s="207" t="s">
        <v>148</v>
      </c>
      <c r="G64" s="314"/>
      <c r="H64" s="509"/>
      <c r="J64" s="11"/>
      <c r="K64" s="11"/>
    </row>
    <row r="65" spans="1:11" ht="15" customHeight="1">
      <c r="A65" s="47">
        <f>A60+1</f>
        <v>1016</v>
      </c>
      <c r="B65" s="49" t="s">
        <v>379</v>
      </c>
      <c r="C65" s="578"/>
      <c r="D65" s="828"/>
      <c r="E65" s="46"/>
      <c r="F65" s="568"/>
      <c r="G65" s="58">
        <f>F65-E65</f>
        <v>0</v>
      </c>
      <c r="H65" s="565"/>
      <c r="I65" s="816" t="s">
        <v>964</v>
      </c>
      <c r="J65" s="11"/>
      <c r="K65" s="11"/>
    </row>
    <row r="66" spans="1:11" ht="15" customHeight="1">
      <c r="A66" s="47">
        <f>A65+1</f>
        <v>1017</v>
      </c>
      <c r="B66" s="49" t="s">
        <v>380</v>
      </c>
      <c r="C66" s="578"/>
      <c r="D66" s="828"/>
      <c r="E66" s="46"/>
      <c r="F66" s="568"/>
      <c r="G66" s="58">
        <f>F66-E66</f>
        <v>0</v>
      </c>
      <c r="H66" s="565"/>
      <c r="I66" s="816" t="s">
        <v>965</v>
      </c>
      <c r="J66" s="11"/>
      <c r="K66" s="11"/>
    </row>
    <row r="67" spans="1:11" ht="15" customHeight="1">
      <c r="A67" s="47">
        <f>A66+1</f>
        <v>1018</v>
      </c>
      <c r="B67" s="49" t="s">
        <v>381</v>
      </c>
      <c r="C67" s="578"/>
      <c r="D67" s="828"/>
      <c r="E67" s="46"/>
      <c r="F67" s="568"/>
      <c r="G67" s="58">
        <f>F67-E67</f>
        <v>0</v>
      </c>
      <c r="H67" s="565"/>
      <c r="I67" s="816" t="s">
        <v>966</v>
      </c>
      <c r="J67" s="11"/>
      <c r="K67" s="11"/>
    </row>
    <row r="68" spans="1:11" ht="15" customHeight="1">
      <c r="A68" s="47">
        <f>A67+1</f>
        <v>1019</v>
      </c>
      <c r="B68" s="49" t="s">
        <v>383</v>
      </c>
      <c r="C68" s="578"/>
      <c r="D68" s="828"/>
      <c r="E68" s="46"/>
      <c r="F68" s="568"/>
      <c r="G68" s="58">
        <f>F68-E68</f>
        <v>0</v>
      </c>
      <c r="H68" s="565"/>
      <c r="I68" s="816" t="s">
        <v>967</v>
      </c>
      <c r="J68" s="11"/>
      <c r="K68" s="11"/>
    </row>
    <row r="69" spans="1:11" ht="15" customHeight="1">
      <c r="A69" s="47">
        <f>A68+1</f>
        <v>1020</v>
      </c>
      <c r="B69" s="49" t="s">
        <v>384</v>
      </c>
      <c r="C69" s="578"/>
      <c r="D69" s="829"/>
      <c r="E69" s="46"/>
      <c r="F69" s="568"/>
      <c r="G69" s="58">
        <f>F69-E69</f>
        <v>0</v>
      </c>
      <c r="H69" s="565"/>
      <c r="I69" s="816" t="s">
        <v>968</v>
      </c>
      <c r="J69" s="11"/>
      <c r="K69" s="11"/>
    </row>
    <row r="70" spans="4:11" ht="15" customHeight="1">
      <c r="D70" s="827">
        <f>IF(AND(G65+G66&gt;0,F65+F66&gt;D65+D66),"U mag alleen muteren binnen de laatst afgegeven toelating","")</f>
      </c>
      <c r="F70" s="11"/>
      <c r="G70" s="11"/>
      <c r="H70" s="11"/>
      <c r="J70" s="11"/>
      <c r="K70" s="11"/>
    </row>
    <row r="71" ht="12.75">
      <c r="G71" s="5"/>
    </row>
    <row r="72" ht="12.75" hidden="1"/>
    <row r="73" ht="12.75" hidden="1"/>
    <row r="74" ht="12.75" hidden="1"/>
    <row r="75" ht="12.75" hidden="1"/>
    <row r="76" ht="12.75" hidden="1"/>
    <row r="77" spans="1:5" ht="12.75" hidden="1">
      <c r="A77" s="30"/>
      <c r="B77" s="30"/>
      <c r="C77" s="15"/>
      <c r="D77" s="24"/>
      <c r="E77" s="15"/>
    </row>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sheetData>
  <sheetProtection password="CD36" sheet="1" objects="1" scenarios="1"/>
  <conditionalFormatting sqref="G70:G90">
    <cfRule type="expression" priority="1" dxfId="3" stopIfTrue="1">
      <formula>$C$2=TRUE</formula>
    </cfRule>
  </conditionalFormatting>
  <conditionalFormatting sqref="D9:F14 D16:F17 D21:F24 D65:F69 D41:F50 D52:F53 D58:F60 D31:D33 D28:D29 E28:E33 F28:F29 F31:F33">
    <cfRule type="expression" priority="2" dxfId="0" stopIfTrue="1">
      <formula>$C$2=TRUE</formula>
    </cfRule>
  </conditionalFormatting>
  <conditionalFormatting sqref="E25:F25">
    <cfRule type="expression" priority="3" dxfId="4" stopIfTrue="1">
      <formula>#REF!=TRUE</formula>
    </cfRule>
  </conditionalFormatting>
  <conditionalFormatting sqref="D30 F30">
    <cfRule type="expression" priority="4" dxfId="3" stopIfTrue="1">
      <formula>$C$2=TRUE</formula>
    </cfRule>
  </conditionalFormatting>
  <dataValidations count="2">
    <dataValidation type="decimal" allowBlank="1" showInputMessage="1" showErrorMessage="1" errorTitle="onjuiste waarde" error="Minimaal 0,50, maximaal 0,90" sqref="F30">
      <formula1>0.5</formula1>
      <formula2>0.9</formula2>
    </dataValidation>
    <dataValidation type="decimal" allowBlank="1" showInputMessage="1" showErrorMessage="1" errorTitle="onjuiste waarde" error="De graad van verzorgingsbehoefte is minimaal 0,50 en maximaal 0,90. U dient de waarde uit de rekenstaat 2006 over te nemen." sqref="E30">
      <formula1>0.5</formula1>
      <formula2>0.9</formula2>
    </dataValidation>
  </dataValidations>
  <printOptions horizontalCentered="1"/>
  <pageMargins left="0.3937007874015748" right="0.3937007874015748" top="0.1968503937007874" bottom="0.1968503937007874" header="0.5118110236220472" footer="0.5118110236220472"/>
  <pageSetup horizontalDpi="600" verticalDpi="600" orientation="landscape" paperSize="9" scale="85" r:id="rId2"/>
  <headerFooter alignWithMargins="0">
    <oddFooter>&amp;C&amp;A</oddFooter>
  </headerFooter>
  <rowBreaks count="1" manualBreakCount="1">
    <brk id="35" max="255" man="1"/>
  </rowBreaks>
  <drawing r:id="rId1"/>
</worksheet>
</file>

<file path=xl/worksheets/sheet7.xml><?xml version="1.0" encoding="utf-8"?>
<worksheet xmlns="http://schemas.openxmlformats.org/spreadsheetml/2006/main" xmlns:r="http://schemas.openxmlformats.org/officeDocument/2006/relationships">
  <dimension ref="A1:V76"/>
  <sheetViews>
    <sheetView showGridLines="0" tabSelected="1" zoomScale="86" zoomScaleNormal="86" zoomScaleSheetLayoutView="86" workbookViewId="0" topLeftCell="A1">
      <selection activeCell="A17" sqref="A17"/>
    </sheetView>
  </sheetViews>
  <sheetFormatPr defaultColWidth="9.140625" defaultRowHeight="12.75" customHeight="1" zeroHeight="1"/>
  <cols>
    <col min="1" max="1" width="5.7109375" style="13" customWidth="1"/>
    <col min="2" max="5" width="12.421875" style="11" customWidth="1"/>
    <col min="6" max="6" width="12.421875" style="87" customWidth="1"/>
    <col min="7" max="7" width="11.28125" style="11" customWidth="1"/>
    <col min="8" max="8" width="6.28125" style="13" customWidth="1"/>
    <col min="9" max="9" width="11.00390625" style="11" customWidth="1"/>
    <col min="10" max="10" width="6.7109375" style="11" customWidth="1"/>
    <col min="11" max="11" width="11.00390625" style="11" customWidth="1"/>
    <col min="12" max="12" width="11.57421875" style="11" customWidth="1"/>
    <col min="13" max="13" width="12.00390625" style="11" customWidth="1"/>
    <col min="14" max="14" width="4.00390625" style="11" customWidth="1"/>
    <col min="15" max="15" width="11.28125" style="11" customWidth="1"/>
    <col min="16" max="17" width="9.140625" style="11" customWidth="1"/>
    <col min="18" max="16384" width="0" style="11" hidden="1" customWidth="1"/>
  </cols>
  <sheetData>
    <row r="1" spans="5:22" s="3" customFormat="1" ht="14.25" customHeight="1">
      <c r="E1" s="340"/>
      <c r="F1" s="341"/>
      <c r="O1" s="236"/>
      <c r="P1" s="236"/>
      <c r="Q1" s="237"/>
      <c r="R1" s="237"/>
      <c r="S1" s="236"/>
      <c r="T1" s="236"/>
      <c r="U1" s="238"/>
      <c r="V1" s="239"/>
    </row>
    <row r="2" spans="1:19" s="108" customFormat="1" ht="13.5" customHeight="1">
      <c r="A2" s="110" t="str">
        <f>voorblad!$A$20</f>
        <v>Mutatieformulier regiokader gehandicaptenzorg 2006</v>
      </c>
      <c r="B2" s="1"/>
      <c r="C2" s="228"/>
      <c r="D2" s="255" t="b">
        <f>voorblad!E14</f>
        <v>1</v>
      </c>
      <c r="E2" s="110"/>
      <c r="F2" s="342"/>
      <c r="G2" s="228"/>
      <c r="H2" s="256"/>
      <c r="I2" s="241" t="str">
        <f>"versie: "&amp;TEXT(voorblad!$L$25,"dd-mm-jjjj")</f>
        <v>versie: 11-09-2006</v>
      </c>
      <c r="J2" s="242"/>
      <c r="K2" s="244"/>
      <c r="L2" s="245"/>
      <c r="M2" s="245"/>
      <c r="N2" s="244">
        <f>'verblijf zonder behandeling'!H37+1</f>
        <v>11</v>
      </c>
      <c r="O2" s="244"/>
      <c r="P2" s="246"/>
      <c r="Q2" s="247"/>
      <c r="R2" s="2"/>
      <c r="S2" s="2"/>
    </row>
    <row r="3" spans="1:16" s="3" customFormat="1" ht="19.5" customHeight="1">
      <c r="A3" s="230"/>
      <c r="B3" s="232"/>
      <c r="C3" s="230" t="s">
        <v>601</v>
      </c>
      <c r="D3" s="257" t="b">
        <f>voorblad!E14</f>
        <v>1</v>
      </c>
      <c r="E3" s="233"/>
      <c r="F3" s="234"/>
      <c r="G3" s="234"/>
      <c r="H3" s="235"/>
      <c r="I3" s="2"/>
      <c r="J3" s="2"/>
      <c r="K3" s="9"/>
      <c r="L3" s="2"/>
      <c r="M3" s="229"/>
      <c r="N3" s="229"/>
      <c r="O3" s="2"/>
      <c r="P3" s="2"/>
    </row>
    <row r="4" spans="1:10" ht="15" customHeight="1">
      <c r="A4" s="298" t="s">
        <v>296</v>
      </c>
      <c r="B4" s="13"/>
      <c r="C4" s="13"/>
      <c r="D4" s="13"/>
      <c r="E4" s="15"/>
      <c r="F4" s="14"/>
      <c r="G4" s="13"/>
      <c r="I4" s="13"/>
      <c r="J4" s="13"/>
    </row>
    <row r="5" spans="3:15" ht="15" customHeight="1">
      <c r="C5" s="13"/>
      <c r="D5" s="13"/>
      <c r="E5" s="13"/>
      <c r="F5" s="227"/>
      <c r="G5" s="13"/>
      <c r="K5" s="13"/>
      <c r="L5" s="13"/>
      <c r="M5" s="13"/>
      <c r="N5" s="13"/>
      <c r="O5" s="13"/>
    </row>
    <row r="6" spans="2:7" ht="13.5" customHeight="1">
      <c r="B6" s="40" t="s">
        <v>458</v>
      </c>
      <c r="C6" s="13"/>
      <c r="D6" s="205" t="s">
        <v>132</v>
      </c>
      <c r="E6" s="205" t="s">
        <v>404</v>
      </c>
      <c r="F6" s="511" t="s">
        <v>456</v>
      </c>
      <c r="G6" s="205" t="s">
        <v>218</v>
      </c>
    </row>
    <row r="7" spans="2:7" ht="15" customHeight="1">
      <c r="B7" s="13"/>
      <c r="C7" s="13"/>
      <c r="D7" s="207" t="s">
        <v>452</v>
      </c>
      <c r="E7" s="207">
        <v>2006</v>
      </c>
      <c r="F7" s="207">
        <v>2006</v>
      </c>
      <c r="G7" s="207"/>
    </row>
    <row r="8" spans="1:9" ht="15" customHeight="1">
      <c r="A8" s="47">
        <f>N2*100+1</f>
        <v>1101</v>
      </c>
      <c r="B8" s="89" t="s">
        <v>459</v>
      </c>
      <c r="C8" s="39"/>
      <c r="D8" s="497"/>
      <c r="E8" s="588">
        <f>E13/365</f>
        <v>0</v>
      </c>
      <c r="F8" s="588">
        <f>ROUND(F13/365,0)</f>
        <v>0</v>
      </c>
      <c r="G8" s="58">
        <f>F8-E8</f>
        <v>0</v>
      </c>
      <c r="I8" s="817" t="s">
        <v>969</v>
      </c>
    </row>
    <row r="9" spans="1:15" ht="15" customHeight="1">
      <c r="A9" s="31"/>
      <c r="B9" s="91" t="s">
        <v>463</v>
      </c>
      <c r="C9" s="13"/>
      <c r="D9" s="13"/>
      <c r="E9" s="15"/>
      <c r="F9" s="14"/>
      <c r="G9" s="15"/>
      <c r="I9" s="91"/>
      <c r="J9" s="91"/>
      <c r="K9" s="13"/>
      <c r="L9" s="24"/>
      <c r="M9" s="24"/>
      <c r="N9" s="24"/>
      <c r="O9" s="24"/>
    </row>
    <row r="10" spans="1:15" ht="15" customHeight="1">
      <c r="A10" s="288"/>
      <c r="F10" s="11"/>
      <c r="G10" s="15"/>
      <c r="I10" s="91"/>
      <c r="J10" s="91"/>
      <c r="K10" s="13"/>
      <c r="L10" s="24"/>
      <c r="M10" s="24"/>
      <c r="N10" s="24"/>
      <c r="O10" s="24"/>
    </row>
    <row r="11" spans="1:15" ht="15" customHeight="1">
      <c r="A11" s="31"/>
      <c r="B11" s="40" t="s">
        <v>389</v>
      </c>
      <c r="C11" s="13"/>
      <c r="E11" s="205" t="s">
        <v>404</v>
      </c>
      <c r="F11" s="205" t="s">
        <v>456</v>
      </c>
      <c r="G11" s="205" t="s">
        <v>218</v>
      </c>
      <c r="I11" s="91"/>
      <c r="J11" s="91"/>
      <c r="K11" s="13"/>
      <c r="L11" s="24"/>
      <c r="M11" s="24"/>
      <c r="N11" s="24"/>
      <c r="O11" s="24"/>
    </row>
    <row r="12" spans="1:15" ht="15" customHeight="1">
      <c r="A12" s="31"/>
      <c r="B12" s="13"/>
      <c r="C12" s="13"/>
      <c r="E12" s="207">
        <v>2006</v>
      </c>
      <c r="F12" s="207">
        <v>2006</v>
      </c>
      <c r="G12" s="207"/>
      <c r="I12" s="13"/>
      <c r="J12" s="13"/>
      <c r="K12" s="13"/>
      <c r="L12" s="13"/>
      <c r="M12" s="13"/>
      <c r="N12" s="13"/>
      <c r="O12" s="13" t="s">
        <v>221</v>
      </c>
    </row>
    <row r="13" spans="1:15" ht="15" customHeight="1">
      <c r="A13" s="47">
        <f>A8+1</f>
        <v>1102</v>
      </c>
      <c r="B13" s="89" t="s">
        <v>460</v>
      </c>
      <c r="C13" s="39"/>
      <c r="D13" s="261"/>
      <c r="E13" s="589">
        <f>K26</f>
        <v>0</v>
      </c>
      <c r="F13" s="589">
        <f>L26</f>
        <v>0</v>
      </c>
      <c r="G13" s="58">
        <f>F13-E13</f>
        <v>0</v>
      </c>
      <c r="I13" s="816" t="s">
        <v>970</v>
      </c>
      <c r="J13" s="13"/>
      <c r="K13" s="13"/>
      <c r="L13" s="13"/>
      <c r="M13" s="13"/>
      <c r="N13" s="13"/>
      <c r="O13" s="13"/>
    </row>
    <row r="14" spans="1:15" ht="15" customHeight="1">
      <c r="A14" s="40"/>
      <c r="B14" s="13"/>
      <c r="C14" s="13"/>
      <c r="D14" s="24"/>
      <c r="E14" s="24"/>
      <c r="F14" s="24"/>
      <c r="G14" s="13"/>
      <c r="I14" s="13"/>
      <c r="J14" s="13"/>
      <c r="K14" s="13"/>
      <c r="L14" s="13"/>
      <c r="M14" s="13"/>
      <c r="N14" s="13"/>
      <c r="O14" s="13"/>
    </row>
    <row r="15" spans="1:15" ht="15" customHeight="1">
      <c r="A15" s="40"/>
      <c r="B15" s="40" t="s">
        <v>457</v>
      </c>
      <c r="C15" s="13"/>
      <c r="D15" s="13"/>
      <c r="E15" s="13"/>
      <c r="F15" s="227"/>
      <c r="G15" s="13"/>
      <c r="I15" s="13"/>
      <c r="J15" s="13"/>
      <c r="K15" s="13"/>
      <c r="L15" s="13"/>
      <c r="M15" s="13"/>
      <c r="N15" s="13"/>
      <c r="O15" s="13"/>
    </row>
    <row r="16" spans="1:15" ht="15" customHeight="1">
      <c r="A16" s="40"/>
      <c r="B16" s="13"/>
      <c r="C16" s="13"/>
      <c r="D16" s="13"/>
      <c r="E16" s="13"/>
      <c r="F16" s="227"/>
      <c r="G16" s="13"/>
      <c r="I16" s="13"/>
      <c r="J16" s="13"/>
      <c r="K16" s="13"/>
      <c r="L16" s="13"/>
      <c r="M16" s="13"/>
      <c r="N16" s="13"/>
      <c r="O16" s="13"/>
    </row>
    <row r="17" spans="1:14" ht="15" customHeight="1">
      <c r="A17" s="40"/>
      <c r="B17" s="40" t="s">
        <v>598</v>
      </c>
      <c r="C17" s="13"/>
      <c r="D17" s="13"/>
      <c r="E17" s="13"/>
      <c r="F17" s="227"/>
      <c r="G17" s="13"/>
      <c r="H17" s="40"/>
      <c r="I17" s="13"/>
      <c r="J17" s="13"/>
      <c r="K17" s="13"/>
      <c r="L17" s="13"/>
      <c r="M17" s="13"/>
      <c r="N17" s="13"/>
    </row>
    <row r="18" spans="1:14" ht="15" customHeight="1">
      <c r="A18" s="40"/>
      <c r="B18" s="13"/>
      <c r="C18" s="13"/>
      <c r="D18" s="13"/>
      <c r="E18" s="40" t="s">
        <v>390</v>
      </c>
      <c r="G18" s="13"/>
      <c r="K18" s="40" t="s">
        <v>389</v>
      </c>
      <c r="L18" s="13"/>
      <c r="N18" s="13"/>
    </row>
    <row r="19" spans="1:13" ht="15" customHeight="1">
      <c r="A19" s="40"/>
      <c r="B19" s="40"/>
      <c r="C19" s="13"/>
      <c r="D19" s="13"/>
      <c r="E19" s="205" t="s">
        <v>404</v>
      </c>
      <c r="F19" s="511" t="s">
        <v>456</v>
      </c>
      <c r="G19" s="205" t="s">
        <v>218</v>
      </c>
      <c r="K19" s="205" t="s">
        <v>404</v>
      </c>
      <c r="L19" s="205" t="s">
        <v>456</v>
      </c>
      <c r="M19" s="205" t="s">
        <v>218</v>
      </c>
    </row>
    <row r="20" spans="1:13" ht="15" customHeight="1">
      <c r="A20" s="40"/>
      <c r="B20" s="13" t="s">
        <v>391</v>
      </c>
      <c r="C20" s="13"/>
      <c r="D20" s="13"/>
      <c r="E20" s="207">
        <v>2006</v>
      </c>
      <c r="F20" s="207">
        <v>2006</v>
      </c>
      <c r="G20" s="207"/>
      <c r="K20" s="207">
        <v>2006</v>
      </c>
      <c r="L20" s="207">
        <v>2006</v>
      </c>
      <c r="M20" s="207"/>
    </row>
    <row r="21" spans="1:15" ht="15" customHeight="1">
      <c r="A21" s="47">
        <f>A13+1</f>
        <v>1103</v>
      </c>
      <c r="B21" s="92" t="s">
        <v>392</v>
      </c>
      <c r="C21" s="43"/>
      <c r="D21" s="93"/>
      <c r="E21" s="588">
        <f>K21/365</f>
        <v>0</v>
      </c>
      <c r="F21" s="589">
        <f>ROUND(L21/365,0)</f>
        <v>0</v>
      </c>
      <c r="G21" s="58">
        <f>F21-E21</f>
        <v>0</v>
      </c>
      <c r="I21" s="816" t="s">
        <v>971</v>
      </c>
      <c r="K21" s="497"/>
      <c r="L21" s="497"/>
      <c r="M21" s="58">
        <f>L21-K21</f>
        <v>0</v>
      </c>
      <c r="O21" s="816" t="s">
        <v>987</v>
      </c>
    </row>
    <row r="22" spans="1:15" ht="15" customHeight="1">
      <c r="A22" s="47">
        <f>A21+1</f>
        <v>1104</v>
      </c>
      <c r="B22" s="89" t="s">
        <v>414</v>
      </c>
      <c r="C22" s="39"/>
      <c r="D22" s="90"/>
      <c r="E22" s="588">
        <f>K22/365</f>
        <v>0</v>
      </c>
      <c r="F22" s="589">
        <f>ROUND(L22/365,0)</f>
        <v>0</v>
      </c>
      <c r="G22" s="58">
        <f>F22-E22</f>
        <v>0</v>
      </c>
      <c r="I22" s="816" t="s">
        <v>972</v>
      </c>
      <c r="K22" s="497"/>
      <c r="L22" s="497"/>
      <c r="M22" s="58">
        <f>L22-K22</f>
        <v>0</v>
      </c>
      <c r="O22" s="816" t="s">
        <v>988</v>
      </c>
    </row>
    <row r="23" spans="1:15" ht="15" customHeight="1">
      <c r="A23" s="47">
        <f>A22+1</f>
        <v>1105</v>
      </c>
      <c r="B23" s="97" t="s">
        <v>394</v>
      </c>
      <c r="C23" s="13"/>
      <c r="D23" s="98"/>
      <c r="E23" s="588">
        <f>K23/365</f>
        <v>0</v>
      </c>
      <c r="F23" s="589">
        <f>ROUND(L23/365,0)</f>
        <v>0</v>
      </c>
      <c r="G23" s="58">
        <f>F23-E23</f>
        <v>0</v>
      </c>
      <c r="I23" s="816" t="s">
        <v>973</v>
      </c>
      <c r="K23" s="497"/>
      <c r="L23" s="497"/>
      <c r="M23" s="58">
        <f>L23-K23</f>
        <v>0</v>
      </c>
      <c r="O23" s="816" t="s">
        <v>989</v>
      </c>
    </row>
    <row r="24" spans="1:15" ht="15" customHeight="1">
      <c r="A24" s="47">
        <f>A23+1</f>
        <v>1106</v>
      </c>
      <c r="B24" s="89" t="s">
        <v>395</v>
      </c>
      <c r="C24" s="39"/>
      <c r="D24" s="90"/>
      <c r="E24" s="588">
        <f>K24/365</f>
        <v>0</v>
      </c>
      <c r="F24" s="589">
        <f>ROUND(L24/365,0)</f>
        <v>0</v>
      </c>
      <c r="G24" s="58">
        <f>F24-E24</f>
        <v>0</v>
      </c>
      <c r="I24" s="816" t="s">
        <v>974</v>
      </c>
      <c r="K24" s="497"/>
      <c r="L24" s="497"/>
      <c r="M24" s="58">
        <f>L24-K24</f>
        <v>0</v>
      </c>
      <c r="O24" s="816" t="s">
        <v>990</v>
      </c>
    </row>
    <row r="25" spans="1:15" ht="15" customHeight="1">
      <c r="A25" s="47">
        <f>A24+1</f>
        <v>1107</v>
      </c>
      <c r="B25" s="94" t="s">
        <v>426</v>
      </c>
      <c r="C25" s="95"/>
      <c r="D25" s="96"/>
      <c r="E25" s="588">
        <f>K25/365</f>
        <v>0</v>
      </c>
      <c r="F25" s="589">
        <f>ROUND(L25/365,0)</f>
        <v>0</v>
      </c>
      <c r="G25" s="58">
        <f>F25-E25</f>
        <v>0</v>
      </c>
      <c r="I25" s="816" t="s">
        <v>975</v>
      </c>
      <c r="K25" s="497"/>
      <c r="L25" s="497"/>
      <c r="M25" s="58">
        <f>L25-K25</f>
        <v>0</v>
      </c>
      <c r="O25" s="816" t="s">
        <v>991</v>
      </c>
    </row>
    <row r="26" spans="1:13" ht="15" customHeight="1">
      <c r="A26" s="47">
        <f>A25+1</f>
        <v>1108</v>
      </c>
      <c r="B26" s="94" t="s">
        <v>396</v>
      </c>
      <c r="C26" s="95"/>
      <c r="D26" s="96"/>
      <c r="E26" s="58">
        <f>SUM(E21:E25)</f>
        <v>0</v>
      </c>
      <c r="F26" s="58">
        <f>SUM(F21:F25)</f>
        <v>0</v>
      </c>
      <c r="G26" s="58">
        <f>SUM(G21:G25)</f>
        <v>0</v>
      </c>
      <c r="K26" s="58">
        <f>SUM(K21:K25)</f>
        <v>0</v>
      </c>
      <c r="L26" s="58">
        <f>SUM(L21:L25)</f>
        <v>0</v>
      </c>
      <c r="M26" s="58">
        <f>SUM(M21:M25)</f>
        <v>0</v>
      </c>
    </row>
    <row r="27" spans="1:10" ht="15" customHeight="1">
      <c r="A27" s="40"/>
      <c r="B27" s="13"/>
      <c r="C27" s="13"/>
      <c r="D27" s="13"/>
      <c r="E27" s="13"/>
      <c r="F27" s="227"/>
      <c r="G27" s="13"/>
      <c r="I27" s="13"/>
      <c r="J27" s="13"/>
    </row>
    <row r="28" spans="1:13" ht="15" customHeight="1">
      <c r="A28" s="40"/>
      <c r="B28" s="40" t="s">
        <v>599</v>
      </c>
      <c r="C28" s="13"/>
      <c r="D28" s="13"/>
      <c r="E28" s="13"/>
      <c r="F28" s="227"/>
      <c r="G28" s="13"/>
      <c r="I28" s="40"/>
      <c r="J28" s="40"/>
      <c r="K28" s="13"/>
      <c r="L28" s="13"/>
      <c r="M28" s="13"/>
    </row>
    <row r="29" spans="1:13" ht="15" customHeight="1">
      <c r="A29" s="40"/>
      <c r="B29" s="40"/>
      <c r="C29" s="13"/>
      <c r="D29" s="13"/>
      <c r="E29" s="13"/>
      <c r="F29" s="227"/>
      <c r="G29" s="13"/>
      <c r="I29" s="40"/>
      <c r="J29" s="40"/>
      <c r="K29" s="13"/>
      <c r="L29" s="13"/>
      <c r="M29" s="13"/>
    </row>
    <row r="30" spans="1:13" ht="15" customHeight="1">
      <c r="A30" s="40"/>
      <c r="B30" s="40"/>
      <c r="C30" s="13"/>
      <c r="D30" s="13"/>
      <c r="E30" s="40" t="s">
        <v>390</v>
      </c>
      <c r="G30" s="13"/>
      <c r="K30" s="40" t="s">
        <v>389</v>
      </c>
      <c r="L30" s="40"/>
      <c r="M30" s="13"/>
    </row>
    <row r="31" spans="1:13" ht="15" customHeight="1">
      <c r="A31" s="40"/>
      <c r="B31" s="13"/>
      <c r="C31" s="13"/>
      <c r="D31" s="13"/>
      <c r="E31" s="205" t="s">
        <v>404</v>
      </c>
      <c r="F31" s="511" t="s">
        <v>456</v>
      </c>
      <c r="G31" s="205" t="s">
        <v>218</v>
      </c>
      <c r="K31" s="205" t="s">
        <v>404</v>
      </c>
      <c r="L31" s="205" t="s">
        <v>456</v>
      </c>
      <c r="M31" s="205" t="s">
        <v>218</v>
      </c>
    </row>
    <row r="32" spans="1:13" ht="15" customHeight="1">
      <c r="A32" s="40"/>
      <c r="B32" s="40"/>
      <c r="C32" s="13"/>
      <c r="D32" s="13"/>
      <c r="E32" s="207">
        <v>2006</v>
      </c>
      <c r="F32" s="207">
        <v>2006</v>
      </c>
      <c r="G32" s="207"/>
      <c r="K32" s="207">
        <v>2006</v>
      </c>
      <c r="L32" s="207">
        <v>2006</v>
      </c>
      <c r="M32" s="207"/>
    </row>
    <row r="33" spans="1:15" ht="15" customHeight="1">
      <c r="A33" s="47">
        <f>A26+1</f>
        <v>1109</v>
      </c>
      <c r="B33" s="89" t="s">
        <v>397</v>
      </c>
      <c r="C33" s="200"/>
      <c r="D33" s="201"/>
      <c r="E33" s="588">
        <f>K33/365</f>
        <v>0</v>
      </c>
      <c r="F33" s="589">
        <f>ROUND(L33/365,0)</f>
        <v>0</v>
      </c>
      <c r="G33" s="58">
        <f>F33-E33</f>
        <v>0</v>
      </c>
      <c r="I33" s="816" t="s">
        <v>976</v>
      </c>
      <c r="K33" s="497"/>
      <c r="L33" s="497"/>
      <c r="M33" s="58">
        <f>L33-K33</f>
        <v>0</v>
      </c>
      <c r="O33" s="816" t="s">
        <v>992</v>
      </c>
    </row>
    <row r="34" spans="1:15" ht="15" customHeight="1">
      <c r="A34" s="47">
        <f>A33+1</f>
        <v>1110</v>
      </c>
      <c r="B34" s="97" t="s">
        <v>430</v>
      </c>
      <c r="C34" s="202"/>
      <c r="D34" s="203"/>
      <c r="E34" s="588">
        <f>K34/365</f>
        <v>0</v>
      </c>
      <c r="F34" s="589">
        <f>ROUND(L34/365,0)</f>
        <v>0</v>
      </c>
      <c r="G34" s="58">
        <f>F34-E34</f>
        <v>0</v>
      </c>
      <c r="I34" s="816" t="s">
        <v>977</v>
      </c>
      <c r="K34" s="497"/>
      <c r="L34" s="497"/>
      <c r="M34" s="58">
        <f>L34-K34</f>
        <v>0</v>
      </c>
      <c r="O34" s="816" t="s">
        <v>993</v>
      </c>
    </row>
    <row r="35" spans="1:15" ht="15" customHeight="1">
      <c r="A35" s="47">
        <f>A34+1</f>
        <v>1111</v>
      </c>
      <c r="B35" s="89" t="s">
        <v>393</v>
      </c>
      <c r="C35" s="200"/>
      <c r="D35" s="201"/>
      <c r="E35" s="588">
        <f>K35/365</f>
        <v>0</v>
      </c>
      <c r="F35" s="589">
        <f>ROUND(L35/365,0)</f>
        <v>0</v>
      </c>
      <c r="G35" s="58">
        <f>F35-E35</f>
        <v>0</v>
      </c>
      <c r="I35" s="816" t="s">
        <v>978</v>
      </c>
      <c r="K35" s="497"/>
      <c r="L35" s="497"/>
      <c r="M35" s="58">
        <f>L35-K35</f>
        <v>0</v>
      </c>
      <c r="O35" s="816" t="s">
        <v>1030</v>
      </c>
    </row>
    <row r="36" spans="1:13" ht="15" customHeight="1">
      <c r="A36" s="47">
        <f>A35+1</f>
        <v>1112</v>
      </c>
      <c r="B36" s="94" t="s">
        <v>217</v>
      </c>
      <c r="C36" s="95"/>
      <c r="D36" s="96"/>
      <c r="E36" s="58">
        <f>SUM(E33:E35)</f>
        <v>0</v>
      </c>
      <c r="F36" s="58">
        <f>SUM(F33:F35)</f>
        <v>0</v>
      </c>
      <c r="G36" s="58">
        <f>SUM(G33,G35)</f>
        <v>0</v>
      </c>
      <c r="K36" s="58">
        <f>SUM(K33:K35)</f>
        <v>0</v>
      </c>
      <c r="L36" s="58">
        <f>SUM(L33:L35)</f>
        <v>0</v>
      </c>
      <c r="M36" s="58">
        <f>SUM(M33:M35)</f>
        <v>0</v>
      </c>
    </row>
    <row r="37" spans="1:13" ht="15" customHeight="1">
      <c r="A37" s="31"/>
      <c r="B37" s="13"/>
      <c r="C37" s="13"/>
      <c r="D37" s="13"/>
      <c r="E37" s="13"/>
      <c r="F37" s="227"/>
      <c r="G37" s="13"/>
      <c r="I37" s="13"/>
      <c r="J37" s="13"/>
      <c r="K37" s="13"/>
      <c r="M37" s="13"/>
    </row>
    <row r="38" spans="1:13" ht="15" customHeight="1">
      <c r="A38" s="31"/>
      <c r="B38" s="40" t="s">
        <v>600</v>
      </c>
      <c r="C38" s="13"/>
      <c r="D38" s="13"/>
      <c r="E38" s="13"/>
      <c r="F38" s="227"/>
      <c r="G38" s="13"/>
      <c r="I38" s="40"/>
      <c r="J38" s="40"/>
      <c r="K38" s="13"/>
      <c r="L38" s="13"/>
      <c r="M38" s="13"/>
    </row>
    <row r="39" spans="1:13" ht="15" customHeight="1">
      <c r="A39" s="31"/>
      <c r="B39" s="40"/>
      <c r="C39" s="13"/>
      <c r="D39" s="13"/>
      <c r="E39" s="40" t="s">
        <v>390</v>
      </c>
      <c r="G39" s="13"/>
      <c r="K39" s="40" t="s">
        <v>389</v>
      </c>
      <c r="L39" s="40"/>
      <c r="M39" s="13"/>
    </row>
    <row r="40" spans="1:13" ht="15" customHeight="1">
      <c r="A40" s="31"/>
      <c r="B40" s="13"/>
      <c r="C40" s="13"/>
      <c r="D40" s="13"/>
      <c r="E40" s="205" t="s">
        <v>404</v>
      </c>
      <c r="F40" s="511" t="s">
        <v>456</v>
      </c>
      <c r="G40" s="205" t="s">
        <v>218</v>
      </c>
      <c r="K40" s="205" t="s">
        <v>404</v>
      </c>
      <c r="L40" s="205" t="s">
        <v>456</v>
      </c>
      <c r="M40" s="205" t="s">
        <v>218</v>
      </c>
    </row>
    <row r="41" spans="1:13" ht="15" customHeight="1">
      <c r="A41" s="31"/>
      <c r="B41" s="40"/>
      <c r="C41" s="13"/>
      <c r="D41" s="13"/>
      <c r="E41" s="207">
        <v>2006</v>
      </c>
      <c r="F41" s="207">
        <v>2006</v>
      </c>
      <c r="G41" s="207"/>
      <c r="K41" s="207">
        <v>2006</v>
      </c>
      <c r="L41" s="207">
        <v>2006</v>
      </c>
      <c r="M41" s="207"/>
    </row>
    <row r="42" spans="1:13" ht="15" customHeight="1">
      <c r="A42" s="47">
        <f>A36+1</f>
        <v>1113</v>
      </c>
      <c r="B42" s="89" t="s">
        <v>397</v>
      </c>
      <c r="C42" s="200"/>
      <c r="D42" s="201"/>
      <c r="E42" s="588">
        <f>+E33</f>
        <v>0</v>
      </c>
      <c r="F42" s="58">
        <f>F33</f>
        <v>0</v>
      </c>
      <c r="G42" s="58">
        <f>F42-E42</f>
        <v>0</v>
      </c>
      <c r="K42" s="58">
        <f aca="true" t="shared" si="0" ref="K42:L44">K33</f>
        <v>0</v>
      </c>
      <c r="L42" s="45">
        <f>L33</f>
        <v>0</v>
      </c>
      <c r="M42" s="58">
        <f>L42-K42</f>
        <v>0</v>
      </c>
    </row>
    <row r="43" spans="1:13" ht="15" customHeight="1">
      <c r="A43" s="47">
        <f>A42+1</f>
        <v>1114</v>
      </c>
      <c r="B43" s="97" t="s">
        <v>430</v>
      </c>
      <c r="C43" s="202"/>
      <c r="D43" s="203"/>
      <c r="E43" s="588">
        <f>+E34</f>
        <v>0</v>
      </c>
      <c r="F43" s="58">
        <f>F34</f>
        <v>0</v>
      </c>
      <c r="G43" s="58">
        <f>F43-E43</f>
        <v>0</v>
      </c>
      <c r="K43" s="58">
        <f t="shared" si="0"/>
        <v>0</v>
      </c>
      <c r="L43" s="58">
        <f t="shared" si="0"/>
        <v>0</v>
      </c>
      <c r="M43" s="58">
        <f>L43-K43</f>
        <v>0</v>
      </c>
    </row>
    <row r="44" spans="1:13" ht="15" customHeight="1">
      <c r="A44" s="47">
        <f>A43+1</f>
        <v>1115</v>
      </c>
      <c r="B44" s="89" t="s">
        <v>393</v>
      </c>
      <c r="C44" s="200"/>
      <c r="D44" s="201"/>
      <c r="E44" s="588">
        <f>+E35</f>
        <v>0</v>
      </c>
      <c r="F44" s="58">
        <f>F35</f>
        <v>0</v>
      </c>
      <c r="G44" s="58">
        <f>F44-E44</f>
        <v>0</v>
      </c>
      <c r="K44" s="58">
        <f t="shared" si="0"/>
        <v>0</v>
      </c>
      <c r="L44" s="58">
        <f t="shared" si="0"/>
        <v>0</v>
      </c>
      <c r="M44" s="58">
        <f>L44-K44</f>
        <v>0</v>
      </c>
    </row>
    <row r="45" spans="1:13" ht="15" customHeight="1">
      <c r="A45" s="47">
        <f>A44+1</f>
        <v>1116</v>
      </c>
      <c r="B45" s="94" t="s">
        <v>217</v>
      </c>
      <c r="C45" s="95"/>
      <c r="D45" s="96"/>
      <c r="E45" s="58">
        <f>SUM(E42:E44)</f>
        <v>0</v>
      </c>
      <c r="F45" s="58">
        <f>SUM(F42:F44)</f>
        <v>0</v>
      </c>
      <c r="G45" s="58">
        <f>SUM(G42:G44)</f>
        <v>0</v>
      </c>
      <c r="K45" s="58">
        <f>SUM(K42:K44)</f>
        <v>0</v>
      </c>
      <c r="L45" s="58">
        <f>SUM(L42:L44)</f>
        <v>0</v>
      </c>
      <c r="M45" s="58">
        <f>SUM(M42:M44)</f>
        <v>0</v>
      </c>
    </row>
    <row r="46" spans="1:22" s="3" customFormat="1" ht="14.25" customHeight="1">
      <c r="A46" s="284"/>
      <c r="E46" s="340"/>
      <c r="F46" s="341"/>
      <c r="O46" s="236"/>
      <c r="P46" s="236"/>
      <c r="Q46" s="237"/>
      <c r="R46" s="237"/>
      <c r="S46" s="236"/>
      <c r="T46" s="236"/>
      <c r="U46" s="238"/>
      <c r="V46" s="239"/>
    </row>
    <row r="47" spans="1:19" s="108" customFormat="1" ht="13.5" customHeight="1">
      <c r="A47" s="285" t="str">
        <f>voorblad!$A$20</f>
        <v>Mutatieformulier regiokader gehandicaptenzorg 2006</v>
      </c>
      <c r="B47" s="1"/>
      <c r="C47" s="228"/>
      <c r="D47" s="255">
        <v>0</v>
      </c>
      <c r="E47" s="110"/>
      <c r="F47" s="342"/>
      <c r="G47" s="228"/>
      <c r="H47" s="256"/>
      <c r="I47" s="241" t="str">
        <f>"versie: "&amp;TEXT(voorblad!$L$25,"dd-mm-jjjj")</f>
        <v>versie: 11-09-2006</v>
      </c>
      <c r="J47" s="242"/>
      <c r="K47" s="244"/>
      <c r="L47" s="245"/>
      <c r="M47" s="245"/>
      <c r="N47" s="243"/>
      <c r="O47" s="244"/>
      <c r="P47" s="246"/>
      <c r="Q47" s="247"/>
      <c r="R47" s="2"/>
      <c r="S47" s="2"/>
    </row>
    <row r="48" spans="1:16" s="3" customFormat="1" ht="19.5" customHeight="1">
      <c r="A48" s="230"/>
      <c r="B48" s="232"/>
      <c r="C48" s="230" t="s">
        <v>601</v>
      </c>
      <c r="D48" s="257"/>
      <c r="E48" s="233"/>
      <c r="F48" s="234"/>
      <c r="G48" s="234"/>
      <c r="H48" s="235"/>
      <c r="I48" s="2"/>
      <c r="J48" s="2"/>
      <c r="K48" s="9"/>
      <c r="L48" s="2"/>
      <c r="M48" s="229"/>
      <c r="N48" s="244">
        <f>1+N2</f>
        <v>12</v>
      </c>
      <c r="O48" s="2"/>
      <c r="P48" s="2"/>
    </row>
    <row r="49" spans="1:10" ht="15" customHeight="1">
      <c r="A49" s="298" t="s">
        <v>297</v>
      </c>
      <c r="B49" s="299"/>
      <c r="C49" s="13"/>
      <c r="D49" s="13"/>
      <c r="E49" s="15"/>
      <c r="F49" s="14"/>
      <c r="G49" s="13"/>
      <c r="I49" s="13"/>
      <c r="J49" s="13"/>
    </row>
    <row r="50" spans="1:10" ht="15" customHeight="1">
      <c r="A50" s="40"/>
      <c r="B50" s="13"/>
      <c r="C50" s="13"/>
      <c r="D50" s="13"/>
      <c r="E50" s="15"/>
      <c r="F50" s="14"/>
      <c r="G50" s="13"/>
      <c r="I50" s="13"/>
      <c r="J50" s="13"/>
    </row>
    <row r="51" spans="1:10" ht="15" customHeight="1">
      <c r="A51" s="40"/>
      <c r="B51" s="13"/>
      <c r="C51" s="13"/>
      <c r="D51" s="13"/>
      <c r="E51" s="15"/>
      <c r="F51" s="14"/>
      <c r="G51" s="13"/>
      <c r="I51" s="13"/>
      <c r="J51" s="13"/>
    </row>
    <row r="52" spans="2:7" ht="13.5" customHeight="1">
      <c r="B52" s="40" t="s">
        <v>458</v>
      </c>
      <c r="C52" s="13"/>
      <c r="D52" s="205" t="s">
        <v>132</v>
      </c>
      <c r="E52" s="205" t="s">
        <v>404</v>
      </c>
      <c r="F52" s="511" t="s">
        <v>456</v>
      </c>
      <c r="G52" s="205" t="s">
        <v>218</v>
      </c>
    </row>
    <row r="53" spans="2:7" ht="15" customHeight="1">
      <c r="B53" s="13"/>
      <c r="C53" s="13"/>
      <c r="D53" s="207" t="s">
        <v>452</v>
      </c>
      <c r="E53" s="207">
        <v>2006</v>
      </c>
      <c r="F53" s="207">
        <v>2006</v>
      </c>
      <c r="G53" s="207"/>
    </row>
    <row r="54" spans="1:9" ht="15" customHeight="1">
      <c r="A54" s="491">
        <f>N48*100+1</f>
        <v>1201</v>
      </c>
      <c r="B54" s="89" t="s">
        <v>459</v>
      </c>
      <c r="C54" s="39"/>
      <c r="D54" s="497"/>
      <c r="E54" s="588">
        <f>E59/365</f>
        <v>0</v>
      </c>
      <c r="F54" s="588">
        <f>ROUND(F59/365,0)</f>
        <v>0</v>
      </c>
      <c r="G54" s="58">
        <f>F54-E54</f>
        <v>0</v>
      </c>
      <c r="I54" s="817" t="s">
        <v>979</v>
      </c>
    </row>
    <row r="55" spans="1:15" ht="15" customHeight="1">
      <c r="A55" s="40"/>
      <c r="B55" s="91" t="s">
        <v>463</v>
      </c>
      <c r="C55" s="13"/>
      <c r="D55" s="13"/>
      <c r="E55" s="15"/>
      <c r="F55" s="14"/>
      <c r="G55" s="15"/>
      <c r="I55" s="91"/>
      <c r="J55" s="91"/>
      <c r="K55" s="13"/>
      <c r="L55" s="24"/>
      <c r="M55" s="24"/>
      <c r="N55" s="24"/>
      <c r="O55" s="24"/>
    </row>
    <row r="56" spans="1:15" ht="15" customHeight="1">
      <c r="A56" s="40"/>
      <c r="B56" s="13"/>
      <c r="C56" s="13"/>
      <c r="D56" s="13"/>
      <c r="E56" s="13"/>
      <c r="F56" s="227"/>
      <c r="G56" s="13"/>
      <c r="I56" s="13"/>
      <c r="J56" s="13"/>
      <c r="K56" s="13"/>
      <c r="L56" s="13"/>
      <c r="M56" s="13"/>
      <c r="N56" s="13"/>
      <c r="O56" s="13"/>
    </row>
    <row r="57" spans="1:15" ht="15" customHeight="1">
      <c r="A57" s="40"/>
      <c r="B57" s="40" t="s">
        <v>389</v>
      </c>
      <c r="C57" s="13"/>
      <c r="E57" s="205" t="s">
        <v>404</v>
      </c>
      <c r="F57" s="205" t="s">
        <v>456</v>
      </c>
      <c r="G57" s="205" t="s">
        <v>218</v>
      </c>
      <c r="I57" s="13"/>
      <c r="J57" s="13"/>
      <c r="K57" s="13"/>
      <c r="L57" s="13"/>
      <c r="M57" s="13"/>
      <c r="N57" s="13"/>
      <c r="O57" s="13"/>
    </row>
    <row r="58" spans="1:15" ht="15" customHeight="1">
      <c r="A58" s="40"/>
      <c r="B58" s="13"/>
      <c r="C58" s="13"/>
      <c r="E58" s="207">
        <v>2006</v>
      </c>
      <c r="F58" s="207">
        <v>2006</v>
      </c>
      <c r="G58" s="207"/>
      <c r="I58" s="13"/>
      <c r="J58" s="13"/>
      <c r="K58" s="13"/>
      <c r="L58" s="13"/>
      <c r="M58" s="13"/>
      <c r="N58" s="13"/>
      <c r="O58" s="13"/>
    </row>
    <row r="59" spans="1:15" ht="15" customHeight="1">
      <c r="A59" s="491">
        <f>A54+1</f>
        <v>1202</v>
      </c>
      <c r="B59" s="89" t="s">
        <v>460</v>
      </c>
      <c r="C59" s="39"/>
      <c r="D59" s="261"/>
      <c r="E59" s="588">
        <f>E67+E75</f>
        <v>0</v>
      </c>
      <c r="F59" s="588">
        <f>F67+F75</f>
        <v>0</v>
      </c>
      <c r="G59" s="58">
        <f>F59-E59</f>
        <v>0</v>
      </c>
      <c r="I59" s="816" t="s">
        <v>980</v>
      </c>
      <c r="J59" s="13"/>
      <c r="K59" s="13"/>
      <c r="L59" s="13"/>
      <c r="M59" s="13"/>
      <c r="N59" s="13"/>
      <c r="O59" s="13"/>
    </row>
    <row r="60" spans="1:15" ht="15" customHeight="1">
      <c r="A60" s="40"/>
      <c r="B60" s="40"/>
      <c r="C60" s="13"/>
      <c r="D60" s="13"/>
      <c r="E60" s="13"/>
      <c r="F60" s="227"/>
      <c r="G60" s="13"/>
      <c r="I60" s="13"/>
      <c r="J60" s="13"/>
      <c r="K60" s="13"/>
      <c r="L60" s="13"/>
      <c r="M60" s="13"/>
      <c r="N60" s="13"/>
      <c r="O60" s="13"/>
    </row>
    <row r="61" spans="1:15" s="99" customFormat="1" ht="15" customHeight="1">
      <c r="A61" s="40"/>
      <c r="B61" s="40" t="s">
        <v>457</v>
      </c>
      <c r="C61" s="13"/>
      <c r="D61" s="13"/>
      <c r="E61" s="25" t="s">
        <v>389</v>
      </c>
      <c r="F61" s="14"/>
      <c r="G61" s="15"/>
      <c r="K61" s="15"/>
      <c r="O61" s="15"/>
    </row>
    <row r="62" spans="1:15" s="99" customFormat="1" ht="15" customHeight="1">
      <c r="A62" s="25"/>
      <c r="B62" s="25"/>
      <c r="C62" s="15"/>
      <c r="D62" s="15"/>
      <c r="E62" s="205" t="s">
        <v>404</v>
      </c>
      <c r="F62" s="511" t="s">
        <v>456</v>
      </c>
      <c r="G62" s="205" t="s">
        <v>218</v>
      </c>
      <c r="K62" s="15"/>
      <c r="O62" s="15"/>
    </row>
    <row r="63" spans="1:15" s="42" customFormat="1" ht="15" customHeight="1">
      <c r="A63" s="31"/>
      <c r="B63" s="31" t="s">
        <v>461</v>
      </c>
      <c r="C63" s="30"/>
      <c r="D63" s="30"/>
      <c r="E63" s="207">
        <v>2006</v>
      </c>
      <c r="F63" s="207">
        <v>2006</v>
      </c>
      <c r="G63" s="207"/>
      <c r="K63" s="30"/>
      <c r="O63" s="30"/>
    </row>
    <row r="64" spans="1:15" s="99" customFormat="1" ht="15" customHeight="1">
      <c r="A64" s="47">
        <f>A59+1</f>
        <v>1203</v>
      </c>
      <c r="B64" s="32" t="s">
        <v>398</v>
      </c>
      <c r="C64" s="22"/>
      <c r="D64" s="22"/>
      <c r="E64" s="46"/>
      <c r="F64" s="46"/>
      <c r="G64" s="58">
        <f>F64-E64</f>
        <v>0</v>
      </c>
      <c r="I64" s="816" t="s">
        <v>981</v>
      </c>
      <c r="K64" s="25"/>
      <c r="O64" s="15"/>
    </row>
    <row r="65" spans="1:15" s="99" customFormat="1" ht="15" customHeight="1">
      <c r="A65" s="47">
        <f>A64+1</f>
        <v>1204</v>
      </c>
      <c r="B65" s="53" t="s">
        <v>399</v>
      </c>
      <c r="C65" s="15"/>
      <c r="D65" s="15"/>
      <c r="E65" s="46"/>
      <c r="F65" s="46"/>
      <c r="G65" s="58">
        <f>F65-E65</f>
        <v>0</v>
      </c>
      <c r="I65" s="816" t="s">
        <v>982</v>
      </c>
      <c r="K65" s="25"/>
      <c r="O65" s="15"/>
    </row>
    <row r="66" spans="1:15" s="99" customFormat="1" ht="15" customHeight="1">
      <c r="A66" s="47">
        <f>A65+1</f>
        <v>1205</v>
      </c>
      <c r="B66" s="32" t="s">
        <v>393</v>
      </c>
      <c r="C66" s="22"/>
      <c r="D66" s="22"/>
      <c r="E66" s="46"/>
      <c r="F66" s="46"/>
      <c r="G66" s="58">
        <f>F66-E66</f>
        <v>0</v>
      </c>
      <c r="I66" s="816" t="s">
        <v>983</v>
      </c>
      <c r="K66" s="25"/>
      <c r="O66" s="15"/>
    </row>
    <row r="67" spans="1:15" s="99" customFormat="1" ht="15" customHeight="1">
      <c r="A67" s="47">
        <f>A66+1</f>
        <v>1206</v>
      </c>
      <c r="B67" s="54" t="s">
        <v>396</v>
      </c>
      <c r="C67" s="86"/>
      <c r="D67" s="86"/>
      <c r="E67" s="58">
        <f>SUM(E64:E66)</f>
        <v>0</v>
      </c>
      <c r="F67" s="58">
        <f>SUM(F64:F66)</f>
        <v>0</v>
      </c>
      <c r="G67" s="58">
        <f>SUM(G64:G66)</f>
        <v>0</v>
      </c>
      <c r="K67" s="25"/>
      <c r="O67" s="15"/>
    </row>
    <row r="68" spans="1:15" s="99" customFormat="1" ht="15" customHeight="1">
      <c r="A68" s="25"/>
      <c r="B68" s="15"/>
      <c r="C68" s="15"/>
      <c r="D68" s="15"/>
      <c r="F68" s="14"/>
      <c r="G68" s="15"/>
      <c r="I68" s="15"/>
      <c r="J68" s="15"/>
      <c r="K68" s="15"/>
      <c r="O68" s="15"/>
    </row>
    <row r="69" spans="1:15" s="99" customFormat="1" ht="15" customHeight="1">
      <c r="A69" s="25"/>
      <c r="B69" s="15"/>
      <c r="C69" s="15"/>
      <c r="D69" s="15"/>
      <c r="E69" s="25" t="s">
        <v>389</v>
      </c>
      <c r="F69" s="14"/>
      <c r="G69" s="15"/>
      <c r="K69" s="15"/>
      <c r="O69" s="15"/>
    </row>
    <row r="70" spans="1:15" s="99" customFormat="1" ht="15" customHeight="1">
      <c r="A70" s="25"/>
      <c r="B70" s="25"/>
      <c r="C70" s="15"/>
      <c r="D70" s="15"/>
      <c r="E70" s="205" t="s">
        <v>404</v>
      </c>
      <c r="F70" s="511" t="s">
        <v>456</v>
      </c>
      <c r="G70" s="205" t="s">
        <v>218</v>
      </c>
      <c r="K70" s="15"/>
      <c r="O70" s="15"/>
    </row>
    <row r="71" spans="1:15" s="42" customFormat="1" ht="15" customHeight="1">
      <c r="A71" s="31"/>
      <c r="B71" s="31" t="s">
        <v>462</v>
      </c>
      <c r="C71" s="30"/>
      <c r="D71" s="30"/>
      <c r="E71" s="207">
        <v>2006</v>
      </c>
      <c r="F71" s="207">
        <v>2006</v>
      </c>
      <c r="G71" s="207"/>
      <c r="K71" s="498"/>
      <c r="O71" s="30"/>
    </row>
    <row r="72" spans="1:15" s="99" customFormat="1" ht="15" customHeight="1">
      <c r="A72" s="47">
        <f>A67+1</f>
        <v>1207</v>
      </c>
      <c r="B72" s="32" t="s">
        <v>398</v>
      </c>
      <c r="C72" s="22"/>
      <c r="D72" s="22"/>
      <c r="E72" s="46"/>
      <c r="F72" s="46"/>
      <c r="G72" s="58">
        <f>F72-E72</f>
        <v>0</v>
      </c>
      <c r="I72" s="816" t="s">
        <v>984</v>
      </c>
      <c r="K72" s="25"/>
      <c r="O72" s="15"/>
    </row>
    <row r="73" spans="1:15" s="99" customFormat="1" ht="15" customHeight="1">
      <c r="A73" s="47">
        <f>A72+1</f>
        <v>1208</v>
      </c>
      <c r="B73" s="53" t="s">
        <v>399</v>
      </c>
      <c r="C73" s="15"/>
      <c r="D73" s="15"/>
      <c r="E73" s="46"/>
      <c r="F73" s="46"/>
      <c r="G73" s="58">
        <f>F73-E73</f>
        <v>0</v>
      </c>
      <c r="I73" s="816" t="s">
        <v>985</v>
      </c>
      <c r="K73" s="25"/>
      <c r="O73" s="15"/>
    </row>
    <row r="74" spans="1:15" s="99" customFormat="1" ht="15" customHeight="1">
      <c r="A74" s="47">
        <f>A73+1</f>
        <v>1209</v>
      </c>
      <c r="B74" s="32" t="s">
        <v>393</v>
      </c>
      <c r="C74" s="22"/>
      <c r="D74" s="22"/>
      <c r="E74" s="46"/>
      <c r="F74" s="46"/>
      <c r="G74" s="58">
        <f>F74-E74</f>
        <v>0</v>
      </c>
      <c r="I74" s="816" t="s">
        <v>986</v>
      </c>
      <c r="K74" s="25"/>
      <c r="O74" s="15"/>
    </row>
    <row r="75" spans="1:15" s="99" customFormat="1" ht="15" customHeight="1">
      <c r="A75" s="47">
        <f>A74+1</f>
        <v>1210</v>
      </c>
      <c r="B75" s="54" t="s">
        <v>396</v>
      </c>
      <c r="C75" s="86"/>
      <c r="D75" s="86"/>
      <c r="E75" s="58">
        <f>SUM(E72:E74)</f>
        <v>0</v>
      </c>
      <c r="F75" s="58">
        <f>SUM(F72:F74)</f>
        <v>0</v>
      </c>
      <c r="G75" s="58">
        <f>SUM(G72:G74)</f>
        <v>0</v>
      </c>
      <c r="K75" s="25"/>
      <c r="O75" s="15"/>
    </row>
    <row r="76" spans="2:7" ht="12.75" customHeight="1">
      <c r="B76" s="13"/>
      <c r="C76" s="13"/>
      <c r="D76" s="13"/>
      <c r="E76" s="13"/>
      <c r="F76" s="227"/>
      <c r="G76" s="13"/>
    </row>
    <row r="77" ht="12.75" customHeight="1"/>
    <row r="78" ht="12.75" customHeight="1"/>
    <row r="79" ht="12.75" customHeight="1"/>
  </sheetData>
  <sheetProtection password="CD36" sheet="1" objects="1" scenarios="1"/>
  <conditionalFormatting sqref="K33:L35 K21:L25 E72:F74 E64:F66 D8 D54">
    <cfRule type="expression" priority="1" dxfId="0" stopIfTrue="1">
      <formula>$D$3=TRUE</formula>
    </cfRule>
  </conditionalFormatting>
  <conditionalFormatting sqref="F8 E13:F13 F21:F25 F33:F35">
    <cfRule type="expression" priority="2" dxfId="3" stopIfTrue="1">
      <formula>$D$3=TRUE</formula>
    </cfRule>
  </conditionalFormatting>
  <conditionalFormatting sqref="F54 F59">
    <cfRule type="expression" priority="3" dxfId="5" stopIfTrue="1">
      <formula>$D$3=TRUE</formula>
    </cfRule>
  </conditionalFormatting>
  <conditionalFormatting sqref="I13 I21:I25 I33:I35 I59 I64:I66 I72:I74 O21:O25 O33:O35">
    <cfRule type="expression" priority="4" dxfId="6" stopIfTrue="1">
      <formula>$D$3=TRUE</formula>
    </cfRule>
  </conditionalFormatting>
  <conditionalFormatting sqref="E59 E54 E8 E21:E25 E33:E35 E42:E44">
    <cfRule type="expression" priority="5" dxfId="3" stopIfTrue="1">
      <formula>$D$3=TRUE</formula>
    </cfRule>
  </conditionalFormatting>
  <printOptions horizontalCentered="1"/>
  <pageMargins left="0.3937007874015748" right="0.3937007874015748" top="0.1968503937007874" bottom="0.1968503937007874" header="0.5118110236220472" footer="0.5118110236220472"/>
  <pageSetup horizontalDpi="600" verticalDpi="600" orientation="landscape" paperSize="9" scale="85" r:id="rId2"/>
  <rowBreaks count="1" manualBreakCount="1">
    <brk id="45" max="13" man="1"/>
  </rowBreaks>
  <drawing r:id="rId1"/>
</worksheet>
</file>

<file path=xl/worksheets/sheet8.xml><?xml version="1.0" encoding="utf-8"?>
<worksheet xmlns="http://schemas.openxmlformats.org/spreadsheetml/2006/main" xmlns:r="http://schemas.openxmlformats.org/officeDocument/2006/relationships">
  <dimension ref="A1:V260"/>
  <sheetViews>
    <sheetView showGridLines="0" showZeros="0" tabSelected="1" zoomScale="86" zoomScaleNormal="86" zoomScaleSheetLayoutView="86" workbookViewId="0" topLeftCell="A3">
      <selection activeCell="A17" sqref="A17"/>
    </sheetView>
  </sheetViews>
  <sheetFormatPr defaultColWidth="9.140625" defaultRowHeight="0" customHeight="1" zeroHeight="1"/>
  <cols>
    <col min="1" max="1" width="5.140625" style="286" customWidth="1"/>
    <col min="2" max="2" width="5.00390625" style="7" customWidth="1"/>
    <col min="3" max="3" width="10.7109375" style="7" customWidth="1"/>
    <col min="4" max="4" width="47.57421875" style="7" customWidth="1"/>
    <col min="5" max="5" width="14.00390625" style="7" customWidth="1"/>
    <col min="6" max="6" width="9.28125" style="7" customWidth="1"/>
    <col min="7" max="7" width="8.421875" style="7" customWidth="1"/>
    <col min="8" max="10" width="11.7109375" style="106" customWidth="1"/>
    <col min="11" max="11" width="7.8515625" style="107" customWidth="1"/>
    <col min="12" max="12" width="11.140625" style="106" bestFit="1" customWidth="1"/>
    <col min="13" max="13" width="2.57421875" style="106" customWidth="1"/>
    <col min="14" max="14" width="13.7109375" style="530" hidden="1" customWidth="1"/>
    <col min="15" max="15" width="4.8515625" style="530" hidden="1" customWidth="1"/>
    <col min="16" max="16" width="9.140625" style="530" hidden="1" customWidth="1"/>
    <col min="17" max="17" width="3.00390625" style="530" hidden="1" customWidth="1"/>
    <col min="18" max="18" width="9.421875" style="541" hidden="1" customWidth="1"/>
    <col min="19" max="16384" width="9.140625" style="7" hidden="1" customWidth="1"/>
  </cols>
  <sheetData>
    <row r="1" spans="1:18" ht="14.25" customHeight="1" hidden="1">
      <c r="A1" s="477" t="b">
        <f>voorblad!E14</f>
        <v>1</v>
      </c>
      <c r="N1" s="520"/>
      <c r="O1" s="520"/>
      <c r="P1" s="520"/>
      <c r="Q1" s="520"/>
      <c r="R1" s="795"/>
    </row>
    <row r="2" spans="1:18" ht="19.5" customHeight="1" hidden="1">
      <c r="A2" s="286">
        <v>5</v>
      </c>
      <c r="B2" s="7">
        <v>5</v>
      </c>
      <c r="C2" s="7">
        <v>10</v>
      </c>
      <c r="D2" s="7">
        <v>25</v>
      </c>
      <c r="E2" s="7">
        <v>16.3</v>
      </c>
      <c r="F2" s="7">
        <v>9</v>
      </c>
      <c r="G2" s="7">
        <v>7.7</v>
      </c>
      <c r="H2" s="106">
        <v>11</v>
      </c>
      <c r="I2" s="106">
        <v>11</v>
      </c>
      <c r="K2" s="107">
        <v>7</v>
      </c>
      <c r="N2" s="520">
        <f>SUM(A2:M2)</f>
        <v>107</v>
      </c>
      <c r="O2" s="520"/>
      <c r="P2" s="520"/>
      <c r="Q2" s="520"/>
      <c r="R2" s="795"/>
    </row>
    <row r="3" spans="1:22" s="3" customFormat="1" ht="14.25" customHeight="1">
      <c r="A3" s="478"/>
      <c r="D3" s="259">
        <f>voorblad!E17</f>
        <v>0</v>
      </c>
      <c r="N3" s="521"/>
      <c r="O3" s="542"/>
      <c r="P3" s="542"/>
      <c r="Q3" s="543"/>
      <c r="R3" s="542"/>
      <c r="S3" s="236"/>
      <c r="T3" s="236"/>
      <c r="U3" s="238"/>
      <c r="V3" s="239"/>
    </row>
    <row r="4" spans="1:19" s="108" customFormat="1" ht="14.25" customHeight="1">
      <c r="A4" s="479" t="str">
        <f>voorblad!$A$20</f>
        <v>Mutatieformulier regiokader gehandicaptenzorg 2006</v>
      </c>
      <c r="B4" s="1"/>
      <c r="C4" s="228"/>
      <c r="D4" s="228"/>
      <c r="E4" s="228"/>
      <c r="F4" s="228"/>
      <c r="G4" s="241" t="str">
        <f>"versie: "&amp;TEXT(voorblad!$L$25,"dd-mm-jjjj")</f>
        <v>versie: 11-09-2006</v>
      </c>
      <c r="H4" s="2"/>
      <c r="I4" s="243"/>
      <c r="J4" s="2"/>
      <c r="K4" s="244"/>
      <c r="L4" s="244">
        <f>'zg afspraak'!N48+1</f>
        <v>13</v>
      </c>
      <c r="M4" s="245"/>
      <c r="N4" s="522"/>
      <c r="O4" s="544"/>
      <c r="P4" s="545"/>
      <c r="Q4" s="546"/>
      <c r="R4" s="109"/>
      <c r="S4" s="2"/>
    </row>
    <row r="5" spans="1:18" s="3" customFormat="1" ht="14.25" customHeight="1">
      <c r="A5" s="480"/>
      <c r="B5" s="232"/>
      <c r="C5" s="230" t="s">
        <v>601</v>
      </c>
      <c r="D5" s="257">
        <v>0</v>
      </c>
      <c r="E5" s="233"/>
      <c r="F5" s="233"/>
      <c r="G5" s="2"/>
      <c r="H5" s="234"/>
      <c r="I5" s="235"/>
      <c r="J5" s="2"/>
      <c r="K5" s="9"/>
      <c r="L5" s="2"/>
      <c r="M5" s="229"/>
      <c r="N5" s="523"/>
      <c r="O5" s="547"/>
      <c r="P5" s="547"/>
      <c r="Q5" s="521"/>
      <c r="R5" s="796"/>
    </row>
    <row r="6" spans="1:18" s="18" customFormat="1" ht="14.25" customHeight="1">
      <c r="A6" s="501" t="s">
        <v>803</v>
      </c>
      <c r="B6" s="302"/>
      <c r="C6" s="26"/>
      <c r="D6" s="111"/>
      <c r="E6" s="111"/>
      <c r="F6" s="111"/>
      <c r="G6" s="111"/>
      <c r="H6" s="112"/>
      <c r="I6" s="112"/>
      <c r="J6" s="112"/>
      <c r="K6" s="113"/>
      <c r="L6" s="114"/>
      <c r="M6" s="114"/>
      <c r="N6" s="524"/>
      <c r="O6" s="524"/>
      <c r="P6" s="524"/>
      <c r="Q6" s="524"/>
      <c r="R6" s="797"/>
    </row>
    <row r="7" spans="1:18" s="18" customFormat="1" ht="14.25" customHeight="1">
      <c r="A7" s="472" t="s">
        <v>879</v>
      </c>
      <c r="C7" s="26"/>
      <c r="H7" s="117"/>
      <c r="I7" s="117"/>
      <c r="J7" s="117"/>
      <c r="K7" s="118"/>
      <c r="L7" s="119"/>
      <c r="M7" s="119"/>
      <c r="N7" s="524"/>
      <c r="O7" s="524"/>
      <c r="P7" s="524"/>
      <c r="Q7" s="524"/>
      <c r="R7" s="797"/>
    </row>
    <row r="8" spans="1:18" s="18" customFormat="1" ht="14.25" customHeight="1">
      <c r="A8" s="472" t="s">
        <v>125</v>
      </c>
      <c r="C8" s="26"/>
      <c r="H8" s="117"/>
      <c r="I8" s="117"/>
      <c r="J8" s="117"/>
      <c r="K8" s="118"/>
      <c r="L8" s="119"/>
      <c r="M8" s="119"/>
      <c r="N8" s="524"/>
      <c r="O8" s="524"/>
      <c r="P8" s="524"/>
      <c r="Q8" s="524"/>
      <c r="R8" s="797"/>
    </row>
    <row r="9" spans="1:18" s="18" customFormat="1" ht="14.25" customHeight="1">
      <c r="A9" s="6"/>
      <c r="B9" s="20"/>
      <c r="C9" s="26"/>
      <c r="D9" s="111"/>
      <c r="E9" s="111"/>
      <c r="F9" s="111"/>
      <c r="G9" s="111"/>
      <c r="H9" s="112"/>
      <c r="I9" s="112"/>
      <c r="J9" s="112"/>
      <c r="K9" s="113"/>
      <c r="L9" s="114"/>
      <c r="M9" s="114"/>
      <c r="N9" s="524"/>
      <c r="O9" s="524"/>
      <c r="P9" s="524"/>
      <c r="Q9" s="524"/>
      <c r="R9" s="797"/>
    </row>
    <row r="10" spans="1:18" s="308" customFormat="1" ht="14.25" customHeight="1">
      <c r="A10" s="481">
        <f>L4*100+1</f>
        <v>1301</v>
      </c>
      <c r="B10" s="303" t="s">
        <v>469</v>
      </c>
      <c r="C10" s="304"/>
      <c r="D10" s="305"/>
      <c r="E10" s="306"/>
      <c r="F10" s="307" t="s">
        <v>329</v>
      </c>
      <c r="H10" s="117"/>
      <c r="I10" s="117"/>
      <c r="J10" s="117"/>
      <c r="K10" s="118"/>
      <c r="L10" s="119"/>
      <c r="M10" s="119"/>
      <c r="N10" s="525"/>
      <c r="O10" s="525" t="s">
        <v>329</v>
      </c>
      <c r="P10" s="525"/>
      <c r="Q10" s="525"/>
      <c r="R10" s="112"/>
    </row>
    <row r="11" spans="1:18" s="18" customFormat="1" ht="14.25" customHeight="1">
      <c r="A11" s="380" t="s">
        <v>471</v>
      </c>
      <c r="B11" s="10"/>
      <c r="C11" s="26"/>
      <c r="D11" s="10"/>
      <c r="E11" s="10"/>
      <c r="F11" s="10"/>
      <c r="H11" s="117"/>
      <c r="I11" s="117"/>
      <c r="J11" s="117"/>
      <c r="K11" s="118"/>
      <c r="L11" s="119"/>
      <c r="M11" s="119"/>
      <c r="N11" s="524"/>
      <c r="O11" s="524" t="s">
        <v>470</v>
      </c>
      <c r="P11" s="524"/>
      <c r="Q11" s="524"/>
      <c r="R11" s="797"/>
    </row>
    <row r="12" spans="1:18" s="18" customFormat="1" ht="14.25" customHeight="1">
      <c r="A12" s="6"/>
      <c r="B12" s="20"/>
      <c r="C12" s="26"/>
      <c r="D12" s="111"/>
      <c r="E12" s="111"/>
      <c r="F12" s="111"/>
      <c r="G12" s="111"/>
      <c r="H12" s="112"/>
      <c r="I12" s="112"/>
      <c r="J12" s="112"/>
      <c r="K12" s="113"/>
      <c r="L12" s="114"/>
      <c r="M12" s="114"/>
      <c r="N12" s="524"/>
      <c r="O12" s="524" t="s">
        <v>673</v>
      </c>
      <c r="P12" s="524"/>
      <c r="Q12" s="524"/>
      <c r="R12" s="797"/>
    </row>
    <row r="13" spans="2:18" ht="14.25" customHeight="1">
      <c r="B13" s="127" t="s">
        <v>472</v>
      </c>
      <c r="C13" s="157"/>
      <c r="D13" s="157"/>
      <c r="E13" s="211" t="s">
        <v>616</v>
      </c>
      <c r="F13" s="211" t="s">
        <v>216</v>
      </c>
      <c r="G13" s="211" t="s">
        <v>464</v>
      </c>
      <c r="H13" s="212" t="s">
        <v>572</v>
      </c>
      <c r="I13" s="212" t="s">
        <v>881</v>
      </c>
      <c r="J13" s="212" t="s">
        <v>218</v>
      </c>
      <c r="K13" s="213" t="s">
        <v>465</v>
      </c>
      <c r="L13" s="212" t="s">
        <v>576</v>
      </c>
      <c r="M13" s="100"/>
      <c r="N13" s="526"/>
      <c r="R13" s="541" t="s">
        <v>882</v>
      </c>
    </row>
    <row r="14" spans="1:18" ht="14.25" customHeight="1">
      <c r="A14" s="476"/>
      <c r="B14" s="101"/>
      <c r="C14" s="102"/>
      <c r="D14" s="101"/>
      <c r="E14" s="214"/>
      <c r="F14" s="215" t="s">
        <v>219</v>
      </c>
      <c r="G14" s="215" t="s">
        <v>466</v>
      </c>
      <c r="H14" s="216" t="s">
        <v>573</v>
      </c>
      <c r="I14" s="216" t="s">
        <v>473</v>
      </c>
      <c r="J14" s="216" t="s">
        <v>574</v>
      </c>
      <c r="K14" s="217" t="s">
        <v>467</v>
      </c>
      <c r="L14" s="216" t="s">
        <v>473</v>
      </c>
      <c r="M14" s="103"/>
      <c r="N14" s="527"/>
      <c r="R14" s="541" t="s">
        <v>883</v>
      </c>
    </row>
    <row r="15" spans="1:18" ht="14.25" customHeight="1">
      <c r="A15" s="476"/>
      <c r="B15" s="101"/>
      <c r="C15" s="101"/>
      <c r="D15" s="101"/>
      <c r="E15" s="218"/>
      <c r="F15" s="218"/>
      <c r="G15" s="219" t="s">
        <v>468</v>
      </c>
      <c r="H15" s="220">
        <v>2006</v>
      </c>
      <c r="I15" s="220">
        <v>2006</v>
      </c>
      <c r="J15" s="220" t="s">
        <v>573</v>
      </c>
      <c r="K15" s="221">
        <v>2006</v>
      </c>
      <c r="L15" s="220">
        <v>2006</v>
      </c>
      <c r="M15" s="104"/>
      <c r="N15" s="528" t="s">
        <v>220</v>
      </c>
      <c r="R15" s="541" t="s">
        <v>473</v>
      </c>
    </row>
    <row r="16" spans="1:18" ht="13.5" customHeight="1">
      <c r="A16" s="475">
        <f>L4*100+1</f>
        <v>1301</v>
      </c>
      <c r="B16" s="115" t="s">
        <v>266</v>
      </c>
      <c r="C16" s="152" t="s">
        <v>539</v>
      </c>
      <c r="D16" s="153" t="s">
        <v>265</v>
      </c>
      <c r="E16" s="115" t="s">
        <v>617</v>
      </c>
      <c r="F16" s="154">
        <f>functies!H12</f>
        <v>0</v>
      </c>
      <c r="G16" s="154" t="s">
        <v>439</v>
      </c>
      <c r="H16" s="155"/>
      <c r="I16" s="155"/>
      <c r="J16" s="276">
        <f>I16-H16</f>
        <v>0</v>
      </c>
      <c r="K16" s="156"/>
      <c r="L16" s="276">
        <f>K16*I16</f>
        <v>0</v>
      </c>
      <c r="M16" s="105"/>
      <c r="N16" s="529">
        <v>15.2</v>
      </c>
      <c r="O16" s="530">
        <f>IF(G16="nee",ROUND(N16*(1-P16),1),N16)</f>
        <v>15.2</v>
      </c>
      <c r="P16" s="530">
        <v>0</v>
      </c>
      <c r="R16" s="541">
        <f>H16*K16</f>
        <v>0</v>
      </c>
    </row>
    <row r="17" spans="1:18" ht="13.5" customHeight="1">
      <c r="A17" s="47">
        <f>A16+1</f>
        <v>1302</v>
      </c>
      <c r="B17" s="115" t="s">
        <v>268</v>
      </c>
      <c r="C17" s="152" t="s">
        <v>540</v>
      </c>
      <c r="D17" s="153" t="s">
        <v>267</v>
      </c>
      <c r="E17" s="115" t="s">
        <v>617</v>
      </c>
      <c r="F17" s="154">
        <f>functies!H12</f>
        <v>0</v>
      </c>
      <c r="G17" s="154" t="s">
        <v>439</v>
      </c>
      <c r="H17" s="155"/>
      <c r="I17" s="155">
        <v>0</v>
      </c>
      <c r="J17" s="276">
        <f>I17-H17</f>
        <v>0</v>
      </c>
      <c r="K17" s="156"/>
      <c r="L17" s="276">
        <f>K17*I17</f>
        <v>0</v>
      </c>
      <c r="M17" s="105"/>
      <c r="N17" s="529">
        <v>24.3</v>
      </c>
      <c r="O17" s="530">
        <f>IF(G17="nee",ROUND(N17*(1-P17),1),N17)</f>
        <v>24.3</v>
      </c>
      <c r="P17" s="530">
        <v>0</v>
      </c>
      <c r="R17" s="541">
        <f>H17*K17</f>
        <v>0</v>
      </c>
    </row>
    <row r="18" spans="1:15" ht="13.5" customHeight="1">
      <c r="A18" s="28"/>
      <c r="B18" s="130"/>
      <c r="C18" s="131"/>
      <c r="D18" s="120"/>
      <c r="E18" s="120"/>
      <c r="F18" s="5"/>
      <c r="G18" s="5"/>
      <c r="H18" s="114"/>
      <c r="I18" s="114"/>
      <c r="J18" s="114"/>
      <c r="K18" s="148"/>
      <c r="L18" s="128"/>
      <c r="M18" s="125"/>
      <c r="O18" s="530">
        <f>IF(G18="ja",N18*0.95,N18)</f>
        <v>0</v>
      </c>
    </row>
    <row r="19" spans="2:15" ht="13.5" customHeight="1">
      <c r="B19" s="127" t="s">
        <v>474</v>
      </c>
      <c r="C19" s="165"/>
      <c r="D19" s="120"/>
      <c r="E19" s="120"/>
      <c r="F19" s="5"/>
      <c r="G19" s="5"/>
      <c r="H19" s="114"/>
      <c r="I19" s="114"/>
      <c r="J19" s="114"/>
      <c r="K19" s="148"/>
      <c r="L19" s="128"/>
      <c r="M19" s="125"/>
      <c r="O19" s="530">
        <f>IF(G19="ja",N19*0.95,N19)</f>
        <v>0</v>
      </c>
    </row>
    <row r="20" spans="1:18" ht="13.5" customHeight="1">
      <c r="A20" s="475">
        <f>A17+1</f>
        <v>1303</v>
      </c>
      <c r="B20" s="115" t="s">
        <v>270</v>
      </c>
      <c r="C20" s="152" t="s">
        <v>541</v>
      </c>
      <c r="D20" s="153" t="s">
        <v>269</v>
      </c>
      <c r="E20" s="152" t="s">
        <v>617</v>
      </c>
      <c r="F20" s="154">
        <f>functies!H13</f>
        <v>0</v>
      </c>
      <c r="G20" s="154" t="s">
        <v>439</v>
      </c>
      <c r="H20" s="155"/>
      <c r="I20" s="155"/>
      <c r="J20" s="276">
        <f>I20-H20</f>
        <v>0</v>
      </c>
      <c r="K20" s="156"/>
      <c r="L20" s="276">
        <f>K20*I20</f>
        <v>0</v>
      </c>
      <c r="M20" s="105"/>
      <c r="N20" s="529">
        <v>41.6</v>
      </c>
      <c r="O20" s="530">
        <f>IF(G20="nee",ROUND(N20*(1-P20),1),N20)</f>
        <v>41.6</v>
      </c>
      <c r="P20" s="530">
        <v>0</v>
      </c>
      <c r="R20" s="541">
        <f>H20*K20</f>
        <v>0</v>
      </c>
    </row>
    <row r="21" spans="1:18" ht="13.5" customHeight="1">
      <c r="A21" s="47">
        <f>A20+1</f>
        <v>1304</v>
      </c>
      <c r="B21" s="115" t="s">
        <v>272</v>
      </c>
      <c r="C21" s="152" t="s">
        <v>547</v>
      </c>
      <c r="D21" s="153" t="s">
        <v>271</v>
      </c>
      <c r="E21" s="152" t="s">
        <v>617</v>
      </c>
      <c r="F21" s="154">
        <f>functies!H13</f>
        <v>0</v>
      </c>
      <c r="G21" s="154" t="s">
        <v>439</v>
      </c>
      <c r="H21" s="155"/>
      <c r="I21" s="155"/>
      <c r="J21" s="276">
        <f>I21-H21</f>
        <v>0</v>
      </c>
      <c r="K21" s="156"/>
      <c r="L21" s="276">
        <f>K21*I21</f>
        <v>0</v>
      </c>
      <c r="M21" s="105"/>
      <c r="N21" s="529">
        <v>44.5</v>
      </c>
      <c r="O21" s="530">
        <f>IF(G21="nee",ROUND(N21*(1-P21),1),N21)</f>
        <v>44.5</v>
      </c>
      <c r="P21" s="530">
        <v>0</v>
      </c>
      <c r="R21" s="541">
        <f>H21*K21</f>
        <v>0</v>
      </c>
    </row>
    <row r="22" spans="1:18" ht="13.5" customHeight="1">
      <c r="A22" s="47">
        <f>A21+1</f>
        <v>1305</v>
      </c>
      <c r="B22" s="115" t="s">
        <v>57</v>
      </c>
      <c r="C22" s="152" t="s">
        <v>157</v>
      </c>
      <c r="D22" s="153" t="s">
        <v>158</v>
      </c>
      <c r="E22" s="152" t="s">
        <v>617</v>
      </c>
      <c r="F22" s="154">
        <f>functies!H14</f>
        <v>0</v>
      </c>
      <c r="G22" s="154" t="s">
        <v>439</v>
      </c>
      <c r="H22" s="155"/>
      <c r="I22" s="155"/>
      <c r="J22" s="276">
        <f>I22-H22</f>
        <v>0</v>
      </c>
      <c r="K22" s="156"/>
      <c r="L22" s="276">
        <f>K22*I22</f>
        <v>0</v>
      </c>
      <c r="M22" s="105"/>
      <c r="N22" s="529">
        <v>62.1</v>
      </c>
      <c r="O22" s="530">
        <f>IF(G22="nee",ROUND(N22*(1-P22),1),N22)</f>
        <v>62.1</v>
      </c>
      <c r="P22" s="530">
        <v>0</v>
      </c>
      <c r="R22" s="541">
        <f>H22*K22</f>
        <v>0</v>
      </c>
    </row>
    <row r="23" spans="1:13" ht="13.5" customHeight="1">
      <c r="A23" s="28"/>
      <c r="B23" s="130"/>
      <c r="C23" s="131"/>
      <c r="D23" s="136"/>
      <c r="E23" s="136"/>
      <c r="F23" s="5"/>
      <c r="G23" s="5"/>
      <c r="H23" s="114"/>
      <c r="I23" s="114"/>
      <c r="J23" s="114"/>
      <c r="K23" s="148"/>
      <c r="L23" s="128"/>
      <c r="M23" s="125"/>
    </row>
    <row r="24" spans="2:15" ht="13.5" customHeight="1">
      <c r="B24" s="127" t="s">
        <v>475</v>
      </c>
      <c r="C24" s="136"/>
      <c r="D24" s="136"/>
      <c r="E24" s="136"/>
      <c r="F24" s="5"/>
      <c r="G24" s="5"/>
      <c r="H24" s="114"/>
      <c r="I24" s="114"/>
      <c r="J24" s="114"/>
      <c r="K24" s="148"/>
      <c r="L24" s="128"/>
      <c r="M24" s="125"/>
      <c r="O24" s="530">
        <f>IF(G24="ja",N24*0.95,N24)</f>
        <v>0</v>
      </c>
    </row>
    <row r="25" spans="1:18" ht="13.5" customHeight="1">
      <c r="A25" s="475">
        <f>A22+1</f>
        <v>1306</v>
      </c>
      <c r="B25" s="115" t="s">
        <v>476</v>
      </c>
      <c r="C25" s="152" t="s">
        <v>536</v>
      </c>
      <c r="D25" s="153" t="s">
        <v>273</v>
      </c>
      <c r="E25" s="161" t="s">
        <v>617</v>
      </c>
      <c r="F25" s="154">
        <f>functies!$H$14</f>
        <v>0</v>
      </c>
      <c r="G25" s="154" t="s">
        <v>439</v>
      </c>
      <c r="H25" s="155"/>
      <c r="I25" s="155"/>
      <c r="J25" s="276">
        <f>I25-H25</f>
        <v>0</v>
      </c>
      <c r="K25" s="156"/>
      <c r="L25" s="276">
        <f>K25*I25</f>
        <v>0</v>
      </c>
      <c r="M25" s="105"/>
      <c r="N25" s="529">
        <v>62.1</v>
      </c>
      <c r="O25" s="530">
        <f>IF(G25="nee",ROUND(N25*(1-P25),1),N25)</f>
        <v>62.1</v>
      </c>
      <c r="P25" s="530">
        <v>0</v>
      </c>
      <c r="R25" s="541">
        <f>H25*K25</f>
        <v>0</v>
      </c>
    </row>
    <row r="26" spans="1:18" ht="13.5" customHeight="1">
      <c r="A26" s="47">
        <f>A25+1</f>
        <v>1307</v>
      </c>
      <c r="B26" s="115" t="s">
        <v>477</v>
      </c>
      <c r="C26" s="152" t="s">
        <v>545</v>
      </c>
      <c r="D26" s="153" t="s">
        <v>274</v>
      </c>
      <c r="E26" s="152" t="s">
        <v>617</v>
      </c>
      <c r="F26" s="154">
        <f>functies!$H$14</f>
        <v>0</v>
      </c>
      <c r="G26" s="154" t="s">
        <v>439</v>
      </c>
      <c r="H26" s="155"/>
      <c r="I26" s="155"/>
      <c r="J26" s="276">
        <f>I26-H26</f>
        <v>0</v>
      </c>
      <c r="K26" s="156"/>
      <c r="L26" s="276">
        <f>K26*I26</f>
        <v>0</v>
      </c>
      <c r="M26" s="105"/>
      <c r="N26" s="529">
        <v>66.6</v>
      </c>
      <c r="O26" s="530">
        <f>IF(G26="nee",ROUND(N26*(1-P26),1),N26)</f>
        <v>66.6</v>
      </c>
      <c r="P26" s="530">
        <v>0</v>
      </c>
      <c r="R26" s="541">
        <f>H26*K26</f>
        <v>0</v>
      </c>
    </row>
    <row r="27" spans="1:18" ht="13.5" customHeight="1">
      <c r="A27" s="47">
        <f>A26+1</f>
        <v>1308</v>
      </c>
      <c r="B27" s="115" t="s">
        <v>478</v>
      </c>
      <c r="C27" s="152" t="s">
        <v>546</v>
      </c>
      <c r="D27" s="152" t="s">
        <v>275</v>
      </c>
      <c r="E27" s="152" t="s">
        <v>617</v>
      </c>
      <c r="F27" s="154">
        <f>functies!$H$14</f>
        <v>0</v>
      </c>
      <c r="G27" s="154" t="s">
        <v>439</v>
      </c>
      <c r="H27" s="155"/>
      <c r="I27" s="155"/>
      <c r="J27" s="276">
        <f>I27-H27</f>
        <v>0</v>
      </c>
      <c r="K27" s="156"/>
      <c r="L27" s="276">
        <f>K27*I27</f>
        <v>0</v>
      </c>
      <c r="M27" s="105"/>
      <c r="N27" s="529">
        <v>67.3</v>
      </c>
      <c r="O27" s="530">
        <f>IF(G27="nee",ROUND(N27*(1-P27),1),N27)</f>
        <v>67.3</v>
      </c>
      <c r="P27" s="530">
        <v>0</v>
      </c>
      <c r="R27" s="541">
        <f>H27*K27</f>
        <v>0</v>
      </c>
    </row>
    <row r="28" spans="1:18" ht="13.5" customHeight="1">
      <c r="A28" s="475">
        <f>A27+1</f>
        <v>1309</v>
      </c>
      <c r="B28" s="115" t="s">
        <v>535</v>
      </c>
      <c r="C28" s="152" t="s">
        <v>536</v>
      </c>
      <c r="D28" s="153" t="s">
        <v>537</v>
      </c>
      <c r="E28" s="152" t="s">
        <v>617</v>
      </c>
      <c r="F28" s="154">
        <f>functies!$H$14</f>
        <v>0</v>
      </c>
      <c r="G28" s="154" t="s">
        <v>439</v>
      </c>
      <c r="H28" s="155"/>
      <c r="I28" s="155"/>
      <c r="J28" s="276">
        <f>I28-H28</f>
        <v>0</v>
      </c>
      <c r="K28" s="156"/>
      <c r="L28" s="276">
        <f>K28*I28</f>
        <v>0</v>
      </c>
      <c r="M28" s="105"/>
      <c r="N28" s="529">
        <v>62.1</v>
      </c>
      <c r="O28" s="530">
        <f>IF(G28="nee",ROUND(N28*(1-P28),1),N28)</f>
        <v>62.1</v>
      </c>
      <c r="P28" s="530">
        <v>0</v>
      </c>
      <c r="R28" s="541">
        <f>H28*K28</f>
        <v>0</v>
      </c>
    </row>
    <row r="29" spans="1:15" ht="13.5" customHeight="1">
      <c r="A29" s="28"/>
      <c r="B29" s="130"/>
      <c r="C29" s="130"/>
      <c r="D29" s="130"/>
      <c r="E29" s="130"/>
      <c r="F29" s="5"/>
      <c r="G29" s="5"/>
      <c r="H29" s="114"/>
      <c r="I29" s="114"/>
      <c r="J29" s="114"/>
      <c r="K29" s="148"/>
      <c r="L29" s="128"/>
      <c r="M29" s="128"/>
      <c r="O29" s="530">
        <f>IF(G29="ja",N29*0.95,N29)</f>
        <v>0</v>
      </c>
    </row>
    <row r="30" spans="2:15" ht="13.5" customHeight="1">
      <c r="B30" s="121" t="s">
        <v>479</v>
      </c>
      <c r="D30" s="130"/>
      <c r="E30" s="130"/>
      <c r="F30" s="5"/>
      <c r="G30" s="5"/>
      <c r="H30" s="114"/>
      <c r="I30" s="114"/>
      <c r="J30" s="114"/>
      <c r="K30" s="148"/>
      <c r="L30" s="128"/>
      <c r="M30" s="128"/>
      <c r="O30" s="530">
        <f>IF(G30="ja",N30*0.95,N30)</f>
        <v>0</v>
      </c>
    </row>
    <row r="31" spans="1:18" ht="13.5" customHeight="1">
      <c r="A31" s="475">
        <f>A28+1</f>
        <v>1310</v>
      </c>
      <c r="B31" s="115" t="s">
        <v>480</v>
      </c>
      <c r="C31" s="152" t="s">
        <v>542</v>
      </c>
      <c r="D31" s="153" t="s">
        <v>276</v>
      </c>
      <c r="E31" s="152" t="s">
        <v>617</v>
      </c>
      <c r="F31" s="154">
        <f>functies!$H$15</f>
        <v>0</v>
      </c>
      <c r="G31" s="158" t="str">
        <f>$F$10</f>
        <v>ja</v>
      </c>
      <c r="H31" s="155"/>
      <c r="I31" s="155"/>
      <c r="J31" s="276">
        <f>I31-H31</f>
        <v>0</v>
      </c>
      <c r="K31" s="156"/>
      <c r="L31" s="276">
        <f>K31*I31</f>
        <v>0</v>
      </c>
      <c r="M31" s="105"/>
      <c r="N31" s="529">
        <v>44.6</v>
      </c>
      <c r="O31" s="530">
        <f>IF(G31="nee",ROUND(N31*(1-P31),1),N31)</f>
        <v>44.6</v>
      </c>
      <c r="P31" s="530">
        <v>0.111111111111111</v>
      </c>
      <c r="R31" s="541">
        <f>H31*K31</f>
        <v>0</v>
      </c>
    </row>
    <row r="32" spans="1:18" ht="13.5" customHeight="1">
      <c r="A32" s="47">
        <f>A31+1</f>
        <v>1311</v>
      </c>
      <c r="B32" s="115" t="s">
        <v>278</v>
      </c>
      <c r="C32" s="152" t="s">
        <v>543</v>
      </c>
      <c r="D32" s="153" t="s">
        <v>277</v>
      </c>
      <c r="E32" s="152" t="s">
        <v>617</v>
      </c>
      <c r="F32" s="154">
        <f>functies!$H$15</f>
        <v>0</v>
      </c>
      <c r="G32" s="158" t="str">
        <f>$F$10</f>
        <v>ja</v>
      </c>
      <c r="H32" s="155"/>
      <c r="I32" s="155"/>
      <c r="J32" s="276">
        <f>I32-H32</f>
        <v>0</v>
      </c>
      <c r="K32" s="156"/>
      <c r="L32" s="276">
        <f>K32*I32</f>
        <v>0</v>
      </c>
      <c r="M32" s="105"/>
      <c r="N32" s="529">
        <v>47.8</v>
      </c>
      <c r="O32" s="530">
        <f>IF(G32="nee",ROUND(N32*(1-P32),1),N32)</f>
        <v>47.8</v>
      </c>
      <c r="P32" s="530">
        <v>0.111111111111111</v>
      </c>
      <c r="R32" s="541">
        <f>H32*K32</f>
        <v>0</v>
      </c>
    </row>
    <row r="33" spans="1:18" ht="13.5" customHeight="1">
      <c r="A33" s="47">
        <f>A32+1</f>
        <v>1312</v>
      </c>
      <c r="B33" s="115" t="s">
        <v>538</v>
      </c>
      <c r="C33" s="152" t="s">
        <v>793</v>
      </c>
      <c r="D33" s="153" t="s">
        <v>159</v>
      </c>
      <c r="E33" s="152" t="s">
        <v>617</v>
      </c>
      <c r="F33" s="154">
        <f>functies!$H$15</f>
        <v>0</v>
      </c>
      <c r="G33" s="158" t="str">
        <f>$F$10</f>
        <v>ja</v>
      </c>
      <c r="H33" s="155"/>
      <c r="I33" s="155"/>
      <c r="J33" s="276">
        <f>I33-H33</f>
        <v>0</v>
      </c>
      <c r="K33" s="156"/>
      <c r="L33" s="276">
        <f>K33*I33</f>
        <v>0</v>
      </c>
      <c r="M33" s="105"/>
      <c r="N33" s="529">
        <v>73.8</v>
      </c>
      <c r="O33" s="530">
        <f>IF(G33="nee",ROUND(N33*(1-P33),1),N33)</f>
        <v>73.8</v>
      </c>
      <c r="P33" s="530">
        <v>0.111111111111111</v>
      </c>
      <c r="R33" s="541">
        <f>H33*K33</f>
        <v>0</v>
      </c>
    </row>
    <row r="34" spans="1:18" ht="13.5" customHeight="1">
      <c r="A34" s="47">
        <f>A33+1</f>
        <v>1313</v>
      </c>
      <c r="B34" s="115" t="s">
        <v>10</v>
      </c>
      <c r="C34" s="152" t="s">
        <v>794</v>
      </c>
      <c r="D34" s="153" t="s">
        <v>160</v>
      </c>
      <c r="E34" s="152" t="s">
        <v>617</v>
      </c>
      <c r="F34" s="154">
        <f>functies!$H$15</f>
        <v>0</v>
      </c>
      <c r="G34" s="158" t="str">
        <f>$F$10</f>
        <v>ja</v>
      </c>
      <c r="H34" s="155"/>
      <c r="I34" s="155"/>
      <c r="J34" s="276">
        <f>I34-H34</f>
        <v>0</v>
      </c>
      <c r="K34" s="156"/>
      <c r="L34" s="276">
        <f>K34*I34</f>
        <v>0</v>
      </c>
      <c r="M34" s="105"/>
      <c r="N34" s="529">
        <v>73.8</v>
      </c>
      <c r="O34" s="530">
        <f>IF(G34="nee",ROUND(N34*(1-P34),1),N34)</f>
        <v>73.8</v>
      </c>
      <c r="P34" s="530">
        <v>0.111111111111111</v>
      </c>
      <c r="R34" s="541">
        <f>H34*K34</f>
        <v>0</v>
      </c>
    </row>
    <row r="35" ht="13.5" customHeight="1">
      <c r="K35" s="147"/>
    </row>
    <row r="36" spans="2:15" ht="13.5" customHeight="1">
      <c r="B36" s="127" t="s">
        <v>481</v>
      </c>
      <c r="C36" s="28"/>
      <c r="D36" s="136"/>
      <c r="E36" s="136"/>
      <c r="F36" s="5"/>
      <c r="G36" s="5"/>
      <c r="H36" s="114"/>
      <c r="I36" s="114"/>
      <c r="J36" s="114"/>
      <c r="K36" s="148"/>
      <c r="L36" s="128"/>
      <c r="M36" s="128"/>
      <c r="O36" s="530">
        <f>IF(G36="ja",N36*0.95,N36)</f>
        <v>0</v>
      </c>
    </row>
    <row r="37" spans="1:18" ht="13.5" customHeight="1">
      <c r="A37" s="475">
        <f>A34+1</f>
        <v>1314</v>
      </c>
      <c r="B37" s="115" t="s">
        <v>482</v>
      </c>
      <c r="C37" s="152" t="s">
        <v>544</v>
      </c>
      <c r="D37" s="153" t="s">
        <v>281</v>
      </c>
      <c r="E37" s="152" t="s">
        <v>617</v>
      </c>
      <c r="F37" s="154">
        <f>functies!H16</f>
        <v>0</v>
      </c>
      <c r="G37" s="158" t="str">
        <f>$F$10</f>
        <v>ja</v>
      </c>
      <c r="H37" s="155"/>
      <c r="I37" s="155"/>
      <c r="J37" s="276">
        <f>I37-H37</f>
        <v>0</v>
      </c>
      <c r="K37" s="156"/>
      <c r="L37" s="276">
        <f>K37*I37</f>
        <v>0</v>
      </c>
      <c r="M37" s="105"/>
      <c r="N37" s="529">
        <v>47.5</v>
      </c>
      <c r="O37" s="530">
        <f>IF(G37="nee",ROUND(N37*(1-P37),1),N37)</f>
        <v>47.5</v>
      </c>
      <c r="P37" s="530">
        <v>0.111111111111111</v>
      </c>
      <c r="R37" s="541">
        <f>H37*K37</f>
        <v>0</v>
      </c>
    </row>
    <row r="38" spans="1:18" ht="13.5" customHeight="1">
      <c r="A38" s="47">
        <f>A37+1</f>
        <v>1315</v>
      </c>
      <c r="B38" s="115" t="s">
        <v>108</v>
      </c>
      <c r="C38" s="152" t="s">
        <v>2</v>
      </c>
      <c r="D38" s="153" t="s">
        <v>3</v>
      </c>
      <c r="E38" s="152" t="s">
        <v>617</v>
      </c>
      <c r="F38" s="154">
        <f>functies!$H$16</f>
        <v>0</v>
      </c>
      <c r="G38" s="158" t="str">
        <f>$F$10</f>
        <v>ja</v>
      </c>
      <c r="H38" s="155"/>
      <c r="I38" s="155"/>
      <c r="J38" s="276">
        <f>I38-H38</f>
        <v>0</v>
      </c>
      <c r="K38" s="156"/>
      <c r="L38" s="276">
        <f>K38*I38</f>
        <v>0</v>
      </c>
      <c r="M38" s="105"/>
      <c r="N38" s="529">
        <f>47.5+39.1</f>
        <v>86.6</v>
      </c>
      <c r="O38" s="530">
        <f>IF(G38="nee",ROUND(N38*(1-P38),1),N38)</f>
        <v>86.6</v>
      </c>
      <c r="P38" s="530">
        <v>0.111111111111111</v>
      </c>
      <c r="R38" s="541">
        <f>H38*K38</f>
        <v>0</v>
      </c>
    </row>
    <row r="39" spans="1:18" ht="13.5" customHeight="1">
      <c r="A39" s="47">
        <f>A38+1</f>
        <v>1316</v>
      </c>
      <c r="B39" s="115" t="s">
        <v>161</v>
      </c>
      <c r="C39" s="152" t="s">
        <v>795</v>
      </c>
      <c r="D39" s="153" t="s">
        <v>4</v>
      </c>
      <c r="E39" s="152" t="s">
        <v>617</v>
      </c>
      <c r="F39" s="154">
        <f>functies!$H$16</f>
        <v>0</v>
      </c>
      <c r="G39" s="158" t="str">
        <f>$F$10</f>
        <v>ja</v>
      </c>
      <c r="H39" s="155"/>
      <c r="I39" s="155"/>
      <c r="J39" s="276">
        <f>I39-H39</f>
        <v>0</v>
      </c>
      <c r="K39" s="156"/>
      <c r="L39" s="276">
        <f>K39*I39</f>
        <v>0</v>
      </c>
      <c r="M39" s="105"/>
      <c r="N39" s="529">
        <f>47.5+13+39.1</f>
        <v>99.6</v>
      </c>
      <c r="O39" s="530">
        <f>IF(G39="nee",ROUND(N39*(1-P39),1),N39)</f>
        <v>99.6</v>
      </c>
      <c r="P39" s="530">
        <v>0.111111111111111</v>
      </c>
      <c r="R39" s="541">
        <f>H39*K39</f>
        <v>0</v>
      </c>
    </row>
    <row r="40" spans="1:18" ht="13.5" customHeight="1">
      <c r="A40" s="47">
        <f>A39+1</f>
        <v>1317</v>
      </c>
      <c r="B40" s="115" t="s">
        <v>162</v>
      </c>
      <c r="C40" s="152" t="s">
        <v>796</v>
      </c>
      <c r="D40" s="153" t="s">
        <v>5</v>
      </c>
      <c r="E40" s="152" t="s">
        <v>617</v>
      </c>
      <c r="F40" s="154">
        <f>functies!$H$16</f>
        <v>0</v>
      </c>
      <c r="G40" s="158" t="str">
        <f>$F$10</f>
        <v>ja</v>
      </c>
      <c r="H40" s="155"/>
      <c r="I40" s="155"/>
      <c r="J40" s="276">
        <f>I40-H40</f>
        <v>0</v>
      </c>
      <c r="K40" s="156"/>
      <c r="L40" s="276">
        <f>K40*I40</f>
        <v>0</v>
      </c>
      <c r="M40" s="105"/>
      <c r="N40" s="529">
        <v>101.8</v>
      </c>
      <c r="O40" s="530">
        <f>IF(G40="nee",ROUND(N40*(1-P40),1),N40)</f>
        <v>101.8</v>
      </c>
      <c r="P40" s="530">
        <v>0.111111111111111</v>
      </c>
      <c r="R40" s="541">
        <f>H40*K40</f>
        <v>0</v>
      </c>
    </row>
    <row r="41" spans="11:15" ht="13.5" customHeight="1">
      <c r="K41" s="147"/>
      <c r="O41" s="530">
        <f>IF(G41="ja",N41*0.95,N41)</f>
        <v>0</v>
      </c>
    </row>
    <row r="50" spans="1:22" s="3" customFormat="1" ht="14.25" customHeight="1">
      <c r="A50" s="478"/>
      <c r="N50" s="521"/>
      <c r="O50" s="542"/>
      <c r="P50" s="542"/>
      <c r="Q50" s="543"/>
      <c r="R50" s="542"/>
      <c r="S50" s="236"/>
      <c r="T50" s="236"/>
      <c r="U50" s="238"/>
      <c r="V50" s="239"/>
    </row>
    <row r="51" spans="1:19" s="108" customFormat="1" ht="14.25" customHeight="1">
      <c r="A51" s="479" t="str">
        <f>voorblad!$A$20</f>
        <v>Mutatieformulier regiokader gehandicaptenzorg 2006</v>
      </c>
      <c r="B51" s="1"/>
      <c r="C51" s="228"/>
      <c r="D51" s="255"/>
      <c r="E51" s="228"/>
      <c r="F51" s="228"/>
      <c r="G51" s="241" t="str">
        <f>"versie: "&amp;TEXT(voorblad!$L$25,"dd-mm-jjjj")</f>
        <v>versie: 11-09-2006</v>
      </c>
      <c r="H51" s="2"/>
      <c r="I51" s="243"/>
      <c r="J51" s="2"/>
      <c r="K51" s="244"/>
      <c r="L51" s="244">
        <f>L4+1</f>
        <v>14</v>
      </c>
      <c r="M51" s="245"/>
      <c r="N51" s="522"/>
      <c r="O51" s="544"/>
      <c r="P51" s="545"/>
      <c r="Q51" s="546"/>
      <c r="R51" s="109"/>
      <c r="S51" s="2"/>
    </row>
    <row r="52" spans="1:18" s="3" customFormat="1" ht="14.25" customHeight="1">
      <c r="A52" s="480"/>
      <c r="B52" s="232"/>
      <c r="C52" s="230" t="s">
        <v>601</v>
      </c>
      <c r="D52" s="257">
        <v>0</v>
      </c>
      <c r="E52" s="233"/>
      <c r="F52" s="233"/>
      <c r="G52" s="2"/>
      <c r="H52" s="234"/>
      <c r="I52" s="235"/>
      <c r="J52" s="2"/>
      <c r="K52" s="9"/>
      <c r="L52" s="2"/>
      <c r="M52" s="229"/>
      <c r="N52" s="523"/>
      <c r="O52" s="547"/>
      <c r="P52" s="547"/>
      <c r="Q52" s="521"/>
      <c r="R52" s="796"/>
    </row>
    <row r="53" spans="1:18" s="3" customFormat="1" ht="14.25" customHeight="1">
      <c r="A53" s="480"/>
      <c r="B53" s="232"/>
      <c r="C53" s="230"/>
      <c r="D53" s="257"/>
      <c r="E53" s="233"/>
      <c r="F53" s="233"/>
      <c r="G53" s="2"/>
      <c r="H53" s="234"/>
      <c r="I53" s="235"/>
      <c r="J53" s="2"/>
      <c r="K53" s="9"/>
      <c r="L53" s="2"/>
      <c r="M53" s="229"/>
      <c r="N53" s="523"/>
      <c r="O53" s="547"/>
      <c r="P53" s="547"/>
      <c r="Q53" s="521"/>
      <c r="R53" s="796"/>
    </row>
    <row r="54" spans="1:18" s="3" customFormat="1" ht="14.25" customHeight="1">
      <c r="A54" s="480"/>
      <c r="B54" s="232"/>
      <c r="C54" s="230"/>
      <c r="D54" s="257"/>
      <c r="E54" s="211" t="s">
        <v>616</v>
      </c>
      <c r="F54" s="211" t="s">
        <v>216</v>
      </c>
      <c r="G54" s="211" t="s">
        <v>464</v>
      </c>
      <c r="H54" s="212" t="s">
        <v>572</v>
      </c>
      <c r="I54" s="212" t="s">
        <v>881</v>
      </c>
      <c r="J54" s="212" t="s">
        <v>218</v>
      </c>
      <c r="K54" s="213" t="s">
        <v>465</v>
      </c>
      <c r="L54" s="212" t="s">
        <v>576</v>
      </c>
      <c r="M54" s="229"/>
      <c r="N54" s="523"/>
      <c r="O54" s="547"/>
      <c r="P54" s="547"/>
      <c r="Q54" s="521"/>
      <c r="R54" s="796"/>
    </row>
    <row r="55" spans="1:18" s="3" customFormat="1" ht="14.25" customHeight="1">
      <c r="A55" s="480"/>
      <c r="B55" s="232"/>
      <c r="C55" s="230"/>
      <c r="D55" s="257"/>
      <c r="E55" s="214"/>
      <c r="F55" s="215" t="s">
        <v>219</v>
      </c>
      <c r="G55" s="215" t="s">
        <v>466</v>
      </c>
      <c r="H55" s="216" t="s">
        <v>573</v>
      </c>
      <c r="I55" s="216" t="s">
        <v>473</v>
      </c>
      <c r="J55" s="216" t="s">
        <v>574</v>
      </c>
      <c r="K55" s="217" t="s">
        <v>467</v>
      </c>
      <c r="L55" s="216" t="s">
        <v>473</v>
      </c>
      <c r="M55" s="229"/>
      <c r="N55" s="523"/>
      <c r="O55" s="547"/>
      <c r="P55" s="547"/>
      <c r="Q55" s="521"/>
      <c r="R55" s="796"/>
    </row>
    <row r="56" spans="2:13" ht="13.5" customHeight="1">
      <c r="B56" s="127" t="s">
        <v>483</v>
      </c>
      <c r="C56" s="165"/>
      <c r="D56" s="137"/>
      <c r="E56" s="218"/>
      <c r="F56" s="218"/>
      <c r="G56" s="219" t="s">
        <v>468</v>
      </c>
      <c r="H56" s="220">
        <v>2006</v>
      </c>
      <c r="I56" s="220">
        <v>2006</v>
      </c>
      <c r="J56" s="220" t="s">
        <v>573</v>
      </c>
      <c r="K56" s="221">
        <v>2006</v>
      </c>
      <c r="L56" s="220">
        <v>2006</v>
      </c>
      <c r="M56" s="128"/>
    </row>
    <row r="57" spans="1:18" ht="13.5" customHeight="1">
      <c r="A57" s="475">
        <f>A40+1</f>
        <v>1318</v>
      </c>
      <c r="B57" s="115" t="s">
        <v>163</v>
      </c>
      <c r="C57" s="152" t="s">
        <v>555</v>
      </c>
      <c r="D57" s="153" t="s">
        <v>166</v>
      </c>
      <c r="E57" s="152" t="s">
        <v>617</v>
      </c>
      <c r="F57" s="154">
        <f>functies!$H$17</f>
        <v>0</v>
      </c>
      <c r="G57" s="154" t="s">
        <v>439</v>
      </c>
      <c r="H57" s="155"/>
      <c r="I57" s="155"/>
      <c r="J57" s="276">
        <f aca="true" t="shared" si="0" ref="J57:J63">I57-H57</f>
        <v>0</v>
      </c>
      <c r="K57" s="156"/>
      <c r="L57" s="276">
        <f aca="true" t="shared" si="1" ref="L57:L63">K57*I57</f>
        <v>0</v>
      </c>
      <c r="M57" s="105"/>
      <c r="N57" s="531">
        <v>89</v>
      </c>
      <c r="O57" s="530">
        <f aca="true" t="shared" si="2" ref="O57:O63">IF(G57="nee",ROUND(N57*(1-P57),1),N57)</f>
        <v>89</v>
      </c>
      <c r="P57" s="530">
        <v>0</v>
      </c>
      <c r="R57" s="541">
        <f aca="true" t="shared" si="3" ref="R57:R63">H57*K57</f>
        <v>0</v>
      </c>
    </row>
    <row r="58" spans="1:18" ht="13.5" customHeight="1">
      <c r="A58" s="475">
        <f aca="true" t="shared" si="4" ref="A58:A63">A57+1</f>
        <v>1319</v>
      </c>
      <c r="B58" s="115" t="s">
        <v>164</v>
      </c>
      <c r="C58" s="152" t="s">
        <v>555</v>
      </c>
      <c r="D58" s="153" t="s">
        <v>167</v>
      </c>
      <c r="E58" s="152" t="s">
        <v>617</v>
      </c>
      <c r="F58" s="154">
        <f>functies!$H$17</f>
        <v>0</v>
      </c>
      <c r="G58" s="154" t="s">
        <v>439</v>
      </c>
      <c r="H58" s="155"/>
      <c r="I58" s="155"/>
      <c r="J58" s="276">
        <f>I58-H58</f>
        <v>0</v>
      </c>
      <c r="K58" s="156"/>
      <c r="L58" s="276">
        <f>K58*I58</f>
        <v>0</v>
      </c>
      <c r="M58" s="105"/>
      <c r="N58" s="531">
        <v>89</v>
      </c>
      <c r="O58" s="530">
        <f t="shared" si="2"/>
        <v>89</v>
      </c>
      <c r="P58" s="530">
        <v>0</v>
      </c>
      <c r="R58" s="541">
        <f t="shared" si="3"/>
        <v>0</v>
      </c>
    </row>
    <row r="59" spans="1:18" ht="13.5" customHeight="1">
      <c r="A59" s="47">
        <f t="shared" si="4"/>
        <v>1320</v>
      </c>
      <c r="B59" s="115" t="s">
        <v>165</v>
      </c>
      <c r="C59" s="152" t="s">
        <v>555</v>
      </c>
      <c r="D59" s="153" t="s">
        <v>168</v>
      </c>
      <c r="E59" s="152" t="s">
        <v>617</v>
      </c>
      <c r="F59" s="154">
        <f>functies!$H$17</f>
        <v>0</v>
      </c>
      <c r="G59" s="154" t="s">
        <v>439</v>
      </c>
      <c r="H59" s="155"/>
      <c r="I59" s="155"/>
      <c r="J59" s="276">
        <f t="shared" si="0"/>
        <v>0</v>
      </c>
      <c r="K59" s="156"/>
      <c r="L59" s="276">
        <f t="shared" si="1"/>
        <v>0</v>
      </c>
      <c r="M59" s="105"/>
      <c r="N59" s="531">
        <v>47.5</v>
      </c>
      <c r="O59" s="530">
        <f t="shared" si="2"/>
        <v>47.5</v>
      </c>
      <c r="P59" s="530">
        <v>0</v>
      </c>
      <c r="R59" s="541">
        <f t="shared" si="3"/>
        <v>0</v>
      </c>
    </row>
    <row r="60" spans="1:18" ht="13.5" customHeight="1">
      <c r="A60" s="47">
        <f t="shared" si="4"/>
        <v>1321</v>
      </c>
      <c r="B60" s="115" t="s">
        <v>548</v>
      </c>
      <c r="C60" s="152" t="s">
        <v>555</v>
      </c>
      <c r="D60" s="153" t="s">
        <v>551</v>
      </c>
      <c r="E60" s="152" t="s">
        <v>617</v>
      </c>
      <c r="F60" s="154">
        <f>functies!$H$17</f>
        <v>0</v>
      </c>
      <c r="G60" s="154" t="s">
        <v>439</v>
      </c>
      <c r="H60" s="155"/>
      <c r="I60" s="155"/>
      <c r="J60" s="276">
        <f t="shared" si="0"/>
        <v>0</v>
      </c>
      <c r="K60" s="156"/>
      <c r="L60" s="276">
        <f t="shared" si="1"/>
        <v>0</v>
      </c>
      <c r="M60" s="105"/>
      <c r="N60" s="531">
        <v>89</v>
      </c>
      <c r="O60" s="530">
        <f t="shared" si="2"/>
        <v>89</v>
      </c>
      <c r="P60" s="530">
        <v>0</v>
      </c>
      <c r="R60" s="541">
        <f t="shared" si="3"/>
        <v>0</v>
      </c>
    </row>
    <row r="61" spans="1:18" ht="13.5" customHeight="1">
      <c r="A61" s="47">
        <f t="shared" si="4"/>
        <v>1322</v>
      </c>
      <c r="B61" s="115" t="s">
        <v>549</v>
      </c>
      <c r="C61" s="152" t="s">
        <v>555</v>
      </c>
      <c r="D61" s="153" t="s">
        <v>552</v>
      </c>
      <c r="E61" s="152" t="s">
        <v>617</v>
      </c>
      <c r="F61" s="154">
        <f>functies!$H$17</f>
        <v>0</v>
      </c>
      <c r="G61" s="154" t="s">
        <v>439</v>
      </c>
      <c r="H61" s="155"/>
      <c r="I61" s="155"/>
      <c r="J61" s="276">
        <f t="shared" si="0"/>
        <v>0</v>
      </c>
      <c r="K61" s="156"/>
      <c r="L61" s="276">
        <f t="shared" si="1"/>
        <v>0</v>
      </c>
      <c r="M61" s="105"/>
      <c r="N61" s="531">
        <v>89</v>
      </c>
      <c r="O61" s="530">
        <f t="shared" si="2"/>
        <v>89</v>
      </c>
      <c r="P61" s="530">
        <v>0</v>
      </c>
      <c r="R61" s="541">
        <f t="shared" si="3"/>
        <v>0</v>
      </c>
    </row>
    <row r="62" spans="1:18" ht="13.5" customHeight="1">
      <c r="A62" s="47">
        <f t="shared" si="4"/>
        <v>1323</v>
      </c>
      <c r="B62" s="115" t="s">
        <v>550</v>
      </c>
      <c r="C62" s="152" t="s">
        <v>555</v>
      </c>
      <c r="D62" s="153" t="s">
        <v>553</v>
      </c>
      <c r="E62" s="152" t="s">
        <v>617</v>
      </c>
      <c r="F62" s="154">
        <f>functies!$H$17</f>
        <v>0</v>
      </c>
      <c r="G62" s="154" t="s">
        <v>439</v>
      </c>
      <c r="H62" s="155"/>
      <c r="I62" s="155"/>
      <c r="J62" s="276">
        <f t="shared" si="0"/>
        <v>0</v>
      </c>
      <c r="K62" s="156"/>
      <c r="L62" s="276">
        <f t="shared" si="1"/>
        <v>0</v>
      </c>
      <c r="M62" s="105"/>
      <c r="N62" s="531">
        <v>89</v>
      </c>
      <c r="O62" s="530">
        <f t="shared" si="2"/>
        <v>89</v>
      </c>
      <c r="P62" s="530">
        <v>0</v>
      </c>
      <c r="R62" s="541">
        <f t="shared" si="3"/>
        <v>0</v>
      </c>
    </row>
    <row r="63" spans="1:18" ht="13.5" customHeight="1">
      <c r="A63" s="47">
        <f t="shared" si="4"/>
        <v>1324</v>
      </c>
      <c r="B63" s="115" t="s">
        <v>556</v>
      </c>
      <c r="C63" s="152" t="s">
        <v>555</v>
      </c>
      <c r="D63" s="153" t="s">
        <v>554</v>
      </c>
      <c r="E63" s="152" t="s">
        <v>617</v>
      </c>
      <c r="F63" s="154">
        <f>functies!$H$17</f>
        <v>0</v>
      </c>
      <c r="G63" s="154" t="s">
        <v>439</v>
      </c>
      <c r="H63" s="155"/>
      <c r="I63" s="155"/>
      <c r="J63" s="276">
        <f t="shared" si="0"/>
        <v>0</v>
      </c>
      <c r="K63" s="156"/>
      <c r="L63" s="276">
        <f t="shared" si="1"/>
        <v>0</v>
      </c>
      <c r="M63" s="105"/>
      <c r="N63" s="531">
        <v>89</v>
      </c>
      <c r="O63" s="530">
        <f t="shared" si="2"/>
        <v>89</v>
      </c>
      <c r="P63" s="530">
        <v>0</v>
      </c>
      <c r="R63" s="541">
        <f t="shared" si="3"/>
        <v>0</v>
      </c>
    </row>
    <row r="64" spans="1:18" s="3" customFormat="1" ht="14.25" customHeight="1">
      <c r="A64" s="480"/>
      <c r="B64" s="232"/>
      <c r="C64" s="230"/>
      <c r="D64" s="257"/>
      <c r="E64" s="233"/>
      <c r="F64" s="233"/>
      <c r="G64" s="2"/>
      <c r="H64" s="234"/>
      <c r="I64" s="235"/>
      <c r="J64" s="2"/>
      <c r="K64" s="9"/>
      <c r="L64" s="2"/>
      <c r="M64" s="229"/>
      <c r="N64" s="523"/>
      <c r="O64" s="547"/>
      <c r="P64" s="547"/>
      <c r="Q64" s="521"/>
      <c r="R64" s="796"/>
    </row>
    <row r="65" spans="1:18" s="18" customFormat="1" ht="14.25" customHeight="1">
      <c r="A65" s="286"/>
      <c r="B65" s="121" t="s">
        <v>486</v>
      </c>
      <c r="C65" s="26"/>
      <c r="D65" s="111"/>
      <c r="E65" s="111"/>
      <c r="F65" s="111"/>
      <c r="G65" s="111"/>
      <c r="H65" s="112"/>
      <c r="I65" s="112"/>
      <c r="J65" s="112"/>
      <c r="K65" s="113"/>
      <c r="L65" s="114"/>
      <c r="M65" s="114"/>
      <c r="N65" s="524"/>
      <c r="O65" s="530">
        <f>IF(G65="ja",N65*0.95,N65)</f>
        <v>0</v>
      </c>
      <c r="P65" s="524"/>
      <c r="Q65" s="524"/>
      <c r="R65" s="797"/>
    </row>
    <row r="66" spans="1:18" ht="14.25" customHeight="1">
      <c r="A66" s="475">
        <f>L51*100+1</f>
        <v>1401</v>
      </c>
      <c r="B66" s="162" t="s">
        <v>487</v>
      </c>
      <c r="C66" s="152" t="s">
        <v>558</v>
      </c>
      <c r="D66" s="152" t="s">
        <v>405</v>
      </c>
      <c r="E66" s="152" t="s">
        <v>618</v>
      </c>
      <c r="F66" s="592" t="str">
        <f>IF(OR(functies!$H$15="ja",functies!$H$16="ja"),"ja","nee")</f>
        <v>nee</v>
      </c>
      <c r="G66" s="154" t="s">
        <v>439</v>
      </c>
      <c r="H66" s="155"/>
      <c r="I66" s="155"/>
      <c r="J66" s="276">
        <f aca="true" t="shared" si="5" ref="J66:J73">I66-H66</f>
        <v>0</v>
      </c>
      <c r="K66" s="156"/>
      <c r="L66" s="276">
        <f aca="true" t="shared" si="6" ref="L66:L73">K66*I66</f>
        <v>0</v>
      </c>
      <c r="M66" s="105"/>
      <c r="N66" s="529">
        <v>25.3</v>
      </c>
      <c r="O66" s="530">
        <f aca="true" t="shared" si="7" ref="O66:O76">IF(G66="nee",ROUND(N66*(1-P66),1),N66)</f>
        <v>25.3</v>
      </c>
      <c r="P66" s="530">
        <v>0</v>
      </c>
      <c r="R66" s="541">
        <f aca="true" t="shared" si="8" ref="R66:R76">H66*K66</f>
        <v>0</v>
      </c>
    </row>
    <row r="67" spans="1:18" ht="14.25" customHeight="1">
      <c r="A67" s="47">
        <f aca="true" t="shared" si="9" ref="A67:A72">A66+1</f>
        <v>1402</v>
      </c>
      <c r="B67" s="162" t="s">
        <v>488</v>
      </c>
      <c r="C67" s="152" t="s">
        <v>559</v>
      </c>
      <c r="D67" s="152" t="s">
        <v>153</v>
      </c>
      <c r="E67" s="152" t="s">
        <v>618</v>
      </c>
      <c r="F67" s="592" t="str">
        <f>IF(OR(functies!$H$15="ja",functies!$H$16="ja"),"ja","nee")</f>
        <v>nee</v>
      </c>
      <c r="G67" s="154" t="s">
        <v>439</v>
      </c>
      <c r="H67" s="155"/>
      <c r="I67" s="155"/>
      <c r="J67" s="276">
        <f t="shared" si="5"/>
        <v>0</v>
      </c>
      <c r="K67" s="156"/>
      <c r="L67" s="276">
        <f t="shared" si="6"/>
        <v>0</v>
      </c>
      <c r="M67" s="105"/>
      <c r="N67" s="529">
        <v>49.5</v>
      </c>
      <c r="O67" s="530">
        <f t="shared" si="7"/>
        <v>49.5</v>
      </c>
      <c r="P67" s="530">
        <v>0</v>
      </c>
      <c r="R67" s="541">
        <f t="shared" si="8"/>
        <v>0</v>
      </c>
    </row>
    <row r="68" spans="1:18" ht="14.25" customHeight="1">
      <c r="A68" s="47">
        <f t="shared" si="9"/>
        <v>1403</v>
      </c>
      <c r="B68" s="162" t="s">
        <v>489</v>
      </c>
      <c r="C68" s="152" t="s">
        <v>562</v>
      </c>
      <c r="D68" s="152" t="s">
        <v>154</v>
      </c>
      <c r="E68" s="152" t="s">
        <v>618</v>
      </c>
      <c r="F68" s="592" t="str">
        <f>IF(OR(functies!$H$15="ja",functies!$H$16="ja"),"ja","nee")</f>
        <v>nee</v>
      </c>
      <c r="G68" s="154" t="s">
        <v>439</v>
      </c>
      <c r="H68" s="155"/>
      <c r="I68" s="155"/>
      <c r="J68" s="276">
        <f t="shared" si="5"/>
        <v>0</v>
      </c>
      <c r="K68" s="156"/>
      <c r="L68" s="276">
        <f t="shared" si="6"/>
        <v>0</v>
      </c>
      <c r="M68" s="105"/>
      <c r="N68" s="529">
        <v>49.5</v>
      </c>
      <c r="O68" s="530">
        <f t="shared" si="7"/>
        <v>49.5</v>
      </c>
      <c r="P68" s="530">
        <v>0</v>
      </c>
      <c r="R68" s="541">
        <f t="shared" si="8"/>
        <v>0</v>
      </c>
    </row>
    <row r="69" spans="1:18" ht="14.25" customHeight="1">
      <c r="A69" s="47">
        <f t="shared" si="9"/>
        <v>1404</v>
      </c>
      <c r="B69" s="162" t="s">
        <v>494</v>
      </c>
      <c r="C69" s="152" t="s">
        <v>563</v>
      </c>
      <c r="D69" s="152" t="s">
        <v>284</v>
      </c>
      <c r="E69" s="152" t="s">
        <v>618</v>
      </c>
      <c r="F69" s="592" t="str">
        <f>IF(OR(functies!$H$15="ja",functies!$H$16="ja"),"ja","nee")</f>
        <v>nee</v>
      </c>
      <c r="G69" s="158" t="str">
        <f aca="true" t="shared" si="10" ref="G69:G76">$F$10</f>
        <v>ja</v>
      </c>
      <c r="H69" s="155"/>
      <c r="I69" s="155"/>
      <c r="J69" s="276">
        <f t="shared" si="5"/>
        <v>0</v>
      </c>
      <c r="K69" s="156"/>
      <c r="L69" s="276">
        <f t="shared" si="6"/>
        <v>0</v>
      </c>
      <c r="M69" s="105"/>
      <c r="N69" s="529">
        <v>51.7</v>
      </c>
      <c r="O69" s="530">
        <f t="shared" si="7"/>
        <v>51.7</v>
      </c>
      <c r="P69" s="530">
        <v>0.0928</v>
      </c>
      <c r="R69" s="541">
        <f t="shared" si="8"/>
        <v>0</v>
      </c>
    </row>
    <row r="70" spans="1:18" ht="14.25" customHeight="1">
      <c r="A70" s="47">
        <f>A69+1</f>
        <v>1405</v>
      </c>
      <c r="B70" s="162" t="s">
        <v>495</v>
      </c>
      <c r="C70" s="152" t="s">
        <v>564</v>
      </c>
      <c r="D70" s="152" t="s">
        <v>285</v>
      </c>
      <c r="E70" s="152" t="s">
        <v>618</v>
      </c>
      <c r="F70" s="592" t="str">
        <f>IF(OR(functies!$H$15="ja",functies!$H$16="ja"),"ja","nee")</f>
        <v>nee</v>
      </c>
      <c r="G70" s="158" t="str">
        <f t="shared" si="10"/>
        <v>ja</v>
      </c>
      <c r="H70" s="155"/>
      <c r="I70" s="155"/>
      <c r="J70" s="276">
        <f t="shared" si="5"/>
        <v>0</v>
      </c>
      <c r="K70" s="156"/>
      <c r="L70" s="276">
        <f t="shared" si="6"/>
        <v>0</v>
      </c>
      <c r="M70" s="105"/>
      <c r="N70" s="529">
        <v>35.2</v>
      </c>
      <c r="O70" s="530">
        <f t="shared" si="7"/>
        <v>35.2</v>
      </c>
      <c r="P70" s="530">
        <v>0.0901</v>
      </c>
      <c r="R70" s="541">
        <f t="shared" si="8"/>
        <v>0</v>
      </c>
    </row>
    <row r="71" spans="1:18" ht="14.25" customHeight="1">
      <c r="A71" s="47">
        <f t="shared" si="9"/>
        <v>1406</v>
      </c>
      <c r="B71" s="162" t="s">
        <v>496</v>
      </c>
      <c r="C71" s="152" t="s">
        <v>565</v>
      </c>
      <c r="D71" s="152" t="s">
        <v>286</v>
      </c>
      <c r="E71" s="152" t="s">
        <v>618</v>
      </c>
      <c r="F71" s="592" t="str">
        <f>IF(OR(functies!$H$15="ja",functies!$H$16="ja"),"ja","nee")</f>
        <v>nee</v>
      </c>
      <c r="G71" s="158" t="str">
        <f t="shared" si="10"/>
        <v>ja</v>
      </c>
      <c r="H71" s="155"/>
      <c r="I71" s="155"/>
      <c r="J71" s="276">
        <f t="shared" si="5"/>
        <v>0</v>
      </c>
      <c r="K71" s="156"/>
      <c r="L71" s="276">
        <f t="shared" si="6"/>
        <v>0</v>
      </c>
      <c r="M71" s="105"/>
      <c r="N71" s="529">
        <v>42.7</v>
      </c>
      <c r="O71" s="530">
        <f t="shared" si="7"/>
        <v>42.7</v>
      </c>
      <c r="P71" s="530">
        <v>0.0937</v>
      </c>
      <c r="R71" s="541">
        <f t="shared" si="8"/>
        <v>0</v>
      </c>
    </row>
    <row r="72" spans="1:18" ht="13.5" customHeight="1">
      <c r="A72" s="47">
        <f t="shared" si="9"/>
        <v>1407</v>
      </c>
      <c r="B72" s="162" t="s">
        <v>497</v>
      </c>
      <c r="C72" s="152" t="s">
        <v>566</v>
      </c>
      <c r="D72" s="152" t="s">
        <v>171</v>
      </c>
      <c r="E72" s="152" t="s">
        <v>618</v>
      </c>
      <c r="F72" s="592" t="str">
        <f>IF(OR(functies!$H$15="ja",functies!$H$16="ja"),"ja","nee")</f>
        <v>nee</v>
      </c>
      <c r="G72" s="158" t="str">
        <f t="shared" si="10"/>
        <v>ja</v>
      </c>
      <c r="H72" s="155"/>
      <c r="I72" s="155"/>
      <c r="J72" s="276">
        <f t="shared" si="5"/>
        <v>0</v>
      </c>
      <c r="K72" s="156"/>
      <c r="L72" s="276">
        <f t="shared" si="6"/>
        <v>0</v>
      </c>
      <c r="M72" s="105"/>
      <c r="N72" s="529">
        <v>46.5</v>
      </c>
      <c r="O72" s="530">
        <f t="shared" si="7"/>
        <v>46.5</v>
      </c>
      <c r="P72" s="530">
        <v>0.0927</v>
      </c>
      <c r="R72" s="541">
        <f t="shared" si="8"/>
        <v>0</v>
      </c>
    </row>
    <row r="73" spans="1:18" ht="13.5" customHeight="1">
      <c r="A73" s="47">
        <f>A72+1</f>
        <v>1408</v>
      </c>
      <c r="B73" s="162" t="s">
        <v>557</v>
      </c>
      <c r="C73" s="152" t="s">
        <v>797</v>
      </c>
      <c r="D73" s="152" t="s">
        <v>798</v>
      </c>
      <c r="E73" s="152" t="s">
        <v>618</v>
      </c>
      <c r="F73" s="592" t="str">
        <f>IF(OR(functies!$H$15="ja",functies!$H$16="ja"),"ja","nee")</f>
        <v>nee</v>
      </c>
      <c r="G73" s="158" t="str">
        <f t="shared" si="10"/>
        <v>ja</v>
      </c>
      <c r="H73" s="155"/>
      <c r="I73" s="155"/>
      <c r="J73" s="276">
        <f t="shared" si="5"/>
        <v>0</v>
      </c>
      <c r="K73" s="156"/>
      <c r="L73" s="276">
        <f t="shared" si="6"/>
        <v>0</v>
      </c>
      <c r="M73" s="105"/>
      <c r="N73" s="529">
        <v>58</v>
      </c>
      <c r="O73" s="530">
        <f t="shared" si="7"/>
        <v>58</v>
      </c>
      <c r="P73" s="530">
        <v>0.0879</v>
      </c>
      <c r="R73" s="541">
        <f t="shared" si="8"/>
        <v>0</v>
      </c>
    </row>
    <row r="74" spans="1:18" ht="14.25" customHeight="1">
      <c r="A74" s="47">
        <f>A73+1</f>
        <v>1409</v>
      </c>
      <c r="B74" s="162" t="s">
        <v>169</v>
      </c>
      <c r="C74" s="152" t="s">
        <v>799</v>
      </c>
      <c r="D74" s="152" t="s">
        <v>172</v>
      </c>
      <c r="E74" s="152" t="s">
        <v>618</v>
      </c>
      <c r="F74" s="592" t="str">
        <f>IF(OR(functies!$H$15="ja",functies!$H$16="ja"),"ja","nee")</f>
        <v>nee</v>
      </c>
      <c r="G74" s="158" t="str">
        <f t="shared" si="10"/>
        <v>ja</v>
      </c>
      <c r="H74" s="155"/>
      <c r="I74" s="155"/>
      <c r="J74" s="276">
        <f>I74-H74</f>
        <v>0</v>
      </c>
      <c r="K74" s="156"/>
      <c r="L74" s="276">
        <f>K74*I74</f>
        <v>0</v>
      </c>
      <c r="M74" s="105"/>
      <c r="N74" s="529">
        <v>65.4</v>
      </c>
      <c r="O74" s="530">
        <f t="shared" si="7"/>
        <v>65.4</v>
      </c>
      <c r="P74" s="530">
        <v>0.0963</v>
      </c>
      <c r="R74" s="541">
        <f t="shared" si="8"/>
        <v>0</v>
      </c>
    </row>
    <row r="75" spans="1:18" ht="14.25" customHeight="1">
      <c r="A75" s="47">
        <f>A74+1</f>
        <v>1410</v>
      </c>
      <c r="B75" s="162" t="s">
        <v>170</v>
      </c>
      <c r="C75" s="152" t="s">
        <v>800</v>
      </c>
      <c r="D75" s="152" t="s">
        <v>173</v>
      </c>
      <c r="E75" s="152" t="s">
        <v>618</v>
      </c>
      <c r="F75" s="592" t="str">
        <f>IF(OR(functies!$H$15="ja",functies!$H$16="ja"),"ja","nee")</f>
        <v>nee</v>
      </c>
      <c r="G75" s="158" t="str">
        <f t="shared" si="10"/>
        <v>ja</v>
      </c>
      <c r="H75" s="155"/>
      <c r="I75" s="155"/>
      <c r="J75" s="276">
        <f>I75-H75</f>
        <v>0</v>
      </c>
      <c r="K75" s="156"/>
      <c r="L75" s="276">
        <f>K75*I75</f>
        <v>0</v>
      </c>
      <c r="M75" s="105"/>
      <c r="N75" s="529">
        <v>65.4</v>
      </c>
      <c r="O75" s="530">
        <f t="shared" si="7"/>
        <v>65.4</v>
      </c>
      <c r="P75" s="530">
        <v>0.0963</v>
      </c>
      <c r="R75" s="541">
        <f t="shared" si="8"/>
        <v>0</v>
      </c>
    </row>
    <row r="76" spans="1:18" ht="14.25" customHeight="1">
      <c r="A76" s="47">
        <f>A75+1</f>
        <v>1411</v>
      </c>
      <c r="B76" s="162" t="s">
        <v>498</v>
      </c>
      <c r="C76" s="152" t="s">
        <v>567</v>
      </c>
      <c r="D76" s="152" t="s">
        <v>287</v>
      </c>
      <c r="E76" s="152" t="s">
        <v>618</v>
      </c>
      <c r="F76" s="592" t="str">
        <f>IF(OR(functies!$H$15="ja",functies!$H$16="ja"),"ja","nee")</f>
        <v>nee</v>
      </c>
      <c r="G76" s="158" t="str">
        <f t="shared" si="10"/>
        <v>ja</v>
      </c>
      <c r="H76" s="155"/>
      <c r="I76" s="155"/>
      <c r="J76" s="276">
        <f>I76-H76</f>
        <v>0</v>
      </c>
      <c r="K76" s="156"/>
      <c r="L76" s="276">
        <f>K76*I76</f>
        <v>0</v>
      </c>
      <c r="M76" s="105"/>
      <c r="N76" s="529">
        <v>42.4</v>
      </c>
      <c r="O76" s="530">
        <f t="shared" si="7"/>
        <v>42.4</v>
      </c>
      <c r="P76" s="530">
        <v>0.111111111</v>
      </c>
      <c r="R76" s="541">
        <f t="shared" si="8"/>
        <v>0</v>
      </c>
    </row>
    <row r="77" spans="1:15" ht="14.25" customHeight="1">
      <c r="A77" s="483"/>
      <c r="B77" s="4"/>
      <c r="D77" s="135"/>
      <c r="E77" s="135"/>
      <c r="F77" s="122"/>
      <c r="G77" s="122"/>
      <c r="H77" s="123"/>
      <c r="I77" s="123"/>
      <c r="J77" s="123"/>
      <c r="K77" s="124"/>
      <c r="L77" s="128"/>
      <c r="M77" s="128"/>
      <c r="O77" s="530">
        <f>IF(G77="ja",N77*0.95,N77)</f>
        <v>0</v>
      </c>
    </row>
    <row r="78" spans="2:15" ht="14.25" customHeight="1">
      <c r="B78" s="136" t="s">
        <v>289</v>
      </c>
      <c r="D78" s="137"/>
      <c r="E78" s="137"/>
      <c r="F78" s="5"/>
      <c r="G78" s="5"/>
      <c r="H78" s="114"/>
      <c r="I78" s="114"/>
      <c r="J78" s="114"/>
      <c r="K78" s="138"/>
      <c r="L78" s="128"/>
      <c r="M78" s="128"/>
      <c r="O78" s="530">
        <f>IF(G78="ja",N78*0.95,N78)</f>
        <v>0</v>
      </c>
    </row>
    <row r="79" spans="1:18" ht="14.25" customHeight="1">
      <c r="A79" s="475">
        <f>A76+1</f>
        <v>1412</v>
      </c>
      <c r="B79" s="115" t="s">
        <v>500</v>
      </c>
      <c r="C79" s="152"/>
      <c r="D79" s="153" t="s">
        <v>290</v>
      </c>
      <c r="E79" s="152" t="s">
        <v>619</v>
      </c>
      <c r="F79" s="154">
        <f>functies!$H$19</f>
        <v>0</v>
      </c>
      <c r="G79" s="154" t="s">
        <v>439</v>
      </c>
      <c r="H79" s="155"/>
      <c r="I79" s="155"/>
      <c r="J79" s="276">
        <f>I79-H79</f>
        <v>0</v>
      </c>
      <c r="K79" s="156"/>
      <c r="L79" s="276">
        <f>K79*I79</f>
        <v>0</v>
      </c>
      <c r="M79" s="105"/>
      <c r="N79" s="529">
        <v>23.2</v>
      </c>
      <c r="O79" s="530">
        <f>IF(G79="nee",ROUND(N79*(1-P79),1),N79)</f>
        <v>23.2</v>
      </c>
      <c r="P79" s="530">
        <v>0</v>
      </c>
      <c r="R79" s="541">
        <f>H79*K79</f>
        <v>0</v>
      </c>
    </row>
    <row r="80" spans="1:18" ht="14.25" customHeight="1">
      <c r="A80" s="47">
        <f>A79+1</f>
        <v>1413</v>
      </c>
      <c r="B80" s="115" t="s">
        <v>501</v>
      </c>
      <c r="C80" s="152"/>
      <c r="D80" s="153" t="s">
        <v>432</v>
      </c>
      <c r="E80" s="152" t="s">
        <v>620</v>
      </c>
      <c r="F80" s="154">
        <f>functies!$H$19</f>
        <v>0</v>
      </c>
      <c r="G80" s="154" t="s">
        <v>439</v>
      </c>
      <c r="H80" s="155"/>
      <c r="I80" s="155"/>
      <c r="J80" s="276">
        <f>I80-H80</f>
        <v>0</v>
      </c>
      <c r="K80" s="156"/>
      <c r="L80" s="276">
        <f>K80*I80</f>
        <v>0</v>
      </c>
      <c r="M80" s="105"/>
      <c r="N80" s="529">
        <v>26.5</v>
      </c>
      <c r="O80" s="530">
        <f>IF(G80="nee",ROUND(N80*(1-P80),1),N80)</f>
        <v>26.5</v>
      </c>
      <c r="P80" s="530">
        <v>0</v>
      </c>
      <c r="R80" s="541">
        <f>H80*K80</f>
        <v>0</v>
      </c>
    </row>
    <row r="81" spans="1:18" ht="14.25" customHeight="1">
      <c r="A81" s="47">
        <f>A80+1</f>
        <v>1414</v>
      </c>
      <c r="B81" s="115" t="s">
        <v>502</v>
      </c>
      <c r="C81" s="152"/>
      <c r="D81" s="153" t="s">
        <v>433</v>
      </c>
      <c r="E81" s="152" t="s">
        <v>620</v>
      </c>
      <c r="F81" s="154">
        <f>functies!$H$19</f>
        <v>0</v>
      </c>
      <c r="G81" s="154" t="s">
        <v>439</v>
      </c>
      <c r="H81" s="155"/>
      <c r="I81" s="155"/>
      <c r="J81" s="276">
        <f>I81-H81</f>
        <v>0</v>
      </c>
      <c r="K81" s="156"/>
      <c r="L81" s="276">
        <f>K81*I81</f>
        <v>0</v>
      </c>
      <c r="M81" s="105"/>
      <c r="N81" s="529">
        <v>46.4</v>
      </c>
      <c r="O81" s="530">
        <f>IF(G81="nee",ROUND(N81*(1-P81),1),N81)</f>
        <v>46.4</v>
      </c>
      <c r="P81" s="530">
        <v>0</v>
      </c>
      <c r="R81" s="541">
        <f>H81*K81</f>
        <v>0</v>
      </c>
    </row>
    <row r="82" spans="1:18" ht="14.25" customHeight="1">
      <c r="A82" s="47">
        <f>A81+1</f>
        <v>1415</v>
      </c>
      <c r="B82" s="115" t="s">
        <v>503</v>
      </c>
      <c r="C82" s="152"/>
      <c r="D82" s="153" t="s">
        <v>434</v>
      </c>
      <c r="E82" s="152" t="s">
        <v>620</v>
      </c>
      <c r="F82" s="154">
        <f>functies!$H$19</f>
        <v>0</v>
      </c>
      <c r="G82" s="154" t="s">
        <v>439</v>
      </c>
      <c r="H82" s="155"/>
      <c r="I82" s="155"/>
      <c r="J82" s="276">
        <f>I82-H82</f>
        <v>0</v>
      </c>
      <c r="K82" s="156"/>
      <c r="L82" s="276">
        <f>K82*I82</f>
        <v>0</v>
      </c>
      <c r="M82" s="105"/>
      <c r="N82" s="531">
        <v>79.5</v>
      </c>
      <c r="O82" s="530">
        <f>IF(G82="nee",ROUND(N82*(1-P82),1),N82)</f>
        <v>79.5</v>
      </c>
      <c r="P82" s="530">
        <v>0</v>
      </c>
      <c r="R82" s="541">
        <f>H82*K82</f>
        <v>0</v>
      </c>
    </row>
    <row r="83" spans="1:18" ht="14.25" customHeight="1">
      <c r="A83" s="47">
        <f>A82+1</f>
        <v>1416</v>
      </c>
      <c r="B83" s="115" t="s">
        <v>504</v>
      </c>
      <c r="C83" s="152"/>
      <c r="D83" s="153" t="s">
        <v>291</v>
      </c>
      <c r="E83" s="152" t="s">
        <v>621</v>
      </c>
      <c r="F83" s="154">
        <f>functies!$H$19</f>
        <v>0</v>
      </c>
      <c r="G83" s="154" t="s">
        <v>439</v>
      </c>
      <c r="H83" s="155"/>
      <c r="I83" s="155"/>
      <c r="J83" s="276">
        <f>I83-H83</f>
        <v>0</v>
      </c>
      <c r="K83" s="156"/>
      <c r="L83" s="276">
        <f>K83*I83</f>
        <v>0</v>
      </c>
      <c r="M83" s="105"/>
      <c r="N83" s="529">
        <v>20.3</v>
      </c>
      <c r="O83" s="530">
        <f>IF(G83="nee",ROUND(N83*(1-P83),1),N83)</f>
        <v>20.3</v>
      </c>
      <c r="P83" s="530">
        <v>0</v>
      </c>
      <c r="R83" s="541">
        <f>H83*K83</f>
        <v>0</v>
      </c>
    </row>
    <row r="84" spans="1:15" ht="14.25" customHeight="1">
      <c r="A84" s="469"/>
      <c r="B84" s="130"/>
      <c r="C84" s="130"/>
      <c r="D84" s="137"/>
      <c r="E84" s="137"/>
      <c r="F84" s="5"/>
      <c r="G84" s="5"/>
      <c r="H84" s="114"/>
      <c r="I84" s="114"/>
      <c r="J84" s="114"/>
      <c r="K84" s="138"/>
      <c r="L84" s="128"/>
      <c r="M84" s="128"/>
      <c r="O84" s="530">
        <f>IF(G84="ja",N84*0.95,N84)</f>
        <v>0</v>
      </c>
    </row>
    <row r="85" spans="2:15" ht="14.25" customHeight="1">
      <c r="B85" s="136" t="s">
        <v>292</v>
      </c>
      <c r="D85" s="137"/>
      <c r="E85" s="137"/>
      <c r="F85" s="5"/>
      <c r="G85" s="5"/>
      <c r="H85" s="114"/>
      <c r="I85" s="114"/>
      <c r="J85" s="114"/>
      <c r="K85" s="138"/>
      <c r="L85" s="128"/>
      <c r="M85" s="128"/>
      <c r="O85" s="530">
        <f>IF(G85="ja",N85*0.95,N85)</f>
        <v>0</v>
      </c>
    </row>
    <row r="86" spans="1:18" ht="14.25" customHeight="1">
      <c r="A86" s="475">
        <f>A83+1</f>
        <v>1417</v>
      </c>
      <c r="B86" s="115" t="s">
        <v>505</v>
      </c>
      <c r="C86" s="152"/>
      <c r="D86" s="153" t="s">
        <v>293</v>
      </c>
      <c r="E86" s="152" t="s">
        <v>622</v>
      </c>
      <c r="F86" s="154">
        <f>functies!H20</f>
        <v>0</v>
      </c>
      <c r="G86" s="154" t="s">
        <v>439</v>
      </c>
      <c r="H86" s="155"/>
      <c r="I86" s="155"/>
      <c r="J86" s="276">
        <f>I86-H86</f>
        <v>0</v>
      </c>
      <c r="K86" s="156"/>
      <c r="L86" s="276">
        <f>K86*I86</f>
        <v>0</v>
      </c>
      <c r="M86" s="105"/>
      <c r="N86" s="529">
        <v>62.1</v>
      </c>
      <c r="O86" s="530">
        <f>IF(G86="nee",ROUND(N86*(1-P86),1),N86)</f>
        <v>62.1</v>
      </c>
      <c r="P86" s="530">
        <v>0</v>
      </c>
      <c r="R86" s="541">
        <f>H86*K86</f>
        <v>0</v>
      </c>
    </row>
    <row r="87" spans="1:15" ht="14.25" customHeight="1">
      <c r="A87" s="469"/>
      <c r="B87" s="130"/>
      <c r="C87" s="130"/>
      <c r="D87" s="137"/>
      <c r="E87" s="137"/>
      <c r="F87" s="5"/>
      <c r="G87" s="5"/>
      <c r="H87" s="114"/>
      <c r="I87" s="114"/>
      <c r="J87" s="114"/>
      <c r="K87" s="138"/>
      <c r="L87" s="128"/>
      <c r="M87" s="128"/>
      <c r="O87" s="530">
        <f>IF(G87="ja",N87*0.95,N87)</f>
        <v>0</v>
      </c>
    </row>
    <row r="88" spans="2:15" ht="14.25" customHeight="1">
      <c r="B88" s="136" t="s">
        <v>569</v>
      </c>
      <c r="D88" s="137"/>
      <c r="E88" s="137"/>
      <c r="F88" s="5"/>
      <c r="G88" s="5"/>
      <c r="H88" s="114"/>
      <c r="I88" s="114"/>
      <c r="J88" s="114"/>
      <c r="K88" s="138"/>
      <c r="L88" s="128"/>
      <c r="M88" s="128"/>
      <c r="O88" s="530">
        <f>IF(G88="ja",N88*0.95,N88)</f>
        <v>0</v>
      </c>
    </row>
    <row r="89" spans="1:18" ht="14.25" customHeight="1">
      <c r="A89" s="475">
        <f>A86+1</f>
        <v>1418</v>
      </c>
      <c r="B89" s="115" t="s">
        <v>570</v>
      </c>
      <c r="C89" s="152"/>
      <c r="D89" s="153" t="s">
        <v>571</v>
      </c>
      <c r="E89" s="152" t="s">
        <v>622</v>
      </c>
      <c r="F89" s="154" t="s">
        <v>329</v>
      </c>
      <c r="G89" s="154" t="s">
        <v>439</v>
      </c>
      <c r="H89" s="155"/>
      <c r="I89" s="155"/>
      <c r="J89" s="276">
        <f>I89-H89</f>
        <v>0</v>
      </c>
      <c r="K89" s="156"/>
      <c r="L89" s="276">
        <f>K89*I89</f>
        <v>0</v>
      </c>
      <c r="M89" s="105"/>
      <c r="N89" s="529">
        <v>62.1</v>
      </c>
      <c r="O89" s="530">
        <f>IF(G89="nee",ROUND(N89*(1-P89),1),N89)</f>
        <v>62.1</v>
      </c>
      <c r="P89" s="530">
        <v>0</v>
      </c>
      <c r="R89" s="541">
        <f>H89*K89</f>
        <v>0</v>
      </c>
    </row>
    <row r="90" spans="1:18" ht="14.25" customHeight="1">
      <c r="A90" s="47">
        <f>A89+1</f>
        <v>1419</v>
      </c>
      <c r="B90" s="115" t="s">
        <v>568</v>
      </c>
      <c r="C90" s="152"/>
      <c r="D90" s="153" t="s">
        <v>575</v>
      </c>
      <c r="E90" s="152" t="s">
        <v>622</v>
      </c>
      <c r="F90" s="154" t="s">
        <v>329</v>
      </c>
      <c r="G90" s="154" t="s">
        <v>439</v>
      </c>
      <c r="H90" s="155"/>
      <c r="I90" s="155"/>
      <c r="J90" s="276">
        <f>I90-H90</f>
        <v>0</v>
      </c>
      <c r="K90" s="156"/>
      <c r="L90" s="276">
        <f>K90*I90</f>
        <v>0</v>
      </c>
      <c r="M90" s="105"/>
      <c r="N90" s="529">
        <v>65.3</v>
      </c>
      <c r="O90" s="530">
        <f>IF(G90="nee",ROUND(N90*(1-P90),1),N90)</f>
        <v>65.3</v>
      </c>
      <c r="P90" s="530">
        <v>0</v>
      </c>
      <c r="R90" s="541">
        <f>H90*K90</f>
        <v>0</v>
      </c>
    </row>
    <row r="91" spans="1:15" ht="14.25" customHeight="1">
      <c r="A91" s="469"/>
      <c r="B91" s="130"/>
      <c r="C91" s="130"/>
      <c r="D91" s="137"/>
      <c r="E91" s="137"/>
      <c r="F91" s="5"/>
      <c r="G91" s="5"/>
      <c r="H91" s="114"/>
      <c r="I91" s="114"/>
      <c r="J91" s="114"/>
      <c r="K91" s="138"/>
      <c r="L91" s="128"/>
      <c r="M91" s="128"/>
      <c r="O91" s="530">
        <f aca="true" t="shared" si="11" ref="O91:O97">IF(G91="ja",N91*0.95,N91)</f>
        <v>0</v>
      </c>
    </row>
    <row r="92" spans="2:15" ht="14.25" customHeight="1">
      <c r="B92" s="130"/>
      <c r="C92" s="129"/>
      <c r="D92" s="137"/>
      <c r="E92" s="137"/>
      <c r="F92" s="137"/>
      <c r="G92" s="137"/>
      <c r="H92" s="139"/>
      <c r="I92" s="139"/>
      <c r="J92" s="139"/>
      <c r="K92" s="139"/>
      <c r="L92" s="139"/>
      <c r="M92" s="139"/>
      <c r="O92" s="530">
        <f t="shared" si="11"/>
        <v>0</v>
      </c>
    </row>
    <row r="93" spans="1:18" ht="14.25" customHeight="1">
      <c r="A93" s="475">
        <f>A90+1</f>
        <v>1420</v>
      </c>
      <c r="B93" s="167"/>
      <c r="C93" s="168"/>
      <c r="D93" s="169" t="s">
        <v>217</v>
      </c>
      <c r="E93" s="169"/>
      <c r="F93" s="170"/>
      <c r="G93" s="170"/>
      <c r="H93" s="171"/>
      <c r="I93" s="171"/>
      <c r="J93" s="171"/>
      <c r="K93" s="172"/>
      <c r="L93" s="166">
        <f>SUM(L16:L63)+SUM(L66:L86)-L56-L51</f>
        <v>0</v>
      </c>
      <c r="M93" s="141"/>
      <c r="N93" s="532"/>
      <c r="O93" s="530">
        <f t="shared" si="11"/>
        <v>0</v>
      </c>
      <c r="R93" s="166">
        <f>SUM(R16:R63)+SUM(R66:R86)-R56-R51</f>
        <v>0</v>
      </c>
    </row>
    <row r="94" spans="1:15" ht="14.25" customHeight="1">
      <c r="A94" s="482"/>
      <c r="B94" s="129"/>
      <c r="C94" s="130"/>
      <c r="D94" s="136"/>
      <c r="E94" s="136"/>
      <c r="F94" s="140"/>
      <c r="G94" s="140"/>
      <c r="H94" s="141"/>
      <c r="I94" s="141"/>
      <c r="J94" s="141"/>
      <c r="K94" s="142"/>
      <c r="L94" s="141"/>
      <c r="M94" s="141"/>
      <c r="N94" s="532"/>
      <c r="O94" s="530">
        <f t="shared" si="11"/>
        <v>0</v>
      </c>
    </row>
    <row r="95" spans="1:15" ht="14.25" customHeight="1">
      <c r="A95" s="484"/>
      <c r="B95" s="129"/>
      <c r="C95" s="130"/>
      <c r="D95" s="136"/>
      <c r="E95" s="136"/>
      <c r="F95" s="140"/>
      <c r="G95" s="140"/>
      <c r="H95" s="141"/>
      <c r="I95" s="141"/>
      <c r="J95" s="141"/>
      <c r="K95" s="142"/>
      <c r="L95" s="141"/>
      <c r="M95" s="141"/>
      <c r="N95" s="532"/>
      <c r="O95" s="530">
        <f t="shared" si="11"/>
        <v>0</v>
      </c>
    </row>
    <row r="96" spans="1:15" ht="14.25" customHeight="1">
      <c r="A96" s="484"/>
      <c r="B96" s="130"/>
      <c r="C96" s="129"/>
      <c r="D96" s="137"/>
      <c r="E96" s="137"/>
      <c r="F96" s="5"/>
      <c r="G96" s="5"/>
      <c r="H96" s="114"/>
      <c r="I96" s="114"/>
      <c r="J96" s="114"/>
      <c r="K96" s="128"/>
      <c r="L96" s="128"/>
      <c r="M96" s="128"/>
      <c r="O96" s="530">
        <f t="shared" si="11"/>
        <v>0</v>
      </c>
    </row>
    <row r="97" spans="1:18" s="18" customFormat="1" ht="14.25" customHeight="1">
      <c r="A97" s="485"/>
      <c r="B97" s="2"/>
      <c r="C97" s="2"/>
      <c r="D97" s="2"/>
      <c r="E97" s="2"/>
      <c r="F97" s="2"/>
      <c r="G97" s="2"/>
      <c r="H97" s="2"/>
      <c r="I97" s="2"/>
      <c r="J97" s="2"/>
      <c r="K97" s="108"/>
      <c r="L97" s="151"/>
      <c r="M97" s="109"/>
      <c r="N97" s="524"/>
      <c r="O97" s="530">
        <f t="shared" si="11"/>
        <v>0</v>
      </c>
      <c r="P97" s="524"/>
      <c r="Q97" s="524"/>
      <c r="R97" s="797"/>
    </row>
    <row r="98" spans="1:22" s="3" customFormat="1" ht="14.25" customHeight="1">
      <c r="A98" s="478"/>
      <c r="N98" s="521"/>
      <c r="O98" s="542"/>
      <c r="P98" s="542"/>
      <c r="Q98" s="543"/>
      <c r="R98" s="542"/>
      <c r="S98" s="236"/>
      <c r="T98" s="236"/>
      <c r="U98" s="238"/>
      <c r="V98" s="239"/>
    </row>
    <row r="99" spans="1:19" s="108" customFormat="1" ht="14.25" customHeight="1">
      <c r="A99" s="479" t="str">
        <f>voorblad!$A$20</f>
        <v>Mutatieformulier regiokader gehandicaptenzorg 2006</v>
      </c>
      <c r="B99" s="1"/>
      <c r="C99" s="228"/>
      <c r="D99" s="255"/>
      <c r="E99" s="228"/>
      <c r="F99" s="228"/>
      <c r="G99" s="241" t="str">
        <f>"versie: "&amp;TEXT(voorblad!$L$25,"dd-mm-jjjj")</f>
        <v>versie: 11-09-2006</v>
      </c>
      <c r="H99" s="2"/>
      <c r="I99" s="243"/>
      <c r="J99" s="2"/>
      <c r="K99" s="244"/>
      <c r="L99" s="244">
        <f>L51+1</f>
        <v>15</v>
      </c>
      <c r="M99" s="245"/>
      <c r="N99" s="522"/>
      <c r="O99" s="544"/>
      <c r="P99" s="545"/>
      <c r="Q99" s="546"/>
      <c r="R99" s="109"/>
      <c r="S99" s="2"/>
    </row>
    <row r="100" spans="1:18" s="3" customFormat="1" ht="14.25" customHeight="1">
      <c r="A100" s="480"/>
      <c r="B100" s="232"/>
      <c r="C100" s="230" t="s">
        <v>601</v>
      </c>
      <c r="D100" s="257">
        <v>0</v>
      </c>
      <c r="E100" s="233"/>
      <c r="F100" s="233"/>
      <c r="G100" s="2"/>
      <c r="H100" s="234"/>
      <c r="I100" s="235"/>
      <c r="J100" s="2"/>
      <c r="K100" s="9"/>
      <c r="L100" s="2"/>
      <c r="M100" s="229"/>
      <c r="N100" s="523"/>
      <c r="O100" s="547"/>
      <c r="P100" s="547"/>
      <c r="Q100" s="521"/>
      <c r="R100" s="796"/>
    </row>
    <row r="101" spans="1:18" s="18" customFormat="1" ht="14.25" customHeight="1">
      <c r="A101" s="6"/>
      <c r="B101" s="111"/>
      <c r="C101" s="26"/>
      <c r="D101" s="111"/>
      <c r="E101" s="111"/>
      <c r="F101" s="111"/>
      <c r="G101" s="111"/>
      <c r="H101" s="112"/>
      <c r="I101" s="112"/>
      <c r="J101" s="112"/>
      <c r="K101" s="113"/>
      <c r="L101" s="114"/>
      <c r="M101" s="114"/>
      <c r="N101" s="524"/>
      <c r="O101" s="530">
        <f aca="true" t="shared" si="12" ref="O101:O107">IF(G101="ja",N101*0.95,N101)</f>
        <v>0</v>
      </c>
      <c r="P101" s="524"/>
      <c r="Q101" s="524"/>
      <c r="R101" s="797"/>
    </row>
    <row r="102" spans="1:18" s="18" customFormat="1" ht="14.25" customHeight="1">
      <c r="A102" s="286"/>
      <c r="B102" s="286" t="s">
        <v>295</v>
      </c>
      <c r="C102" s="26"/>
      <c r="D102" s="111"/>
      <c r="E102" s="111"/>
      <c r="F102" s="111"/>
      <c r="G102" s="111"/>
      <c r="H102" s="112"/>
      <c r="I102" s="112"/>
      <c r="J102" s="112"/>
      <c r="K102" s="113"/>
      <c r="L102" s="114"/>
      <c r="M102" s="114"/>
      <c r="N102" s="524"/>
      <c r="O102" s="530">
        <f t="shared" si="12"/>
        <v>0</v>
      </c>
      <c r="P102" s="524"/>
      <c r="Q102" s="524"/>
      <c r="R102" s="797"/>
    </row>
    <row r="103" spans="1:18" s="18" customFormat="1" ht="14.25" customHeight="1">
      <c r="A103" s="286"/>
      <c r="B103" s="143"/>
      <c r="C103" s="26"/>
      <c r="D103" s="111"/>
      <c r="E103" s="111"/>
      <c r="F103" s="111"/>
      <c r="G103" s="111"/>
      <c r="H103" s="112"/>
      <c r="I103" s="112"/>
      <c r="J103" s="112"/>
      <c r="K103" s="113"/>
      <c r="L103" s="114"/>
      <c r="M103" s="114"/>
      <c r="N103" s="524"/>
      <c r="O103" s="530">
        <f t="shared" si="12"/>
        <v>0</v>
      </c>
      <c r="P103" s="524"/>
      <c r="Q103" s="524"/>
      <c r="R103" s="797"/>
    </row>
    <row r="104" spans="1:18" s="18" customFormat="1" ht="14.25" customHeight="1">
      <c r="A104" s="31"/>
      <c r="B104" s="127" t="s">
        <v>506</v>
      </c>
      <c r="C104" s="26"/>
      <c r="D104" s="111"/>
      <c r="E104" s="111"/>
      <c r="F104" s="111"/>
      <c r="G104" s="111"/>
      <c r="H104" s="112"/>
      <c r="I104" s="112"/>
      <c r="J104" s="112"/>
      <c r="K104" s="113"/>
      <c r="L104" s="114"/>
      <c r="M104" s="114"/>
      <c r="N104" s="524"/>
      <c r="O104" s="530">
        <f t="shared" si="12"/>
        <v>0</v>
      </c>
      <c r="P104" s="524"/>
      <c r="Q104" s="524"/>
      <c r="R104" s="797"/>
    </row>
    <row r="105" spans="2:15" ht="14.25" customHeight="1">
      <c r="B105" s="157"/>
      <c r="C105" s="157"/>
      <c r="D105" s="157"/>
      <c r="E105" s="211" t="s">
        <v>616</v>
      </c>
      <c r="F105" s="211" t="s">
        <v>216</v>
      </c>
      <c r="G105" s="211" t="s">
        <v>464</v>
      </c>
      <c r="H105" s="212" t="s">
        <v>572</v>
      </c>
      <c r="I105" s="212" t="s">
        <v>881</v>
      </c>
      <c r="J105" s="212" t="s">
        <v>218</v>
      </c>
      <c r="K105" s="213" t="s">
        <v>465</v>
      </c>
      <c r="L105" s="212" t="s">
        <v>576</v>
      </c>
      <c r="M105" s="100"/>
      <c r="N105" s="532"/>
      <c r="O105" s="530">
        <f t="shared" si="12"/>
        <v>0</v>
      </c>
    </row>
    <row r="106" spans="1:15" ht="14.25" customHeight="1">
      <c r="A106" s="476"/>
      <c r="B106" s="101"/>
      <c r="C106" s="102"/>
      <c r="D106" s="101"/>
      <c r="E106" s="214"/>
      <c r="F106" s="215" t="s">
        <v>219</v>
      </c>
      <c r="G106" s="215" t="s">
        <v>466</v>
      </c>
      <c r="H106" s="216" t="s">
        <v>573</v>
      </c>
      <c r="I106" s="216" t="s">
        <v>473</v>
      </c>
      <c r="J106" s="216" t="s">
        <v>574</v>
      </c>
      <c r="K106" s="217" t="s">
        <v>467</v>
      </c>
      <c r="L106" s="216" t="s">
        <v>473</v>
      </c>
      <c r="M106" s="103"/>
      <c r="N106" s="532"/>
      <c r="O106" s="530">
        <f t="shared" si="12"/>
        <v>0</v>
      </c>
    </row>
    <row r="107" spans="1:15" ht="14.25" customHeight="1">
      <c r="A107" s="476"/>
      <c r="B107" s="101"/>
      <c r="C107" s="101"/>
      <c r="D107" s="101"/>
      <c r="E107" s="218"/>
      <c r="F107" s="218"/>
      <c r="G107" s="219" t="s">
        <v>468</v>
      </c>
      <c r="H107" s="220">
        <v>2006</v>
      </c>
      <c r="I107" s="220">
        <v>2006</v>
      </c>
      <c r="J107" s="220" t="s">
        <v>573</v>
      </c>
      <c r="K107" s="221">
        <v>2006</v>
      </c>
      <c r="L107" s="220">
        <v>2006</v>
      </c>
      <c r="M107" s="104"/>
      <c r="N107" s="533"/>
      <c r="O107" s="530">
        <f t="shared" si="12"/>
        <v>0</v>
      </c>
    </row>
    <row r="108" spans="1:18" ht="14.25" customHeight="1">
      <c r="A108" s="475">
        <f>L99*100+1</f>
        <v>1501</v>
      </c>
      <c r="B108" s="152" t="s">
        <v>331</v>
      </c>
      <c r="C108" s="160"/>
      <c r="D108" s="153" t="s">
        <v>222</v>
      </c>
      <c r="E108" s="161" t="s">
        <v>623</v>
      </c>
      <c r="F108" s="154">
        <f>functies!$H$17</f>
        <v>0</v>
      </c>
      <c r="G108" s="158" t="str">
        <f aca="true" t="shared" si="13" ref="G108:G118">$F$10</f>
        <v>ja</v>
      </c>
      <c r="H108" s="155"/>
      <c r="I108" s="155"/>
      <c r="J108" s="276">
        <f aca="true" t="shared" si="14" ref="J108:J118">I108-H108</f>
        <v>0</v>
      </c>
      <c r="K108" s="156"/>
      <c r="L108" s="276">
        <f aca="true" t="shared" si="15" ref="L108:L118">K108*I108</f>
        <v>0</v>
      </c>
      <c r="M108" s="105"/>
      <c r="N108" s="534">
        <v>22</v>
      </c>
      <c r="O108" s="530">
        <f aca="true" t="shared" si="16" ref="O108:O118">IF(G108="nee",ROUND(N108*(1-P108),1),N108)</f>
        <v>22</v>
      </c>
      <c r="P108" s="530">
        <v>0.1099</v>
      </c>
      <c r="R108" s="541">
        <f aca="true" t="shared" si="17" ref="R108:R118">H108*K108</f>
        <v>0</v>
      </c>
    </row>
    <row r="109" spans="1:18" ht="14.25" customHeight="1">
      <c r="A109" s="47">
        <f aca="true" t="shared" si="18" ref="A109:A119">A108+1</f>
        <v>1502</v>
      </c>
      <c r="B109" s="152" t="s">
        <v>332</v>
      </c>
      <c r="C109" s="152"/>
      <c r="D109" s="153" t="s">
        <v>223</v>
      </c>
      <c r="E109" s="161" t="s">
        <v>623</v>
      </c>
      <c r="F109" s="154">
        <f>functies!$H$17</f>
        <v>0</v>
      </c>
      <c r="G109" s="158" t="str">
        <f t="shared" si="13"/>
        <v>ja</v>
      </c>
      <c r="H109" s="155"/>
      <c r="I109" s="155"/>
      <c r="J109" s="276">
        <f t="shared" si="14"/>
        <v>0</v>
      </c>
      <c r="K109" s="156"/>
      <c r="L109" s="276">
        <f t="shared" si="15"/>
        <v>0</v>
      </c>
      <c r="M109" s="105"/>
      <c r="N109" s="534">
        <v>211</v>
      </c>
      <c r="O109" s="530">
        <f t="shared" si="16"/>
        <v>211</v>
      </c>
      <c r="P109" s="530">
        <v>0.1048</v>
      </c>
      <c r="R109" s="541">
        <f t="shared" si="17"/>
        <v>0</v>
      </c>
    </row>
    <row r="110" spans="1:18" ht="14.25" customHeight="1">
      <c r="A110" s="47">
        <f t="shared" si="18"/>
        <v>1503</v>
      </c>
      <c r="B110" s="152" t="s">
        <v>333</v>
      </c>
      <c r="C110" s="152"/>
      <c r="D110" s="153" t="s">
        <v>224</v>
      </c>
      <c r="E110" s="161" t="s">
        <v>623</v>
      </c>
      <c r="F110" s="154">
        <f>functies!$H$17</f>
        <v>0</v>
      </c>
      <c r="G110" s="158" t="str">
        <f t="shared" si="13"/>
        <v>ja</v>
      </c>
      <c r="H110" s="155"/>
      <c r="I110" s="155"/>
      <c r="J110" s="276">
        <f t="shared" si="14"/>
        <v>0</v>
      </c>
      <c r="K110" s="156"/>
      <c r="L110" s="276">
        <f t="shared" si="15"/>
        <v>0</v>
      </c>
      <c r="M110" s="105"/>
      <c r="N110" s="534">
        <v>438</v>
      </c>
      <c r="O110" s="530">
        <f t="shared" si="16"/>
        <v>438</v>
      </c>
      <c r="P110" s="530">
        <v>0.1074</v>
      </c>
      <c r="R110" s="541">
        <f t="shared" si="17"/>
        <v>0</v>
      </c>
    </row>
    <row r="111" spans="1:18" ht="14.25" customHeight="1">
      <c r="A111" s="47">
        <f t="shared" si="18"/>
        <v>1504</v>
      </c>
      <c r="B111" s="152" t="s">
        <v>334</v>
      </c>
      <c r="C111" s="152"/>
      <c r="D111" s="153" t="s">
        <v>225</v>
      </c>
      <c r="E111" s="161" t="s">
        <v>623</v>
      </c>
      <c r="F111" s="154">
        <f>functies!$H$17</f>
        <v>0</v>
      </c>
      <c r="G111" s="158" t="str">
        <f t="shared" si="13"/>
        <v>ja</v>
      </c>
      <c r="H111" s="155"/>
      <c r="I111" s="155"/>
      <c r="J111" s="276">
        <f t="shared" si="14"/>
        <v>0</v>
      </c>
      <c r="K111" s="156"/>
      <c r="L111" s="276">
        <f t="shared" si="15"/>
        <v>0</v>
      </c>
      <c r="M111" s="105"/>
      <c r="N111" s="534">
        <v>107</v>
      </c>
      <c r="O111" s="530">
        <f t="shared" si="16"/>
        <v>107</v>
      </c>
      <c r="P111" s="530">
        <v>0.0998</v>
      </c>
      <c r="R111" s="541">
        <f t="shared" si="17"/>
        <v>0</v>
      </c>
    </row>
    <row r="112" spans="1:18" ht="14.25" customHeight="1">
      <c r="A112" s="47">
        <f t="shared" si="18"/>
        <v>1505</v>
      </c>
      <c r="B112" s="152" t="s">
        <v>335</v>
      </c>
      <c r="C112" s="152"/>
      <c r="D112" s="153" t="s">
        <v>226</v>
      </c>
      <c r="E112" s="161" t="s">
        <v>35</v>
      </c>
      <c r="F112" s="154">
        <f>functies!$H$17</f>
        <v>0</v>
      </c>
      <c r="G112" s="158" t="str">
        <f t="shared" si="13"/>
        <v>ja</v>
      </c>
      <c r="H112" s="155"/>
      <c r="I112" s="155"/>
      <c r="J112" s="276">
        <f t="shared" si="14"/>
        <v>0</v>
      </c>
      <c r="K112" s="156"/>
      <c r="L112" s="276">
        <f t="shared" si="15"/>
        <v>0</v>
      </c>
      <c r="M112" s="105"/>
      <c r="N112" s="534">
        <v>72</v>
      </c>
      <c r="O112" s="530">
        <f t="shared" si="16"/>
        <v>72</v>
      </c>
      <c r="P112" s="530">
        <v>0.0948</v>
      </c>
      <c r="R112" s="541">
        <f t="shared" si="17"/>
        <v>0</v>
      </c>
    </row>
    <row r="113" spans="1:18" ht="14.25" customHeight="1">
      <c r="A113" s="47">
        <f t="shared" si="18"/>
        <v>1506</v>
      </c>
      <c r="B113" s="152" t="s">
        <v>336</v>
      </c>
      <c r="C113" s="152"/>
      <c r="D113" s="153" t="s">
        <v>231</v>
      </c>
      <c r="E113" s="161" t="s">
        <v>623</v>
      </c>
      <c r="F113" s="154">
        <f>functies!$H$17</f>
        <v>0</v>
      </c>
      <c r="G113" s="158" t="str">
        <f t="shared" si="13"/>
        <v>ja</v>
      </c>
      <c r="H113" s="155"/>
      <c r="I113" s="155"/>
      <c r="J113" s="276">
        <f t="shared" si="14"/>
        <v>0</v>
      </c>
      <c r="K113" s="156"/>
      <c r="L113" s="276">
        <f t="shared" si="15"/>
        <v>0</v>
      </c>
      <c r="M113" s="105"/>
      <c r="N113" s="534">
        <v>90</v>
      </c>
      <c r="O113" s="530">
        <f t="shared" si="16"/>
        <v>90</v>
      </c>
      <c r="P113" s="530">
        <v>0.0979</v>
      </c>
      <c r="R113" s="541">
        <f t="shared" si="17"/>
        <v>0</v>
      </c>
    </row>
    <row r="114" spans="1:18" ht="14.25" customHeight="1">
      <c r="A114" s="47">
        <f t="shared" si="18"/>
        <v>1507</v>
      </c>
      <c r="B114" s="152" t="s">
        <v>507</v>
      </c>
      <c r="C114" s="152"/>
      <c r="D114" s="153" t="s">
        <v>508</v>
      </c>
      <c r="E114" s="161" t="s">
        <v>623</v>
      </c>
      <c r="F114" s="154">
        <f>functies!$H$17</f>
        <v>0</v>
      </c>
      <c r="G114" s="158" t="str">
        <f t="shared" si="13"/>
        <v>ja</v>
      </c>
      <c r="H114" s="155"/>
      <c r="I114" s="155"/>
      <c r="J114" s="276">
        <f t="shared" si="14"/>
        <v>0</v>
      </c>
      <c r="K114" s="156"/>
      <c r="L114" s="276">
        <f t="shared" si="15"/>
        <v>0</v>
      </c>
      <c r="M114" s="105"/>
      <c r="N114" s="534">
        <v>50</v>
      </c>
      <c r="O114" s="530">
        <f t="shared" si="16"/>
        <v>50</v>
      </c>
      <c r="P114" s="530">
        <v>0.0891</v>
      </c>
      <c r="R114" s="541">
        <f t="shared" si="17"/>
        <v>0</v>
      </c>
    </row>
    <row r="115" spans="1:18" ht="14.25" customHeight="1">
      <c r="A115" s="47">
        <f t="shared" si="18"/>
        <v>1508</v>
      </c>
      <c r="B115" s="152" t="s">
        <v>337</v>
      </c>
      <c r="C115" s="152"/>
      <c r="D115" s="153" t="s">
        <v>299</v>
      </c>
      <c r="E115" s="161" t="s">
        <v>35</v>
      </c>
      <c r="F115" s="154">
        <f>functies!$H$17</f>
        <v>0</v>
      </c>
      <c r="G115" s="158" t="str">
        <f t="shared" si="13"/>
        <v>ja</v>
      </c>
      <c r="H115" s="155"/>
      <c r="I115" s="155"/>
      <c r="J115" s="276">
        <f t="shared" si="14"/>
        <v>0</v>
      </c>
      <c r="K115" s="156"/>
      <c r="L115" s="276">
        <f t="shared" si="15"/>
        <v>0</v>
      </c>
      <c r="M115" s="105"/>
      <c r="N115" s="534">
        <v>62</v>
      </c>
      <c r="O115" s="530">
        <f t="shared" si="16"/>
        <v>62</v>
      </c>
      <c r="P115" s="530">
        <v>0.0925</v>
      </c>
      <c r="R115" s="541">
        <f t="shared" si="17"/>
        <v>0</v>
      </c>
    </row>
    <row r="116" spans="1:18" ht="14.25" customHeight="1">
      <c r="A116" s="47">
        <f t="shared" si="18"/>
        <v>1509</v>
      </c>
      <c r="B116" s="152" t="s">
        <v>338</v>
      </c>
      <c r="C116" s="152"/>
      <c r="D116" s="153" t="s">
        <v>509</v>
      </c>
      <c r="E116" s="161" t="s">
        <v>623</v>
      </c>
      <c r="F116" s="154">
        <f>functies!$H$17</f>
        <v>0</v>
      </c>
      <c r="G116" s="158" t="str">
        <f t="shared" si="13"/>
        <v>ja</v>
      </c>
      <c r="H116" s="155"/>
      <c r="I116" s="155"/>
      <c r="J116" s="276">
        <f t="shared" si="14"/>
        <v>0</v>
      </c>
      <c r="K116" s="156"/>
      <c r="L116" s="276">
        <f t="shared" si="15"/>
        <v>0</v>
      </c>
      <c r="M116" s="105"/>
      <c r="N116" s="534">
        <v>218</v>
      </c>
      <c r="O116" s="530">
        <f t="shared" si="16"/>
        <v>218</v>
      </c>
      <c r="P116" s="530">
        <v>0.1049</v>
      </c>
      <c r="R116" s="541">
        <f t="shared" si="17"/>
        <v>0</v>
      </c>
    </row>
    <row r="117" spans="1:18" ht="14.25" customHeight="1">
      <c r="A117" s="47">
        <f t="shared" si="18"/>
        <v>1510</v>
      </c>
      <c r="B117" s="152" t="s">
        <v>339</v>
      </c>
      <c r="C117" s="152"/>
      <c r="D117" s="153" t="s">
        <v>510</v>
      </c>
      <c r="E117" s="161" t="s">
        <v>623</v>
      </c>
      <c r="F117" s="154">
        <f>functies!$H$17</f>
        <v>0</v>
      </c>
      <c r="G117" s="158" t="str">
        <f t="shared" si="13"/>
        <v>ja</v>
      </c>
      <c r="H117" s="155"/>
      <c r="I117" s="155"/>
      <c r="J117" s="276">
        <f t="shared" si="14"/>
        <v>0</v>
      </c>
      <c r="K117" s="156"/>
      <c r="L117" s="276">
        <f t="shared" si="15"/>
        <v>0</v>
      </c>
      <c r="M117" s="105"/>
      <c r="N117" s="534">
        <v>817</v>
      </c>
      <c r="O117" s="530">
        <f t="shared" si="16"/>
        <v>817</v>
      </c>
      <c r="P117" s="530">
        <v>0.1088</v>
      </c>
      <c r="R117" s="541">
        <f t="shared" si="17"/>
        <v>0</v>
      </c>
    </row>
    <row r="118" spans="1:18" ht="14.25" customHeight="1">
      <c r="A118" s="47">
        <f t="shared" si="18"/>
        <v>1511</v>
      </c>
      <c r="B118" s="152" t="s">
        <v>340</v>
      </c>
      <c r="C118" s="152"/>
      <c r="D118" s="153" t="s">
        <v>232</v>
      </c>
      <c r="E118" s="188" t="s">
        <v>623</v>
      </c>
      <c r="F118" s="154">
        <f>functies!$H$17</f>
        <v>0</v>
      </c>
      <c r="G118" s="158" t="str">
        <f t="shared" si="13"/>
        <v>ja</v>
      </c>
      <c r="H118" s="178"/>
      <c r="I118" s="178"/>
      <c r="J118" s="277">
        <f t="shared" si="14"/>
        <v>0</v>
      </c>
      <c r="K118" s="179"/>
      <c r="L118" s="277">
        <f t="shared" si="15"/>
        <v>0</v>
      </c>
      <c r="M118" s="105"/>
      <c r="N118" s="534">
        <v>34</v>
      </c>
      <c r="O118" s="530">
        <f t="shared" si="16"/>
        <v>34</v>
      </c>
      <c r="P118" s="530">
        <v>0.0883</v>
      </c>
      <c r="R118" s="541">
        <f t="shared" si="17"/>
        <v>0</v>
      </c>
    </row>
    <row r="119" spans="1:18" ht="14.25" customHeight="1">
      <c r="A119" s="47">
        <f t="shared" si="18"/>
        <v>1512</v>
      </c>
      <c r="B119" s="180"/>
      <c r="C119" s="168"/>
      <c r="D119" s="169" t="s">
        <v>217</v>
      </c>
      <c r="E119" s="169"/>
      <c r="F119" s="169"/>
      <c r="G119" s="169"/>
      <c r="H119" s="171"/>
      <c r="I119" s="171"/>
      <c r="J119" s="171"/>
      <c r="K119" s="189"/>
      <c r="L119" s="166">
        <f>SUM(L108:L118)</f>
        <v>0</v>
      </c>
      <c r="M119" s="141"/>
      <c r="N119" s="535"/>
      <c r="O119" s="530">
        <f>IF(G119="ja",N119*0.95,N119)</f>
        <v>0</v>
      </c>
      <c r="R119" s="166">
        <f>SUM(R108:R118)</f>
        <v>0</v>
      </c>
    </row>
    <row r="120" spans="1:13" ht="14.25" customHeight="1">
      <c r="A120" s="476"/>
      <c r="B120" s="136"/>
      <c r="C120" s="130"/>
      <c r="D120" s="136"/>
      <c r="E120" s="136"/>
      <c r="F120" s="136"/>
      <c r="G120" s="136"/>
      <c r="H120" s="141"/>
      <c r="I120" s="141"/>
      <c r="J120" s="141"/>
      <c r="K120" s="142"/>
      <c r="L120" s="141"/>
      <c r="M120" s="141"/>
    </row>
    <row r="121" spans="1:15" ht="14.25" customHeight="1">
      <c r="A121" s="31"/>
      <c r="B121" s="127" t="s">
        <v>511</v>
      </c>
      <c r="D121" s="132"/>
      <c r="E121" s="132"/>
      <c r="F121" s="132"/>
      <c r="G121" s="132"/>
      <c r="H121" s="133"/>
      <c r="I121" s="133"/>
      <c r="J121" s="133"/>
      <c r="K121" s="138"/>
      <c r="L121" s="128"/>
      <c r="M121" s="128"/>
      <c r="O121" s="530">
        <f>IF(G121="ja",N121*0.95,N121)</f>
        <v>0</v>
      </c>
    </row>
    <row r="122" spans="1:18" ht="14.25" customHeight="1">
      <c r="A122" s="475">
        <f>+A119+1</f>
        <v>1513</v>
      </c>
      <c r="B122" s="152" t="s">
        <v>341</v>
      </c>
      <c r="C122" s="160"/>
      <c r="D122" s="153" t="s">
        <v>222</v>
      </c>
      <c r="E122" s="161" t="s">
        <v>623</v>
      </c>
      <c r="F122" s="154">
        <f>functies!$H$17</f>
        <v>0</v>
      </c>
      <c r="G122" s="158" t="str">
        <f aca="true" t="shared" si="19" ref="G122:G132">$F$10</f>
        <v>ja</v>
      </c>
      <c r="H122" s="155"/>
      <c r="I122" s="155"/>
      <c r="J122" s="276">
        <f aca="true" t="shared" si="20" ref="J122:J132">I122-H122</f>
        <v>0</v>
      </c>
      <c r="K122" s="156"/>
      <c r="L122" s="276">
        <f aca="true" t="shared" si="21" ref="L122:L132">K122*I122</f>
        <v>0</v>
      </c>
      <c r="M122" s="105"/>
      <c r="N122" s="534">
        <v>22</v>
      </c>
      <c r="O122" s="530">
        <f aca="true" t="shared" si="22" ref="O122:O132">IF(G122="nee",ROUND(N122*(1-P122),1),N122)</f>
        <v>22</v>
      </c>
      <c r="P122" s="530">
        <v>0.1099</v>
      </c>
      <c r="R122" s="541">
        <f aca="true" t="shared" si="23" ref="R122:R132">H122*K122</f>
        <v>0</v>
      </c>
    </row>
    <row r="123" spans="1:18" ht="14.25" customHeight="1">
      <c r="A123" s="47">
        <f aca="true" t="shared" si="24" ref="A123:A133">A122+1</f>
        <v>1514</v>
      </c>
      <c r="B123" s="152" t="s">
        <v>342</v>
      </c>
      <c r="C123" s="152"/>
      <c r="D123" s="153" t="s">
        <v>223</v>
      </c>
      <c r="E123" s="161" t="s">
        <v>623</v>
      </c>
      <c r="F123" s="154">
        <f>functies!$H$17</f>
        <v>0</v>
      </c>
      <c r="G123" s="158" t="str">
        <f t="shared" si="19"/>
        <v>ja</v>
      </c>
      <c r="H123" s="155"/>
      <c r="I123" s="155"/>
      <c r="J123" s="276">
        <f t="shared" si="20"/>
        <v>0</v>
      </c>
      <c r="K123" s="156"/>
      <c r="L123" s="276">
        <f t="shared" si="21"/>
        <v>0</v>
      </c>
      <c r="M123" s="105"/>
      <c r="N123" s="534">
        <v>211</v>
      </c>
      <c r="O123" s="530">
        <f t="shared" si="22"/>
        <v>211</v>
      </c>
      <c r="P123" s="530">
        <v>0.1048</v>
      </c>
      <c r="R123" s="541">
        <f t="shared" si="23"/>
        <v>0</v>
      </c>
    </row>
    <row r="124" spans="1:18" ht="14.25" customHeight="1">
      <c r="A124" s="47">
        <f t="shared" si="24"/>
        <v>1515</v>
      </c>
      <c r="B124" s="152" t="s">
        <v>343</v>
      </c>
      <c r="C124" s="152"/>
      <c r="D124" s="153" t="s">
        <v>224</v>
      </c>
      <c r="E124" s="161" t="s">
        <v>623</v>
      </c>
      <c r="F124" s="154">
        <f>functies!$H$17</f>
        <v>0</v>
      </c>
      <c r="G124" s="158" t="str">
        <f t="shared" si="19"/>
        <v>ja</v>
      </c>
      <c r="H124" s="155"/>
      <c r="I124" s="155"/>
      <c r="J124" s="276">
        <f t="shared" si="20"/>
        <v>0</v>
      </c>
      <c r="K124" s="156"/>
      <c r="L124" s="276">
        <f t="shared" si="21"/>
        <v>0</v>
      </c>
      <c r="M124" s="105"/>
      <c r="N124" s="534">
        <v>438</v>
      </c>
      <c r="O124" s="530">
        <f t="shared" si="22"/>
        <v>438</v>
      </c>
      <c r="P124" s="530">
        <v>0.1074</v>
      </c>
      <c r="R124" s="541">
        <f t="shared" si="23"/>
        <v>0</v>
      </c>
    </row>
    <row r="125" spans="1:18" ht="14.25" customHeight="1">
      <c r="A125" s="47">
        <f t="shared" si="24"/>
        <v>1516</v>
      </c>
      <c r="B125" s="152" t="s">
        <v>344</v>
      </c>
      <c r="C125" s="152"/>
      <c r="D125" s="153" t="s">
        <v>225</v>
      </c>
      <c r="E125" s="161" t="s">
        <v>623</v>
      </c>
      <c r="F125" s="154">
        <f>functies!$H$17</f>
        <v>0</v>
      </c>
      <c r="G125" s="158" t="str">
        <f t="shared" si="19"/>
        <v>ja</v>
      </c>
      <c r="H125" s="155"/>
      <c r="I125" s="155"/>
      <c r="J125" s="276">
        <f t="shared" si="20"/>
        <v>0</v>
      </c>
      <c r="K125" s="156"/>
      <c r="L125" s="276">
        <f t="shared" si="21"/>
        <v>0</v>
      </c>
      <c r="M125" s="105"/>
      <c r="N125" s="534">
        <v>107</v>
      </c>
      <c r="O125" s="530">
        <f t="shared" si="22"/>
        <v>107</v>
      </c>
      <c r="P125" s="530">
        <v>0.0998</v>
      </c>
      <c r="R125" s="541">
        <f t="shared" si="23"/>
        <v>0</v>
      </c>
    </row>
    <row r="126" spans="1:18" ht="14.25" customHeight="1">
      <c r="A126" s="47">
        <f t="shared" si="24"/>
        <v>1517</v>
      </c>
      <c r="B126" s="152" t="s">
        <v>345</v>
      </c>
      <c r="C126" s="152"/>
      <c r="D126" s="153" t="s">
        <v>226</v>
      </c>
      <c r="E126" s="161" t="s">
        <v>35</v>
      </c>
      <c r="F126" s="154">
        <f>functies!$H$17</f>
        <v>0</v>
      </c>
      <c r="G126" s="158" t="str">
        <f t="shared" si="19"/>
        <v>ja</v>
      </c>
      <c r="H126" s="155"/>
      <c r="I126" s="155"/>
      <c r="J126" s="276">
        <f t="shared" si="20"/>
        <v>0</v>
      </c>
      <c r="K126" s="156"/>
      <c r="L126" s="276">
        <f t="shared" si="21"/>
        <v>0</v>
      </c>
      <c r="M126" s="105"/>
      <c r="N126" s="534">
        <v>72</v>
      </c>
      <c r="O126" s="530">
        <f t="shared" si="22"/>
        <v>72</v>
      </c>
      <c r="P126" s="530">
        <v>0.0948</v>
      </c>
      <c r="R126" s="541">
        <f t="shared" si="23"/>
        <v>0</v>
      </c>
    </row>
    <row r="127" spans="1:18" ht="14.25" customHeight="1">
      <c r="A127" s="47">
        <f t="shared" si="24"/>
        <v>1518</v>
      </c>
      <c r="B127" s="152" t="s">
        <v>346</v>
      </c>
      <c r="C127" s="152"/>
      <c r="D127" s="153" t="s">
        <v>231</v>
      </c>
      <c r="E127" s="161" t="s">
        <v>623</v>
      </c>
      <c r="F127" s="154">
        <f>functies!$H$17</f>
        <v>0</v>
      </c>
      <c r="G127" s="158" t="str">
        <f t="shared" si="19"/>
        <v>ja</v>
      </c>
      <c r="H127" s="155"/>
      <c r="I127" s="155"/>
      <c r="J127" s="276">
        <f t="shared" si="20"/>
        <v>0</v>
      </c>
      <c r="K127" s="156"/>
      <c r="L127" s="276">
        <f t="shared" si="21"/>
        <v>0</v>
      </c>
      <c r="M127" s="105"/>
      <c r="N127" s="534">
        <v>90</v>
      </c>
      <c r="O127" s="530">
        <f t="shared" si="22"/>
        <v>90</v>
      </c>
      <c r="P127" s="530">
        <v>0.0979</v>
      </c>
      <c r="R127" s="541">
        <f t="shared" si="23"/>
        <v>0</v>
      </c>
    </row>
    <row r="128" spans="1:18" ht="14.25" customHeight="1">
      <c r="A128" s="47">
        <f t="shared" si="24"/>
        <v>1519</v>
      </c>
      <c r="B128" s="152" t="s">
        <v>512</v>
      </c>
      <c r="C128" s="152"/>
      <c r="D128" s="153" t="s">
        <v>508</v>
      </c>
      <c r="E128" s="161" t="s">
        <v>623</v>
      </c>
      <c r="F128" s="154">
        <f>functies!$H$17</f>
        <v>0</v>
      </c>
      <c r="G128" s="158" t="str">
        <f t="shared" si="19"/>
        <v>ja</v>
      </c>
      <c r="H128" s="155"/>
      <c r="I128" s="155"/>
      <c r="J128" s="276">
        <f t="shared" si="20"/>
        <v>0</v>
      </c>
      <c r="K128" s="156"/>
      <c r="L128" s="276">
        <f t="shared" si="21"/>
        <v>0</v>
      </c>
      <c r="M128" s="105"/>
      <c r="N128" s="534">
        <v>50</v>
      </c>
      <c r="O128" s="530">
        <f t="shared" si="22"/>
        <v>50</v>
      </c>
      <c r="P128" s="530">
        <v>0.0891</v>
      </c>
      <c r="R128" s="541">
        <f t="shared" si="23"/>
        <v>0</v>
      </c>
    </row>
    <row r="129" spans="1:18" ht="14.25" customHeight="1">
      <c r="A129" s="47">
        <f t="shared" si="24"/>
        <v>1520</v>
      </c>
      <c r="B129" s="152" t="s">
        <v>347</v>
      </c>
      <c r="C129" s="152"/>
      <c r="D129" s="153" t="s">
        <v>299</v>
      </c>
      <c r="E129" s="161" t="s">
        <v>35</v>
      </c>
      <c r="F129" s="154">
        <f>functies!$H$17</f>
        <v>0</v>
      </c>
      <c r="G129" s="158" t="str">
        <f t="shared" si="19"/>
        <v>ja</v>
      </c>
      <c r="H129" s="155"/>
      <c r="I129" s="155"/>
      <c r="J129" s="276">
        <f t="shared" si="20"/>
        <v>0</v>
      </c>
      <c r="K129" s="156"/>
      <c r="L129" s="276">
        <f t="shared" si="21"/>
        <v>0</v>
      </c>
      <c r="M129" s="105"/>
      <c r="N129" s="534">
        <v>62</v>
      </c>
      <c r="O129" s="530">
        <f t="shared" si="22"/>
        <v>62</v>
      </c>
      <c r="P129" s="530">
        <v>0.0925</v>
      </c>
      <c r="R129" s="541">
        <f t="shared" si="23"/>
        <v>0</v>
      </c>
    </row>
    <row r="130" spans="1:18" ht="14.25" customHeight="1">
      <c r="A130" s="47">
        <f t="shared" si="24"/>
        <v>1521</v>
      </c>
      <c r="B130" s="152" t="s">
        <v>348</v>
      </c>
      <c r="C130" s="152"/>
      <c r="D130" s="153" t="s">
        <v>509</v>
      </c>
      <c r="E130" s="161" t="s">
        <v>623</v>
      </c>
      <c r="F130" s="154">
        <f>functies!$H$17</f>
        <v>0</v>
      </c>
      <c r="G130" s="158" t="str">
        <f t="shared" si="19"/>
        <v>ja</v>
      </c>
      <c r="H130" s="155"/>
      <c r="I130" s="155"/>
      <c r="J130" s="276">
        <f t="shared" si="20"/>
        <v>0</v>
      </c>
      <c r="K130" s="156"/>
      <c r="L130" s="276">
        <f t="shared" si="21"/>
        <v>0</v>
      </c>
      <c r="M130" s="105"/>
      <c r="N130" s="534">
        <v>218</v>
      </c>
      <c r="O130" s="530">
        <f t="shared" si="22"/>
        <v>218</v>
      </c>
      <c r="P130" s="530">
        <v>0.1049</v>
      </c>
      <c r="R130" s="541">
        <f t="shared" si="23"/>
        <v>0</v>
      </c>
    </row>
    <row r="131" spans="1:18" ht="14.25" customHeight="1">
      <c r="A131" s="47">
        <f t="shared" si="24"/>
        <v>1522</v>
      </c>
      <c r="B131" s="152" t="s">
        <v>349</v>
      </c>
      <c r="C131" s="152"/>
      <c r="D131" s="153" t="s">
        <v>510</v>
      </c>
      <c r="E131" s="161" t="s">
        <v>623</v>
      </c>
      <c r="F131" s="154">
        <f>functies!$H$17</f>
        <v>0</v>
      </c>
      <c r="G131" s="158" t="str">
        <f t="shared" si="19"/>
        <v>ja</v>
      </c>
      <c r="H131" s="155"/>
      <c r="I131" s="155"/>
      <c r="J131" s="276">
        <f t="shared" si="20"/>
        <v>0</v>
      </c>
      <c r="K131" s="156"/>
      <c r="L131" s="276">
        <f t="shared" si="21"/>
        <v>0</v>
      </c>
      <c r="M131" s="105"/>
      <c r="N131" s="534">
        <v>817</v>
      </c>
      <c r="O131" s="530">
        <f t="shared" si="22"/>
        <v>817</v>
      </c>
      <c r="P131" s="530">
        <v>0.1088</v>
      </c>
      <c r="R131" s="541">
        <f t="shared" si="23"/>
        <v>0</v>
      </c>
    </row>
    <row r="132" spans="1:18" ht="14.25" customHeight="1">
      <c r="A132" s="47">
        <f t="shared" si="24"/>
        <v>1523</v>
      </c>
      <c r="B132" s="174" t="s">
        <v>350</v>
      </c>
      <c r="C132" s="174"/>
      <c r="D132" s="175" t="s">
        <v>232</v>
      </c>
      <c r="E132" s="188" t="s">
        <v>623</v>
      </c>
      <c r="F132" s="154">
        <f>functies!$H$17</f>
        <v>0</v>
      </c>
      <c r="G132" s="158" t="str">
        <f t="shared" si="19"/>
        <v>ja</v>
      </c>
      <c r="H132" s="178"/>
      <c r="I132" s="178"/>
      <c r="J132" s="277">
        <f t="shared" si="20"/>
        <v>0</v>
      </c>
      <c r="K132" s="179"/>
      <c r="L132" s="277">
        <f t="shared" si="21"/>
        <v>0</v>
      </c>
      <c r="M132" s="105"/>
      <c r="N132" s="534">
        <v>34</v>
      </c>
      <c r="O132" s="530">
        <f t="shared" si="22"/>
        <v>34</v>
      </c>
      <c r="P132" s="530">
        <v>0.0883</v>
      </c>
      <c r="R132" s="541">
        <f t="shared" si="23"/>
        <v>0</v>
      </c>
    </row>
    <row r="133" spans="1:18" ht="14.25" customHeight="1">
      <c r="A133" s="47">
        <f t="shared" si="24"/>
        <v>1524</v>
      </c>
      <c r="B133" s="180"/>
      <c r="C133" s="168"/>
      <c r="D133" s="169" t="s">
        <v>217</v>
      </c>
      <c r="E133" s="169"/>
      <c r="F133" s="169"/>
      <c r="G133" s="169"/>
      <c r="H133" s="171"/>
      <c r="I133" s="171"/>
      <c r="J133" s="171"/>
      <c r="K133" s="172"/>
      <c r="L133" s="166">
        <f>SUM(L122:L132)</f>
        <v>0</v>
      </c>
      <c r="M133" s="141"/>
      <c r="N133" s="535"/>
      <c r="O133" s="530">
        <f>IF(G133="ja",N133*0.95,N133)</f>
        <v>0</v>
      </c>
      <c r="R133" s="166">
        <f>SUM(R122:R132)</f>
        <v>0</v>
      </c>
    </row>
    <row r="134" spans="1:15" ht="14.25" customHeight="1">
      <c r="A134" s="482"/>
      <c r="B134" s="136"/>
      <c r="C134" s="130"/>
      <c r="D134" s="136"/>
      <c r="E134" s="136"/>
      <c r="F134" s="136"/>
      <c r="G134" s="136"/>
      <c r="H134" s="141"/>
      <c r="I134" s="141"/>
      <c r="J134" s="141"/>
      <c r="K134" s="141"/>
      <c r="L134" s="141"/>
      <c r="M134" s="141"/>
      <c r="O134" s="530">
        <f>IF(G134="ja",N134*0.95,N134)</f>
        <v>0</v>
      </c>
    </row>
    <row r="135" spans="1:15" ht="14.25" customHeight="1">
      <c r="A135" s="484"/>
      <c r="B135" s="130"/>
      <c r="C135" s="136"/>
      <c r="D135" s="136"/>
      <c r="E135" s="136"/>
      <c r="F135" s="8"/>
      <c r="G135" s="8"/>
      <c r="K135" s="128"/>
      <c r="L135" s="128"/>
      <c r="M135" s="128"/>
      <c r="O135" s="530">
        <f>IF(G135="ja",N135*0.95,N135)</f>
        <v>0</v>
      </c>
    </row>
    <row r="136" spans="1:15" ht="14.25" customHeight="1">
      <c r="A136" s="485"/>
      <c r="B136" s="2"/>
      <c r="C136" s="2"/>
      <c r="D136" s="2"/>
      <c r="E136" s="2"/>
      <c r="F136" s="2"/>
      <c r="G136" s="2"/>
      <c r="H136" s="2"/>
      <c r="I136" s="2"/>
      <c r="J136" s="2"/>
      <c r="K136" s="108"/>
      <c r="L136" s="151"/>
      <c r="M136" s="128"/>
      <c r="O136" s="530">
        <f>IF(G136="ja",N136*0.95,N136)</f>
        <v>0</v>
      </c>
    </row>
    <row r="137" spans="1:22" s="3" customFormat="1" ht="14.25" customHeight="1">
      <c r="A137" s="478"/>
      <c r="N137" s="521"/>
      <c r="O137" s="542"/>
      <c r="P137" s="542"/>
      <c r="Q137" s="543"/>
      <c r="R137" s="542"/>
      <c r="S137" s="236"/>
      <c r="T137" s="236"/>
      <c r="U137" s="238"/>
      <c r="V137" s="239"/>
    </row>
    <row r="138" spans="1:19" s="108" customFormat="1" ht="14.25" customHeight="1">
      <c r="A138" s="479" t="str">
        <f>voorblad!$A$20</f>
        <v>Mutatieformulier regiokader gehandicaptenzorg 2006</v>
      </c>
      <c r="B138" s="1"/>
      <c r="C138" s="228"/>
      <c r="D138" s="255"/>
      <c r="E138" s="228"/>
      <c r="F138" s="228"/>
      <c r="G138" s="241" t="str">
        <f>"versie: "&amp;TEXT(voorblad!$L$25,"dd-mm-jjjj")</f>
        <v>versie: 11-09-2006</v>
      </c>
      <c r="H138" s="2"/>
      <c r="I138" s="243"/>
      <c r="J138" s="2"/>
      <c r="K138" s="244"/>
      <c r="L138" s="244">
        <f>L99+1</f>
        <v>16</v>
      </c>
      <c r="M138" s="245"/>
      <c r="N138" s="522"/>
      <c r="O138" s="544"/>
      <c r="P138" s="545"/>
      <c r="Q138" s="546"/>
      <c r="R138" s="109"/>
      <c r="S138" s="2"/>
    </row>
    <row r="139" spans="1:18" s="3" customFormat="1" ht="14.25" customHeight="1">
      <c r="A139" s="480"/>
      <c r="B139" s="232"/>
      <c r="C139" s="230" t="s">
        <v>601</v>
      </c>
      <c r="D139" s="257">
        <v>0</v>
      </c>
      <c r="E139" s="233"/>
      <c r="F139" s="233"/>
      <c r="G139" s="2"/>
      <c r="H139" s="234"/>
      <c r="I139" s="235"/>
      <c r="J139" s="2"/>
      <c r="K139" s="9"/>
      <c r="L139" s="2"/>
      <c r="M139" s="229"/>
      <c r="N139" s="523"/>
      <c r="O139" s="547"/>
      <c r="P139" s="547"/>
      <c r="Q139" s="521"/>
      <c r="R139" s="796"/>
    </row>
    <row r="140" spans="1:18" s="18" customFormat="1" ht="14.25" customHeight="1">
      <c r="A140" s="31"/>
      <c r="B140" s="127" t="s">
        <v>513</v>
      </c>
      <c r="C140" s="26"/>
      <c r="D140" s="111"/>
      <c r="E140" s="111"/>
      <c r="F140" s="111"/>
      <c r="G140" s="111"/>
      <c r="H140" s="112"/>
      <c r="I140" s="112"/>
      <c r="J140" s="112"/>
      <c r="K140" s="113"/>
      <c r="L140" s="114"/>
      <c r="M140" s="114"/>
      <c r="N140" s="524"/>
      <c r="O140" s="530">
        <f>IF(G140="ja",N140*0.95,N140)</f>
        <v>0</v>
      </c>
      <c r="P140" s="524"/>
      <c r="Q140" s="524"/>
      <c r="R140" s="797"/>
    </row>
    <row r="141" spans="2:15" ht="14.25" customHeight="1">
      <c r="B141" s="157"/>
      <c r="C141" s="157"/>
      <c r="D141" s="157"/>
      <c r="E141" s="211" t="s">
        <v>616</v>
      </c>
      <c r="F141" s="211" t="s">
        <v>216</v>
      </c>
      <c r="G141" s="211" t="s">
        <v>464</v>
      </c>
      <c r="H141" s="212" t="s">
        <v>572</v>
      </c>
      <c r="I141" s="212" t="s">
        <v>881</v>
      </c>
      <c r="J141" s="212" t="s">
        <v>218</v>
      </c>
      <c r="K141" s="213" t="s">
        <v>465</v>
      </c>
      <c r="L141" s="212" t="s">
        <v>576</v>
      </c>
      <c r="M141" s="100"/>
      <c r="O141" s="530">
        <f>IF(G141="ja",N141*0.95,N141)</f>
        <v>0</v>
      </c>
    </row>
    <row r="142" spans="1:15" ht="14.25" customHeight="1">
      <c r="A142" s="476"/>
      <c r="B142" s="101"/>
      <c r="C142" s="102"/>
      <c r="D142" s="101"/>
      <c r="E142" s="214"/>
      <c r="F142" s="215" t="s">
        <v>219</v>
      </c>
      <c r="G142" s="215" t="s">
        <v>466</v>
      </c>
      <c r="H142" s="216" t="s">
        <v>573</v>
      </c>
      <c r="I142" s="216" t="s">
        <v>473</v>
      </c>
      <c r="J142" s="216" t="s">
        <v>574</v>
      </c>
      <c r="K142" s="217" t="s">
        <v>467</v>
      </c>
      <c r="L142" s="216" t="s">
        <v>473</v>
      </c>
      <c r="M142" s="103"/>
      <c r="O142" s="530">
        <f>IF(G142="ja",N142*0.95,N142)</f>
        <v>0</v>
      </c>
    </row>
    <row r="143" spans="1:15" ht="14.25" customHeight="1">
      <c r="A143" s="476"/>
      <c r="B143" s="101"/>
      <c r="C143" s="101"/>
      <c r="D143" s="101"/>
      <c r="E143" s="218"/>
      <c r="F143" s="218"/>
      <c r="G143" s="219" t="s">
        <v>468</v>
      </c>
      <c r="H143" s="220">
        <v>2006</v>
      </c>
      <c r="I143" s="220">
        <v>2006</v>
      </c>
      <c r="J143" s="220" t="s">
        <v>573</v>
      </c>
      <c r="K143" s="221">
        <v>2006</v>
      </c>
      <c r="L143" s="220">
        <v>2006</v>
      </c>
      <c r="M143" s="104"/>
      <c r="O143" s="530">
        <f>IF(G143="ja",N143*0.95,N143)</f>
        <v>0</v>
      </c>
    </row>
    <row r="144" spans="1:18" ht="13.5" customHeight="1">
      <c r="A144" s="475">
        <f>L138*100+1</f>
        <v>1601</v>
      </c>
      <c r="B144" s="152" t="s">
        <v>351</v>
      </c>
      <c r="C144" s="160"/>
      <c r="D144" s="153" t="s">
        <v>222</v>
      </c>
      <c r="E144" s="161" t="s">
        <v>623</v>
      </c>
      <c r="F144" s="154">
        <f>functies!$H$17</f>
        <v>0</v>
      </c>
      <c r="G144" s="158" t="str">
        <f aca="true" t="shared" si="25" ref="G144:G154">$F$10</f>
        <v>ja</v>
      </c>
      <c r="H144" s="155"/>
      <c r="I144" s="155"/>
      <c r="J144" s="276">
        <f aca="true" t="shared" si="26" ref="J144:J154">I144-H144</f>
        <v>0</v>
      </c>
      <c r="K144" s="156"/>
      <c r="L144" s="276">
        <f aca="true" t="shared" si="27" ref="L144:L154">K144*I144</f>
        <v>0</v>
      </c>
      <c r="M144" s="105"/>
      <c r="N144" s="534">
        <v>22</v>
      </c>
      <c r="O144" s="530">
        <f aca="true" t="shared" si="28" ref="O144:O154">IF(G144="nee",ROUND(N144*(1-P144),1),N144)</f>
        <v>22</v>
      </c>
      <c r="P144" s="530">
        <v>0.1099</v>
      </c>
      <c r="R144" s="541">
        <f aca="true" t="shared" si="29" ref="R144:R154">H144*K144</f>
        <v>0</v>
      </c>
    </row>
    <row r="145" spans="1:18" ht="13.5" customHeight="1">
      <c r="A145" s="47">
        <f aca="true" t="shared" si="30" ref="A145:A155">A144+1</f>
        <v>1602</v>
      </c>
      <c r="B145" s="152" t="s">
        <v>352</v>
      </c>
      <c r="C145" s="152"/>
      <c r="D145" s="153" t="s">
        <v>223</v>
      </c>
      <c r="E145" s="161" t="s">
        <v>623</v>
      </c>
      <c r="F145" s="154">
        <f>functies!$H$17</f>
        <v>0</v>
      </c>
      <c r="G145" s="158" t="str">
        <f t="shared" si="25"/>
        <v>ja</v>
      </c>
      <c r="H145" s="155"/>
      <c r="I145" s="155"/>
      <c r="J145" s="276">
        <f t="shared" si="26"/>
        <v>0</v>
      </c>
      <c r="K145" s="156"/>
      <c r="L145" s="276">
        <f t="shared" si="27"/>
        <v>0</v>
      </c>
      <c r="M145" s="105"/>
      <c r="N145" s="534">
        <v>211</v>
      </c>
      <c r="O145" s="530">
        <f t="shared" si="28"/>
        <v>211</v>
      </c>
      <c r="P145" s="530">
        <v>0.1048</v>
      </c>
      <c r="R145" s="541">
        <f t="shared" si="29"/>
        <v>0</v>
      </c>
    </row>
    <row r="146" spans="1:18" ht="13.5" customHeight="1">
      <c r="A146" s="47">
        <f t="shared" si="30"/>
        <v>1603</v>
      </c>
      <c r="B146" s="152" t="s">
        <v>353</v>
      </c>
      <c r="C146" s="152"/>
      <c r="D146" s="153" t="s">
        <v>224</v>
      </c>
      <c r="E146" s="161" t="s">
        <v>623</v>
      </c>
      <c r="F146" s="154">
        <f>functies!$H$17</f>
        <v>0</v>
      </c>
      <c r="G146" s="158" t="str">
        <f t="shared" si="25"/>
        <v>ja</v>
      </c>
      <c r="H146" s="155"/>
      <c r="I146" s="155"/>
      <c r="J146" s="276">
        <f t="shared" si="26"/>
        <v>0</v>
      </c>
      <c r="K146" s="156"/>
      <c r="L146" s="276">
        <f t="shared" si="27"/>
        <v>0</v>
      </c>
      <c r="M146" s="105"/>
      <c r="N146" s="534">
        <v>438</v>
      </c>
      <c r="O146" s="530">
        <f t="shared" si="28"/>
        <v>438</v>
      </c>
      <c r="P146" s="530">
        <v>0.1074</v>
      </c>
      <c r="R146" s="541">
        <f t="shared" si="29"/>
        <v>0</v>
      </c>
    </row>
    <row r="147" spans="1:18" ht="13.5" customHeight="1">
      <c r="A147" s="47">
        <f t="shared" si="30"/>
        <v>1604</v>
      </c>
      <c r="B147" s="152" t="s">
        <v>354</v>
      </c>
      <c r="C147" s="152"/>
      <c r="D147" s="153" t="s">
        <v>225</v>
      </c>
      <c r="E147" s="161" t="s">
        <v>623</v>
      </c>
      <c r="F147" s="154">
        <f>functies!$H$17</f>
        <v>0</v>
      </c>
      <c r="G147" s="158" t="str">
        <f t="shared" si="25"/>
        <v>ja</v>
      </c>
      <c r="H147" s="155"/>
      <c r="I147" s="155"/>
      <c r="J147" s="276">
        <f t="shared" si="26"/>
        <v>0</v>
      </c>
      <c r="K147" s="156"/>
      <c r="L147" s="276">
        <f t="shared" si="27"/>
        <v>0</v>
      </c>
      <c r="M147" s="105"/>
      <c r="N147" s="534">
        <v>107</v>
      </c>
      <c r="O147" s="530">
        <f t="shared" si="28"/>
        <v>107</v>
      </c>
      <c r="P147" s="530">
        <v>0.0998</v>
      </c>
      <c r="R147" s="541">
        <f t="shared" si="29"/>
        <v>0</v>
      </c>
    </row>
    <row r="148" spans="1:18" ht="13.5" customHeight="1">
      <c r="A148" s="47">
        <f t="shared" si="30"/>
        <v>1605</v>
      </c>
      <c r="B148" s="152" t="s">
        <v>355</v>
      </c>
      <c r="C148" s="152"/>
      <c r="D148" s="153" t="s">
        <v>226</v>
      </c>
      <c r="E148" s="161" t="s">
        <v>35</v>
      </c>
      <c r="F148" s="154">
        <f>functies!$H$17</f>
        <v>0</v>
      </c>
      <c r="G148" s="158" t="str">
        <f t="shared" si="25"/>
        <v>ja</v>
      </c>
      <c r="H148" s="155"/>
      <c r="I148" s="155"/>
      <c r="J148" s="276">
        <f t="shared" si="26"/>
        <v>0</v>
      </c>
      <c r="K148" s="156"/>
      <c r="L148" s="276">
        <f t="shared" si="27"/>
        <v>0</v>
      </c>
      <c r="M148" s="105"/>
      <c r="N148" s="534">
        <v>72</v>
      </c>
      <c r="O148" s="530">
        <f t="shared" si="28"/>
        <v>72</v>
      </c>
      <c r="P148" s="530">
        <v>0.0948</v>
      </c>
      <c r="R148" s="541">
        <f t="shared" si="29"/>
        <v>0</v>
      </c>
    </row>
    <row r="149" spans="1:18" ht="13.5" customHeight="1">
      <c r="A149" s="47">
        <f t="shared" si="30"/>
        <v>1606</v>
      </c>
      <c r="B149" s="152" t="s">
        <v>356</v>
      </c>
      <c r="C149" s="152"/>
      <c r="D149" s="153" t="s">
        <v>231</v>
      </c>
      <c r="E149" s="161" t="s">
        <v>623</v>
      </c>
      <c r="F149" s="154">
        <f>functies!$H$17</f>
        <v>0</v>
      </c>
      <c r="G149" s="158" t="str">
        <f t="shared" si="25"/>
        <v>ja</v>
      </c>
      <c r="H149" s="155"/>
      <c r="I149" s="155"/>
      <c r="J149" s="276">
        <f t="shared" si="26"/>
        <v>0</v>
      </c>
      <c r="K149" s="156"/>
      <c r="L149" s="276">
        <f t="shared" si="27"/>
        <v>0</v>
      </c>
      <c r="M149" s="105"/>
      <c r="N149" s="534">
        <v>90</v>
      </c>
      <c r="O149" s="530">
        <f t="shared" si="28"/>
        <v>90</v>
      </c>
      <c r="P149" s="530">
        <v>0.0979</v>
      </c>
      <c r="R149" s="541">
        <f t="shared" si="29"/>
        <v>0</v>
      </c>
    </row>
    <row r="150" spans="1:18" ht="13.5" customHeight="1">
      <c r="A150" s="47">
        <f t="shared" si="30"/>
        <v>1607</v>
      </c>
      <c r="B150" s="152" t="s">
        <v>431</v>
      </c>
      <c r="C150" s="152"/>
      <c r="D150" s="153" t="s">
        <v>508</v>
      </c>
      <c r="E150" s="161" t="s">
        <v>623</v>
      </c>
      <c r="F150" s="154">
        <f>functies!$H$17</f>
        <v>0</v>
      </c>
      <c r="G150" s="158" t="str">
        <f t="shared" si="25"/>
        <v>ja</v>
      </c>
      <c r="H150" s="155"/>
      <c r="I150" s="155"/>
      <c r="J150" s="276">
        <f t="shared" si="26"/>
        <v>0</v>
      </c>
      <c r="K150" s="156"/>
      <c r="L150" s="276">
        <f t="shared" si="27"/>
        <v>0</v>
      </c>
      <c r="M150" s="105"/>
      <c r="N150" s="534">
        <v>50</v>
      </c>
      <c r="O150" s="530">
        <f t="shared" si="28"/>
        <v>50</v>
      </c>
      <c r="P150" s="530">
        <v>0.0891</v>
      </c>
      <c r="R150" s="541">
        <f t="shared" si="29"/>
        <v>0</v>
      </c>
    </row>
    <row r="151" spans="1:18" ht="13.5" customHeight="1">
      <c r="A151" s="47">
        <f t="shared" si="30"/>
        <v>1608</v>
      </c>
      <c r="B151" s="152" t="s">
        <v>357</v>
      </c>
      <c r="C151" s="152"/>
      <c r="D151" s="153" t="s">
        <v>299</v>
      </c>
      <c r="E151" s="161" t="s">
        <v>35</v>
      </c>
      <c r="F151" s="154">
        <f>functies!$H$17</f>
        <v>0</v>
      </c>
      <c r="G151" s="158" t="str">
        <f t="shared" si="25"/>
        <v>ja</v>
      </c>
      <c r="H151" s="155"/>
      <c r="I151" s="155"/>
      <c r="J151" s="276">
        <f t="shared" si="26"/>
        <v>0</v>
      </c>
      <c r="K151" s="156"/>
      <c r="L151" s="276">
        <f t="shared" si="27"/>
        <v>0</v>
      </c>
      <c r="M151" s="105"/>
      <c r="N151" s="534">
        <v>62</v>
      </c>
      <c r="O151" s="530">
        <f t="shared" si="28"/>
        <v>62</v>
      </c>
      <c r="P151" s="530">
        <v>0.0925</v>
      </c>
      <c r="R151" s="541">
        <f t="shared" si="29"/>
        <v>0</v>
      </c>
    </row>
    <row r="152" spans="1:18" ht="13.5" customHeight="1">
      <c r="A152" s="47">
        <f t="shared" si="30"/>
        <v>1609</v>
      </c>
      <c r="B152" s="152" t="s">
        <v>358</v>
      </c>
      <c r="C152" s="152"/>
      <c r="D152" s="153" t="s">
        <v>509</v>
      </c>
      <c r="E152" s="161" t="s">
        <v>623</v>
      </c>
      <c r="F152" s="154">
        <f>functies!$H$17</f>
        <v>0</v>
      </c>
      <c r="G152" s="158" t="str">
        <f t="shared" si="25"/>
        <v>ja</v>
      </c>
      <c r="H152" s="155"/>
      <c r="I152" s="155"/>
      <c r="J152" s="276">
        <f t="shared" si="26"/>
        <v>0</v>
      </c>
      <c r="K152" s="156"/>
      <c r="L152" s="276">
        <f t="shared" si="27"/>
        <v>0</v>
      </c>
      <c r="M152" s="105"/>
      <c r="N152" s="534">
        <v>218</v>
      </c>
      <c r="O152" s="530">
        <f t="shared" si="28"/>
        <v>218</v>
      </c>
      <c r="P152" s="530">
        <v>0.1049</v>
      </c>
      <c r="R152" s="541">
        <f t="shared" si="29"/>
        <v>0</v>
      </c>
    </row>
    <row r="153" spans="1:18" ht="13.5" customHeight="1">
      <c r="A153" s="47">
        <f t="shared" si="30"/>
        <v>1610</v>
      </c>
      <c r="B153" s="152" t="s">
        <v>359</v>
      </c>
      <c r="C153" s="152"/>
      <c r="D153" s="153" t="s">
        <v>510</v>
      </c>
      <c r="E153" s="161" t="s">
        <v>623</v>
      </c>
      <c r="F153" s="154">
        <f>functies!$H$17</f>
        <v>0</v>
      </c>
      <c r="G153" s="158" t="str">
        <f t="shared" si="25"/>
        <v>ja</v>
      </c>
      <c r="H153" s="155"/>
      <c r="I153" s="155"/>
      <c r="J153" s="276">
        <f t="shared" si="26"/>
        <v>0</v>
      </c>
      <c r="K153" s="156"/>
      <c r="L153" s="276">
        <f t="shared" si="27"/>
        <v>0</v>
      </c>
      <c r="M153" s="105"/>
      <c r="N153" s="534">
        <v>817</v>
      </c>
      <c r="O153" s="530">
        <f t="shared" si="28"/>
        <v>817</v>
      </c>
      <c r="P153" s="530">
        <v>0.1088</v>
      </c>
      <c r="R153" s="541">
        <f t="shared" si="29"/>
        <v>0</v>
      </c>
    </row>
    <row r="154" spans="1:18" ht="13.5" customHeight="1">
      <c r="A154" s="47">
        <f t="shared" si="30"/>
        <v>1611</v>
      </c>
      <c r="B154" s="174" t="s">
        <v>360</v>
      </c>
      <c r="C154" s="174"/>
      <c r="D154" s="175" t="s">
        <v>232</v>
      </c>
      <c r="E154" s="188" t="s">
        <v>623</v>
      </c>
      <c r="F154" s="154">
        <f>functies!$H$17</f>
        <v>0</v>
      </c>
      <c r="G154" s="158" t="str">
        <f t="shared" si="25"/>
        <v>ja</v>
      </c>
      <c r="H154" s="178"/>
      <c r="I154" s="178"/>
      <c r="J154" s="277">
        <f t="shared" si="26"/>
        <v>0</v>
      </c>
      <c r="K154" s="179"/>
      <c r="L154" s="276">
        <f t="shared" si="27"/>
        <v>0</v>
      </c>
      <c r="M154" s="105"/>
      <c r="N154" s="534">
        <v>34</v>
      </c>
      <c r="O154" s="530">
        <f t="shared" si="28"/>
        <v>34</v>
      </c>
      <c r="P154" s="530">
        <v>0.0883</v>
      </c>
      <c r="R154" s="541">
        <f t="shared" si="29"/>
        <v>0</v>
      </c>
    </row>
    <row r="155" spans="1:18" ht="13.5" customHeight="1">
      <c r="A155" s="47">
        <f t="shared" si="30"/>
        <v>1612</v>
      </c>
      <c r="B155" s="180"/>
      <c r="C155" s="168"/>
      <c r="D155" s="169" t="s">
        <v>217</v>
      </c>
      <c r="E155" s="169"/>
      <c r="F155" s="169"/>
      <c r="G155" s="169"/>
      <c r="H155" s="171"/>
      <c r="I155" s="171"/>
      <c r="J155" s="171"/>
      <c r="K155" s="189"/>
      <c r="L155" s="166">
        <f>SUM(L144:L154)</f>
        <v>0</v>
      </c>
      <c r="M155" s="141"/>
      <c r="N155" s="535"/>
      <c r="O155" s="530">
        <f>IF(G155="ja",N155*0.95,N155)</f>
        <v>0</v>
      </c>
      <c r="R155" s="166">
        <f>SUM(R144:R154)</f>
        <v>0</v>
      </c>
    </row>
    <row r="156" spans="1:13" ht="13.5" customHeight="1">
      <c r="A156" s="486"/>
      <c r="B156" s="136"/>
      <c r="C156" s="130"/>
      <c r="D156" s="136"/>
      <c r="E156" s="136"/>
      <c r="F156" s="136"/>
      <c r="G156" s="136"/>
      <c r="H156" s="141"/>
      <c r="I156" s="141"/>
      <c r="J156" s="141"/>
      <c r="K156" s="142"/>
      <c r="L156" s="141"/>
      <c r="M156" s="141"/>
    </row>
    <row r="157" spans="2:15" ht="13.5" customHeight="1">
      <c r="B157" s="136" t="s">
        <v>514</v>
      </c>
      <c r="D157" s="136"/>
      <c r="E157" s="136"/>
      <c r="F157" s="163"/>
      <c r="G157" s="163"/>
      <c r="H157" s="164"/>
      <c r="I157" s="164"/>
      <c r="J157" s="164"/>
      <c r="K157" s="138"/>
      <c r="L157" s="128"/>
      <c r="M157" s="128"/>
      <c r="O157" s="530">
        <f>IF(G157="ja",N157*0.95,N157)</f>
        <v>0</v>
      </c>
    </row>
    <row r="158" spans="1:18" ht="13.5" customHeight="1">
      <c r="A158" s="475">
        <f>+A155+1</f>
        <v>1613</v>
      </c>
      <c r="B158" s="152" t="s">
        <v>515</v>
      </c>
      <c r="C158" s="152"/>
      <c r="D158" s="153" t="s">
        <v>222</v>
      </c>
      <c r="E158" s="161" t="s">
        <v>35</v>
      </c>
      <c r="F158" s="154">
        <f>functies!$H$17</f>
        <v>0</v>
      </c>
      <c r="G158" s="158" t="str">
        <f aca="true" t="shared" si="31" ref="G158:G168">$F$10</f>
        <v>ja</v>
      </c>
      <c r="H158" s="155"/>
      <c r="I158" s="155"/>
      <c r="J158" s="276">
        <f aca="true" t="shared" si="32" ref="J158:J168">I158-H158</f>
        <v>0</v>
      </c>
      <c r="K158" s="156"/>
      <c r="L158" s="276">
        <f aca="true" t="shared" si="33" ref="L158:L168">K158*I158</f>
        <v>0</v>
      </c>
      <c r="M158" s="105"/>
      <c r="N158" s="534">
        <v>22</v>
      </c>
      <c r="O158" s="530">
        <f aca="true" t="shared" si="34" ref="O158:O168">IF(G158="nee",ROUND(N158*(1-P158),1),N158)</f>
        <v>22</v>
      </c>
      <c r="P158" s="530">
        <v>0.1099</v>
      </c>
      <c r="R158" s="541">
        <f aca="true" t="shared" si="35" ref="R158:R168">H158*K158</f>
        <v>0</v>
      </c>
    </row>
    <row r="159" spans="1:18" ht="13.5" customHeight="1">
      <c r="A159" s="47">
        <f aca="true" t="shared" si="36" ref="A159:A169">A158+1</f>
        <v>1614</v>
      </c>
      <c r="B159" s="152" t="s">
        <v>516</v>
      </c>
      <c r="C159" s="152"/>
      <c r="D159" s="153" t="s">
        <v>223</v>
      </c>
      <c r="E159" s="161" t="s">
        <v>35</v>
      </c>
      <c r="F159" s="154">
        <f>functies!$H$17</f>
        <v>0</v>
      </c>
      <c r="G159" s="158" t="str">
        <f t="shared" si="31"/>
        <v>ja</v>
      </c>
      <c r="H159" s="155"/>
      <c r="I159" s="155"/>
      <c r="J159" s="276">
        <f t="shared" si="32"/>
        <v>0</v>
      </c>
      <c r="K159" s="156"/>
      <c r="L159" s="276">
        <f t="shared" si="33"/>
        <v>0</v>
      </c>
      <c r="M159" s="105"/>
      <c r="N159" s="534">
        <v>170</v>
      </c>
      <c r="O159" s="530">
        <f t="shared" si="34"/>
        <v>170</v>
      </c>
      <c r="P159" s="530">
        <v>0.1048</v>
      </c>
      <c r="R159" s="541">
        <f t="shared" si="35"/>
        <v>0</v>
      </c>
    </row>
    <row r="160" spans="1:18" ht="13.5" customHeight="1">
      <c r="A160" s="47">
        <f t="shared" si="36"/>
        <v>1615</v>
      </c>
      <c r="B160" s="152" t="s">
        <v>517</v>
      </c>
      <c r="C160" s="152"/>
      <c r="D160" s="153" t="s">
        <v>224</v>
      </c>
      <c r="E160" s="161" t="s">
        <v>623</v>
      </c>
      <c r="F160" s="154">
        <f>functies!$H$17</f>
        <v>0</v>
      </c>
      <c r="G160" s="158" t="str">
        <f t="shared" si="31"/>
        <v>ja</v>
      </c>
      <c r="H160" s="155"/>
      <c r="I160" s="155"/>
      <c r="J160" s="276">
        <f t="shared" si="32"/>
        <v>0</v>
      </c>
      <c r="K160" s="156"/>
      <c r="L160" s="276">
        <f t="shared" si="33"/>
        <v>0</v>
      </c>
      <c r="M160" s="105"/>
      <c r="N160" s="534">
        <v>465</v>
      </c>
      <c r="O160" s="530">
        <f t="shared" si="34"/>
        <v>465</v>
      </c>
      <c r="P160" s="530">
        <v>0.1074</v>
      </c>
      <c r="R160" s="541">
        <f t="shared" si="35"/>
        <v>0</v>
      </c>
    </row>
    <row r="161" spans="1:18" ht="13.5" customHeight="1">
      <c r="A161" s="47">
        <f t="shared" si="36"/>
        <v>1616</v>
      </c>
      <c r="B161" s="152" t="s">
        <v>518</v>
      </c>
      <c r="C161" s="152"/>
      <c r="D161" s="153" t="s">
        <v>225</v>
      </c>
      <c r="E161" s="161" t="s">
        <v>623</v>
      </c>
      <c r="F161" s="154">
        <f>functies!$H$17</f>
        <v>0</v>
      </c>
      <c r="G161" s="158" t="str">
        <f t="shared" si="31"/>
        <v>ja</v>
      </c>
      <c r="H161" s="155"/>
      <c r="I161" s="155"/>
      <c r="J161" s="276">
        <f t="shared" si="32"/>
        <v>0</v>
      </c>
      <c r="K161" s="156"/>
      <c r="L161" s="276">
        <f t="shared" si="33"/>
        <v>0</v>
      </c>
      <c r="M161" s="105"/>
      <c r="N161" s="534">
        <v>161</v>
      </c>
      <c r="O161" s="530">
        <f t="shared" si="34"/>
        <v>161</v>
      </c>
      <c r="P161" s="530">
        <v>0.0998</v>
      </c>
      <c r="R161" s="541">
        <f t="shared" si="35"/>
        <v>0</v>
      </c>
    </row>
    <row r="162" spans="1:18" ht="13.5" customHeight="1">
      <c r="A162" s="47">
        <f t="shared" si="36"/>
        <v>1617</v>
      </c>
      <c r="B162" s="152" t="s">
        <v>519</v>
      </c>
      <c r="C162" s="152"/>
      <c r="D162" s="153" t="s">
        <v>226</v>
      </c>
      <c r="E162" s="161" t="s">
        <v>35</v>
      </c>
      <c r="F162" s="154">
        <f>functies!$H$17</f>
        <v>0</v>
      </c>
      <c r="G162" s="158" t="str">
        <f t="shared" si="31"/>
        <v>ja</v>
      </c>
      <c r="H162" s="155"/>
      <c r="I162" s="155"/>
      <c r="J162" s="276">
        <f t="shared" si="32"/>
        <v>0</v>
      </c>
      <c r="K162" s="156"/>
      <c r="L162" s="276">
        <f t="shared" si="33"/>
        <v>0</v>
      </c>
      <c r="M162" s="105"/>
      <c r="N162" s="534">
        <v>103</v>
      </c>
      <c r="O162" s="530">
        <f t="shared" si="34"/>
        <v>103</v>
      </c>
      <c r="P162" s="530">
        <v>0.0948</v>
      </c>
      <c r="R162" s="541">
        <f t="shared" si="35"/>
        <v>0</v>
      </c>
    </row>
    <row r="163" spans="1:18" ht="13.5" customHeight="1">
      <c r="A163" s="47">
        <f t="shared" si="36"/>
        <v>1618</v>
      </c>
      <c r="B163" s="152" t="s">
        <v>520</v>
      </c>
      <c r="C163" s="152"/>
      <c r="D163" s="153" t="s">
        <v>231</v>
      </c>
      <c r="E163" s="161" t="s">
        <v>623</v>
      </c>
      <c r="F163" s="154">
        <f>functies!$H$17</f>
        <v>0</v>
      </c>
      <c r="G163" s="158" t="str">
        <f t="shared" si="31"/>
        <v>ja</v>
      </c>
      <c r="H163" s="155"/>
      <c r="I163" s="155"/>
      <c r="J163" s="276">
        <f t="shared" si="32"/>
        <v>0</v>
      </c>
      <c r="K163" s="156"/>
      <c r="L163" s="276">
        <f t="shared" si="33"/>
        <v>0</v>
      </c>
      <c r="M163" s="105"/>
      <c r="N163" s="534">
        <v>97</v>
      </c>
      <c r="O163" s="530">
        <f t="shared" si="34"/>
        <v>97</v>
      </c>
      <c r="P163" s="530">
        <v>0.0979</v>
      </c>
      <c r="R163" s="541">
        <f t="shared" si="35"/>
        <v>0</v>
      </c>
    </row>
    <row r="164" spans="1:18" ht="13.5" customHeight="1">
      <c r="A164" s="47">
        <f t="shared" si="36"/>
        <v>1619</v>
      </c>
      <c r="B164" s="152" t="s">
        <v>521</v>
      </c>
      <c r="C164" s="152"/>
      <c r="D164" s="153" t="s">
        <v>508</v>
      </c>
      <c r="E164" s="161" t="s">
        <v>623</v>
      </c>
      <c r="F164" s="154">
        <f>functies!$H$17</f>
        <v>0</v>
      </c>
      <c r="G164" s="158" t="str">
        <f t="shared" si="31"/>
        <v>ja</v>
      </c>
      <c r="H164" s="155"/>
      <c r="I164" s="155"/>
      <c r="J164" s="276">
        <f t="shared" si="32"/>
        <v>0</v>
      </c>
      <c r="K164" s="156"/>
      <c r="L164" s="276">
        <f t="shared" si="33"/>
        <v>0</v>
      </c>
      <c r="M164" s="105"/>
      <c r="N164" s="534">
        <v>52</v>
      </c>
      <c r="O164" s="530">
        <f t="shared" si="34"/>
        <v>52</v>
      </c>
      <c r="P164" s="530">
        <v>0.0891</v>
      </c>
      <c r="R164" s="541">
        <f t="shared" si="35"/>
        <v>0</v>
      </c>
    </row>
    <row r="165" spans="1:18" ht="13.5" customHeight="1">
      <c r="A165" s="47">
        <f t="shared" si="36"/>
        <v>1620</v>
      </c>
      <c r="B165" s="152" t="s">
        <v>522</v>
      </c>
      <c r="C165" s="152"/>
      <c r="D165" s="153" t="s">
        <v>300</v>
      </c>
      <c r="E165" s="161" t="s">
        <v>35</v>
      </c>
      <c r="F165" s="154">
        <f>functies!$H$17</f>
        <v>0</v>
      </c>
      <c r="G165" s="158" t="str">
        <f t="shared" si="31"/>
        <v>ja</v>
      </c>
      <c r="H165" s="155"/>
      <c r="I165" s="155"/>
      <c r="J165" s="276">
        <f t="shared" si="32"/>
        <v>0</v>
      </c>
      <c r="K165" s="156"/>
      <c r="L165" s="276">
        <f t="shared" si="33"/>
        <v>0</v>
      </c>
      <c r="M165" s="105"/>
      <c r="N165" s="534">
        <v>66</v>
      </c>
      <c r="O165" s="530">
        <f t="shared" si="34"/>
        <v>66</v>
      </c>
      <c r="P165" s="530">
        <v>0.0925</v>
      </c>
      <c r="R165" s="541">
        <f t="shared" si="35"/>
        <v>0</v>
      </c>
    </row>
    <row r="166" spans="1:18" ht="13.5" customHeight="1">
      <c r="A166" s="47">
        <f t="shared" si="36"/>
        <v>1621</v>
      </c>
      <c r="B166" s="152" t="s">
        <v>523</v>
      </c>
      <c r="C166" s="152"/>
      <c r="D166" s="153" t="s">
        <v>509</v>
      </c>
      <c r="E166" s="161" t="s">
        <v>623</v>
      </c>
      <c r="F166" s="154">
        <f>functies!$H$17</f>
        <v>0</v>
      </c>
      <c r="G166" s="158" t="str">
        <f t="shared" si="31"/>
        <v>ja</v>
      </c>
      <c r="H166" s="155"/>
      <c r="I166" s="155"/>
      <c r="J166" s="276">
        <f t="shared" si="32"/>
        <v>0</v>
      </c>
      <c r="K166" s="156"/>
      <c r="L166" s="276">
        <f t="shared" si="33"/>
        <v>0</v>
      </c>
      <c r="M166" s="105"/>
      <c r="N166" s="534">
        <v>221</v>
      </c>
      <c r="O166" s="530">
        <f t="shared" si="34"/>
        <v>221</v>
      </c>
      <c r="P166" s="530">
        <v>0.1049</v>
      </c>
      <c r="R166" s="541">
        <f t="shared" si="35"/>
        <v>0</v>
      </c>
    </row>
    <row r="167" spans="1:18" ht="13.5" customHeight="1">
      <c r="A167" s="47">
        <f t="shared" si="36"/>
        <v>1622</v>
      </c>
      <c r="B167" s="152" t="s">
        <v>524</v>
      </c>
      <c r="C167" s="152"/>
      <c r="D167" s="153" t="s">
        <v>510</v>
      </c>
      <c r="E167" s="161" t="s">
        <v>623</v>
      </c>
      <c r="F167" s="154">
        <f>functies!$H$17</f>
        <v>0</v>
      </c>
      <c r="G167" s="158" t="str">
        <f t="shared" si="31"/>
        <v>ja</v>
      </c>
      <c r="H167" s="155"/>
      <c r="I167" s="155"/>
      <c r="J167" s="276">
        <f t="shared" si="32"/>
        <v>0</v>
      </c>
      <c r="K167" s="156"/>
      <c r="L167" s="276">
        <f t="shared" si="33"/>
        <v>0</v>
      </c>
      <c r="M167" s="105"/>
      <c r="N167" s="534">
        <v>828</v>
      </c>
      <c r="O167" s="530">
        <f t="shared" si="34"/>
        <v>828</v>
      </c>
      <c r="P167" s="530">
        <v>0.1088</v>
      </c>
      <c r="R167" s="541">
        <f t="shared" si="35"/>
        <v>0</v>
      </c>
    </row>
    <row r="168" spans="1:18" ht="13.5" customHeight="1">
      <c r="A168" s="47">
        <f t="shared" si="36"/>
        <v>1623</v>
      </c>
      <c r="B168" s="174" t="s">
        <v>525</v>
      </c>
      <c r="C168" s="174"/>
      <c r="D168" s="175" t="s">
        <v>232</v>
      </c>
      <c r="E168" s="188" t="s">
        <v>623</v>
      </c>
      <c r="F168" s="154">
        <f>functies!$H$17</f>
        <v>0</v>
      </c>
      <c r="G168" s="158" t="str">
        <f t="shared" si="31"/>
        <v>ja</v>
      </c>
      <c r="H168" s="178"/>
      <c r="I168" s="178"/>
      <c r="J168" s="277">
        <f t="shared" si="32"/>
        <v>0</v>
      </c>
      <c r="K168" s="179"/>
      <c r="L168" s="276">
        <f t="shared" si="33"/>
        <v>0</v>
      </c>
      <c r="M168" s="105"/>
      <c r="N168" s="534">
        <v>33</v>
      </c>
      <c r="O168" s="530">
        <f t="shared" si="34"/>
        <v>33</v>
      </c>
      <c r="P168" s="530">
        <v>0.0883</v>
      </c>
      <c r="R168" s="541">
        <f t="shared" si="35"/>
        <v>0</v>
      </c>
    </row>
    <row r="169" spans="1:18" ht="13.5" customHeight="1">
      <c r="A169" s="47">
        <f t="shared" si="36"/>
        <v>1624</v>
      </c>
      <c r="B169" s="180"/>
      <c r="C169" s="168"/>
      <c r="D169" s="169" t="s">
        <v>217</v>
      </c>
      <c r="E169" s="169"/>
      <c r="F169" s="169"/>
      <c r="G169" s="169"/>
      <c r="H169" s="171"/>
      <c r="I169" s="171"/>
      <c r="J169" s="171"/>
      <c r="K169" s="189"/>
      <c r="L169" s="166">
        <f>SUM(L158:L168)</f>
        <v>0</v>
      </c>
      <c r="M169" s="141"/>
      <c r="N169" s="536"/>
      <c r="O169" s="530">
        <f>IF(G169="ja",N169*0.95,N169)</f>
        <v>0</v>
      </c>
      <c r="R169" s="166">
        <f>SUM(R158:R168)</f>
        <v>0</v>
      </c>
    </row>
    <row r="170" spans="1:14" ht="13.5" customHeight="1">
      <c r="A170" s="486"/>
      <c r="B170" s="136"/>
      <c r="C170" s="130"/>
      <c r="D170" s="136"/>
      <c r="E170" s="136"/>
      <c r="F170" s="136"/>
      <c r="G170" s="136"/>
      <c r="H170" s="141"/>
      <c r="I170" s="141"/>
      <c r="J170" s="141"/>
      <c r="K170" s="142"/>
      <c r="L170" s="141"/>
      <c r="M170" s="141"/>
      <c r="N170" s="532"/>
    </row>
    <row r="171" spans="2:15" ht="13.5" customHeight="1">
      <c r="B171" s="136" t="s">
        <v>526</v>
      </c>
      <c r="D171" s="136"/>
      <c r="E171" s="136"/>
      <c r="F171" s="163"/>
      <c r="G171" s="163"/>
      <c r="H171" s="100" t="s">
        <v>221</v>
      </c>
      <c r="I171" s="100" t="s">
        <v>221</v>
      </c>
      <c r="J171" s="100"/>
      <c r="K171" s="138"/>
      <c r="L171" s="128"/>
      <c r="M171" s="128"/>
      <c r="O171" s="530">
        <f>IF(G171="ja",N171*0.95,N171)</f>
        <v>0</v>
      </c>
    </row>
    <row r="172" spans="1:18" ht="13.5" customHeight="1">
      <c r="A172" s="475">
        <f>+A169+1</f>
        <v>1625</v>
      </c>
      <c r="B172" s="152" t="s">
        <v>527</v>
      </c>
      <c r="C172" s="152"/>
      <c r="D172" s="153" t="s">
        <v>222</v>
      </c>
      <c r="E172" s="161" t="s">
        <v>35</v>
      </c>
      <c r="F172" s="154">
        <f>functies!$H$17</f>
        <v>0</v>
      </c>
      <c r="G172" s="158" t="str">
        <f aca="true" t="shared" si="37" ref="G172:G179">$F$10</f>
        <v>ja</v>
      </c>
      <c r="H172" s="155"/>
      <c r="I172" s="155"/>
      <c r="J172" s="276">
        <f aca="true" t="shared" si="38" ref="J172:J179">I172-H172</f>
        <v>0</v>
      </c>
      <c r="K172" s="156"/>
      <c r="L172" s="276">
        <f aca="true" t="shared" si="39" ref="L172:L179">K172*I172</f>
        <v>0</v>
      </c>
      <c r="M172" s="105"/>
      <c r="N172" s="534">
        <v>22</v>
      </c>
      <c r="O172" s="530">
        <f aca="true" t="shared" si="40" ref="O172:O179">IF(G172="nee",ROUND(N172*(1-P172),1),N172)</f>
        <v>22</v>
      </c>
      <c r="P172" s="530">
        <v>0.1099</v>
      </c>
      <c r="R172" s="541">
        <f aca="true" t="shared" si="41" ref="R172:R179">H172*K172</f>
        <v>0</v>
      </c>
    </row>
    <row r="173" spans="1:18" ht="13.5" customHeight="1">
      <c r="A173" s="47">
        <f aca="true" t="shared" si="42" ref="A173:A180">A172+1</f>
        <v>1626</v>
      </c>
      <c r="B173" s="152" t="s">
        <v>528</v>
      </c>
      <c r="C173" s="152"/>
      <c r="D173" s="153" t="s">
        <v>223</v>
      </c>
      <c r="E173" s="161" t="s">
        <v>35</v>
      </c>
      <c r="F173" s="154">
        <f>functies!$H$17</f>
        <v>0</v>
      </c>
      <c r="G173" s="158" t="str">
        <f t="shared" si="37"/>
        <v>ja</v>
      </c>
      <c r="H173" s="155"/>
      <c r="I173" s="155"/>
      <c r="J173" s="276">
        <f t="shared" si="38"/>
        <v>0</v>
      </c>
      <c r="K173" s="156"/>
      <c r="L173" s="276">
        <f t="shared" si="39"/>
        <v>0</v>
      </c>
      <c r="M173" s="105"/>
      <c r="N173" s="534">
        <v>404</v>
      </c>
      <c r="O173" s="530">
        <f t="shared" si="40"/>
        <v>404</v>
      </c>
      <c r="P173" s="530">
        <v>0.1071</v>
      </c>
      <c r="R173" s="541">
        <f t="shared" si="41"/>
        <v>0</v>
      </c>
    </row>
    <row r="174" spans="1:18" ht="13.5" customHeight="1">
      <c r="A174" s="47">
        <f t="shared" si="42"/>
        <v>1627</v>
      </c>
      <c r="B174" s="152" t="s">
        <v>529</v>
      </c>
      <c r="C174" s="152"/>
      <c r="D174" s="153" t="s">
        <v>225</v>
      </c>
      <c r="E174" s="161" t="s">
        <v>623</v>
      </c>
      <c r="F174" s="154">
        <f>functies!$H$17</f>
        <v>0</v>
      </c>
      <c r="G174" s="158" t="str">
        <f t="shared" si="37"/>
        <v>ja</v>
      </c>
      <c r="H174" s="155"/>
      <c r="I174" s="155"/>
      <c r="J174" s="276">
        <f t="shared" si="38"/>
        <v>0</v>
      </c>
      <c r="K174" s="156"/>
      <c r="L174" s="276">
        <f t="shared" si="39"/>
        <v>0</v>
      </c>
      <c r="M174" s="105"/>
      <c r="N174" s="534">
        <v>212</v>
      </c>
      <c r="O174" s="530">
        <f t="shared" si="40"/>
        <v>212</v>
      </c>
      <c r="P174" s="530">
        <v>0.1042</v>
      </c>
      <c r="R174" s="541">
        <f t="shared" si="41"/>
        <v>0</v>
      </c>
    </row>
    <row r="175" spans="1:18" ht="13.5" customHeight="1">
      <c r="A175" s="47">
        <f t="shared" si="42"/>
        <v>1628</v>
      </c>
      <c r="B175" s="152" t="s">
        <v>530</v>
      </c>
      <c r="C175" s="152"/>
      <c r="D175" s="153" t="s">
        <v>226</v>
      </c>
      <c r="E175" s="161" t="s">
        <v>35</v>
      </c>
      <c r="F175" s="154">
        <f>functies!$H$17</f>
        <v>0</v>
      </c>
      <c r="G175" s="158" t="str">
        <f t="shared" si="37"/>
        <v>ja</v>
      </c>
      <c r="H175" s="155"/>
      <c r="I175" s="155"/>
      <c r="J175" s="276">
        <f t="shared" si="38"/>
        <v>0</v>
      </c>
      <c r="K175" s="156"/>
      <c r="L175" s="276">
        <f t="shared" si="39"/>
        <v>0</v>
      </c>
      <c r="M175" s="105"/>
      <c r="N175" s="534">
        <v>125</v>
      </c>
      <c r="O175" s="530">
        <f t="shared" si="40"/>
        <v>125</v>
      </c>
      <c r="P175" s="530">
        <v>0.1009</v>
      </c>
      <c r="R175" s="541">
        <f t="shared" si="41"/>
        <v>0</v>
      </c>
    </row>
    <row r="176" spans="1:18" ht="13.5" customHeight="1">
      <c r="A176" s="47">
        <f t="shared" si="42"/>
        <v>1629</v>
      </c>
      <c r="B176" s="152" t="s">
        <v>531</v>
      </c>
      <c r="C176" s="152"/>
      <c r="D176" s="153" t="s">
        <v>301</v>
      </c>
      <c r="E176" s="161" t="s">
        <v>623</v>
      </c>
      <c r="F176" s="154">
        <f>functies!$H$17</f>
        <v>0</v>
      </c>
      <c r="G176" s="158" t="str">
        <f t="shared" si="37"/>
        <v>ja</v>
      </c>
      <c r="H176" s="155"/>
      <c r="I176" s="155"/>
      <c r="J176" s="276">
        <f t="shared" si="38"/>
        <v>0</v>
      </c>
      <c r="K176" s="156"/>
      <c r="L176" s="276">
        <f t="shared" si="39"/>
        <v>0</v>
      </c>
      <c r="M176" s="105"/>
      <c r="N176" s="534">
        <v>115</v>
      </c>
      <c r="O176" s="530">
        <f t="shared" si="40"/>
        <v>115</v>
      </c>
      <c r="P176" s="530">
        <v>0.0996</v>
      </c>
      <c r="R176" s="541">
        <f t="shared" si="41"/>
        <v>0</v>
      </c>
    </row>
    <row r="177" spans="1:18" ht="13.5" customHeight="1">
      <c r="A177" s="47">
        <f t="shared" si="42"/>
        <v>1630</v>
      </c>
      <c r="B177" s="152" t="s">
        <v>532</v>
      </c>
      <c r="C177" s="152"/>
      <c r="D177" s="153" t="s">
        <v>508</v>
      </c>
      <c r="E177" s="161" t="s">
        <v>623</v>
      </c>
      <c r="F177" s="154">
        <f>functies!$H$17</f>
        <v>0</v>
      </c>
      <c r="G177" s="158" t="str">
        <f t="shared" si="37"/>
        <v>ja</v>
      </c>
      <c r="H177" s="155"/>
      <c r="I177" s="155"/>
      <c r="J177" s="276">
        <f t="shared" si="38"/>
        <v>0</v>
      </c>
      <c r="K177" s="156"/>
      <c r="L177" s="276">
        <f t="shared" si="39"/>
        <v>0</v>
      </c>
      <c r="M177" s="105"/>
      <c r="N177" s="534">
        <v>62</v>
      </c>
      <c r="O177" s="530">
        <f t="shared" si="40"/>
        <v>62</v>
      </c>
      <c r="P177" s="530">
        <v>0.0919</v>
      </c>
      <c r="R177" s="541">
        <f t="shared" si="41"/>
        <v>0</v>
      </c>
    </row>
    <row r="178" spans="1:18" ht="13.5" customHeight="1">
      <c r="A178" s="47">
        <f t="shared" si="42"/>
        <v>1631</v>
      </c>
      <c r="B178" s="152" t="s">
        <v>533</v>
      </c>
      <c r="C178" s="152"/>
      <c r="D178" s="153" t="s">
        <v>300</v>
      </c>
      <c r="E178" s="161" t="s">
        <v>35</v>
      </c>
      <c r="F178" s="154">
        <f>functies!$H$17</f>
        <v>0</v>
      </c>
      <c r="G178" s="158" t="str">
        <f t="shared" si="37"/>
        <v>ja</v>
      </c>
      <c r="H178" s="155"/>
      <c r="I178" s="155"/>
      <c r="J178" s="276">
        <f t="shared" si="38"/>
        <v>0</v>
      </c>
      <c r="K178" s="156"/>
      <c r="L178" s="276">
        <f t="shared" si="39"/>
        <v>0</v>
      </c>
      <c r="M178" s="105"/>
      <c r="N178" s="534">
        <v>81</v>
      </c>
      <c r="O178" s="530">
        <f t="shared" si="40"/>
        <v>81</v>
      </c>
      <c r="P178" s="530">
        <v>0.0962</v>
      </c>
      <c r="R178" s="541">
        <f t="shared" si="41"/>
        <v>0</v>
      </c>
    </row>
    <row r="179" spans="1:18" ht="13.5" customHeight="1">
      <c r="A179" s="47">
        <f t="shared" si="42"/>
        <v>1632</v>
      </c>
      <c r="B179" s="174" t="s">
        <v>534</v>
      </c>
      <c r="C179" s="174"/>
      <c r="D179" s="175" t="s">
        <v>232</v>
      </c>
      <c r="E179" s="188" t="s">
        <v>624</v>
      </c>
      <c r="F179" s="154">
        <f>functies!$H$17</f>
        <v>0</v>
      </c>
      <c r="G179" s="158" t="str">
        <f t="shared" si="37"/>
        <v>ja</v>
      </c>
      <c r="H179" s="178"/>
      <c r="I179" s="178"/>
      <c r="J179" s="277">
        <f t="shared" si="38"/>
        <v>0</v>
      </c>
      <c r="K179" s="179"/>
      <c r="L179" s="277">
        <f t="shared" si="39"/>
        <v>0</v>
      </c>
      <c r="M179" s="105"/>
      <c r="N179" s="534">
        <v>94</v>
      </c>
      <c r="O179" s="530">
        <f t="shared" si="40"/>
        <v>94</v>
      </c>
      <c r="P179" s="530">
        <v>0.0888</v>
      </c>
      <c r="R179" s="541">
        <f t="shared" si="41"/>
        <v>0</v>
      </c>
    </row>
    <row r="180" spans="1:18" ht="13.5" customHeight="1">
      <c r="A180" s="47">
        <f t="shared" si="42"/>
        <v>1633</v>
      </c>
      <c r="B180" s="180"/>
      <c r="C180" s="168"/>
      <c r="D180" s="169" t="s">
        <v>217</v>
      </c>
      <c r="E180" s="169"/>
      <c r="F180" s="169"/>
      <c r="G180" s="169"/>
      <c r="H180" s="171"/>
      <c r="I180" s="171"/>
      <c r="J180" s="171"/>
      <c r="K180" s="172"/>
      <c r="L180" s="166">
        <f>SUM(L172:L179)</f>
        <v>0</v>
      </c>
      <c r="M180" s="141"/>
      <c r="N180" s="535"/>
      <c r="O180" s="530">
        <f>IF(G180="ja",N180*0.95,N180)</f>
        <v>0</v>
      </c>
      <c r="R180" s="166">
        <f>SUM(R172:R179)</f>
        <v>0</v>
      </c>
    </row>
    <row r="181" spans="1:15" ht="14.25" customHeight="1">
      <c r="A181" s="482"/>
      <c r="B181" s="136"/>
      <c r="C181" s="130"/>
      <c r="D181" s="136"/>
      <c r="E181" s="136"/>
      <c r="F181" s="136"/>
      <c r="G181" s="136"/>
      <c r="H181" s="141"/>
      <c r="I181" s="141"/>
      <c r="J181" s="141"/>
      <c r="K181" s="141"/>
      <c r="L181" s="141"/>
      <c r="M181" s="141"/>
      <c r="O181" s="530">
        <f>IF(G181="ja",N181*0.95,N181)</f>
        <v>0</v>
      </c>
    </row>
    <row r="182" spans="1:18" s="18" customFormat="1" ht="14.25" customHeight="1">
      <c r="A182" s="485"/>
      <c r="B182" s="2"/>
      <c r="C182" s="2"/>
      <c r="D182" s="2"/>
      <c r="E182" s="2"/>
      <c r="F182" s="2"/>
      <c r="G182" s="2"/>
      <c r="H182" s="2"/>
      <c r="I182" s="2"/>
      <c r="J182" s="2"/>
      <c r="K182" s="108"/>
      <c r="L182" s="151"/>
      <c r="M182" s="109"/>
      <c r="N182" s="524"/>
      <c r="O182" s="530">
        <f>IF(G182="ja",N182*0.95,N182)</f>
        <v>0</v>
      </c>
      <c r="P182" s="524"/>
      <c r="Q182" s="524"/>
      <c r="R182" s="797"/>
    </row>
    <row r="183" spans="1:22" s="3" customFormat="1" ht="14.25" customHeight="1">
      <c r="A183" s="478"/>
      <c r="N183" s="521"/>
      <c r="O183" s="542"/>
      <c r="P183" s="542"/>
      <c r="Q183" s="543"/>
      <c r="R183" s="542"/>
      <c r="S183" s="236"/>
      <c r="T183" s="236"/>
      <c r="U183" s="238"/>
      <c r="V183" s="239"/>
    </row>
    <row r="184" spans="1:19" s="108" customFormat="1" ht="14.25" customHeight="1">
      <c r="A184" s="479" t="str">
        <f>voorblad!$A$20</f>
        <v>Mutatieformulier regiokader gehandicaptenzorg 2006</v>
      </c>
      <c r="B184" s="1"/>
      <c r="C184" s="228"/>
      <c r="D184" s="255"/>
      <c r="E184" s="228"/>
      <c r="F184" s="228"/>
      <c r="G184" s="241" t="str">
        <f>"versie: "&amp;TEXT(voorblad!$L$25,"dd-mm-jjjj")</f>
        <v>versie: 11-09-2006</v>
      </c>
      <c r="H184" s="2"/>
      <c r="I184" s="243"/>
      <c r="J184" s="2"/>
      <c r="K184" s="244"/>
      <c r="L184" s="244">
        <f>L138+1</f>
        <v>17</v>
      </c>
      <c r="M184" s="245"/>
      <c r="N184" s="522"/>
      <c r="O184" s="544"/>
      <c r="P184" s="545"/>
      <c r="Q184" s="546"/>
      <c r="R184" s="109"/>
      <c r="S184" s="2"/>
    </row>
    <row r="185" spans="1:18" s="3" customFormat="1" ht="14.25" customHeight="1">
      <c r="A185" s="480"/>
      <c r="B185" s="232"/>
      <c r="C185" s="230" t="s">
        <v>601</v>
      </c>
      <c r="D185" s="257">
        <v>0</v>
      </c>
      <c r="E185" s="233"/>
      <c r="F185" s="233"/>
      <c r="G185" s="2"/>
      <c r="H185" s="234"/>
      <c r="I185" s="235"/>
      <c r="J185" s="2"/>
      <c r="K185" s="9"/>
      <c r="L185" s="2"/>
      <c r="M185" s="229"/>
      <c r="N185" s="523"/>
      <c r="O185" s="547"/>
      <c r="P185" s="547"/>
      <c r="Q185" s="521"/>
      <c r="R185" s="796"/>
    </row>
    <row r="186" spans="1:18" s="18" customFormat="1" ht="14.25" customHeight="1">
      <c r="A186" s="286"/>
      <c r="B186" s="136" t="s">
        <v>407</v>
      </c>
      <c r="C186" s="26"/>
      <c r="D186" s="111"/>
      <c r="E186" s="111"/>
      <c r="F186" s="111"/>
      <c r="G186" s="111"/>
      <c r="H186" s="112"/>
      <c r="I186" s="112"/>
      <c r="J186" s="112"/>
      <c r="K186" s="113"/>
      <c r="L186" s="114"/>
      <c r="M186" s="114"/>
      <c r="N186" s="524"/>
      <c r="O186" s="530">
        <f>IF(G186="ja",N186*0.95,N186)</f>
        <v>0</v>
      </c>
      <c r="P186" s="524"/>
      <c r="Q186" s="524"/>
      <c r="R186" s="797"/>
    </row>
    <row r="187" spans="2:15" ht="14.25" customHeight="1">
      <c r="B187" s="157"/>
      <c r="C187" s="157"/>
      <c r="D187" s="157"/>
      <c r="E187" s="211" t="s">
        <v>616</v>
      </c>
      <c r="F187" s="211" t="s">
        <v>216</v>
      </c>
      <c r="G187" s="211" t="s">
        <v>464</v>
      </c>
      <c r="H187" s="212" t="s">
        <v>572</v>
      </c>
      <c r="I187" s="212" t="s">
        <v>881</v>
      </c>
      <c r="J187" s="212" t="s">
        <v>218</v>
      </c>
      <c r="K187" s="213" t="s">
        <v>465</v>
      </c>
      <c r="L187" s="212" t="s">
        <v>576</v>
      </c>
      <c r="M187" s="100"/>
      <c r="O187" s="530">
        <f>IF(G187="ja",N187*0.95,N187)</f>
        <v>0</v>
      </c>
    </row>
    <row r="188" spans="1:15" ht="14.25" customHeight="1">
      <c r="A188" s="476"/>
      <c r="B188" s="101"/>
      <c r="C188" s="102"/>
      <c r="D188" s="101"/>
      <c r="E188" s="214"/>
      <c r="F188" s="215" t="s">
        <v>219</v>
      </c>
      <c r="G188" s="215" t="s">
        <v>466</v>
      </c>
      <c r="H188" s="216" t="s">
        <v>573</v>
      </c>
      <c r="I188" s="216" t="s">
        <v>473</v>
      </c>
      <c r="J188" s="216" t="s">
        <v>574</v>
      </c>
      <c r="K188" s="217" t="s">
        <v>467</v>
      </c>
      <c r="L188" s="216" t="s">
        <v>473</v>
      </c>
      <c r="M188" s="103"/>
      <c r="O188" s="530">
        <f>IF(G188="ja",N188*0.95,N188)</f>
        <v>0</v>
      </c>
    </row>
    <row r="189" spans="1:15" ht="14.25" customHeight="1">
      <c r="A189" s="476"/>
      <c r="B189" s="101"/>
      <c r="C189" s="101"/>
      <c r="D189" s="101"/>
      <c r="E189" s="218"/>
      <c r="F189" s="218"/>
      <c r="G189" s="219" t="s">
        <v>468</v>
      </c>
      <c r="H189" s="220">
        <v>2006</v>
      </c>
      <c r="I189" s="220">
        <v>2006</v>
      </c>
      <c r="J189" s="220" t="s">
        <v>573</v>
      </c>
      <c r="K189" s="221">
        <v>2006</v>
      </c>
      <c r="L189" s="220">
        <v>2006</v>
      </c>
      <c r="M189" s="104"/>
      <c r="O189" s="530">
        <f>IF(G189="ja",N189*0.95,N189)</f>
        <v>0</v>
      </c>
    </row>
    <row r="190" spans="1:18" ht="14.25" customHeight="1">
      <c r="A190" s="475">
        <f>L184*100+1</f>
        <v>1701</v>
      </c>
      <c r="B190" s="152" t="s">
        <v>233</v>
      </c>
      <c r="C190" s="160"/>
      <c r="D190" s="152" t="s">
        <v>302</v>
      </c>
      <c r="E190" s="161" t="s">
        <v>625</v>
      </c>
      <c r="F190" s="154">
        <f>functies!$H$17</f>
        <v>0</v>
      </c>
      <c r="G190" s="158" t="str">
        <f aca="true" t="shared" si="43" ref="G190:G212">$F$10</f>
        <v>ja</v>
      </c>
      <c r="H190" s="155"/>
      <c r="I190" s="155"/>
      <c r="J190" s="276">
        <f aca="true" t="shared" si="44" ref="J190:J212">I190-H190</f>
        <v>0</v>
      </c>
      <c r="K190" s="156"/>
      <c r="L190" s="276">
        <f aca="true" t="shared" si="45" ref="L190:L212">K190*I190</f>
        <v>0</v>
      </c>
      <c r="M190" s="105"/>
      <c r="N190" s="534">
        <v>61</v>
      </c>
      <c r="O190" s="530">
        <f aca="true" t="shared" si="46" ref="O190:O212">IF(G190="nee",ROUND(N190*(1-P190),1),N190)</f>
        <v>61</v>
      </c>
      <c r="P190" s="530">
        <v>0.0979</v>
      </c>
      <c r="R190" s="541">
        <f aca="true" t="shared" si="47" ref="R190:R212">H190*K190</f>
        <v>0</v>
      </c>
    </row>
    <row r="191" spans="1:18" ht="14.25" customHeight="1">
      <c r="A191" s="47">
        <f aca="true" t="shared" si="48" ref="A191:A196">A190+1</f>
        <v>1702</v>
      </c>
      <c r="B191" s="152" t="s">
        <v>234</v>
      </c>
      <c r="C191" s="160"/>
      <c r="D191" s="152" t="s">
        <v>303</v>
      </c>
      <c r="E191" s="161" t="s">
        <v>625</v>
      </c>
      <c r="F191" s="154">
        <f>functies!$H$17</f>
        <v>0</v>
      </c>
      <c r="G191" s="158" t="str">
        <f t="shared" si="43"/>
        <v>ja</v>
      </c>
      <c r="H191" s="155"/>
      <c r="I191" s="155"/>
      <c r="J191" s="276">
        <f t="shared" si="44"/>
        <v>0</v>
      </c>
      <c r="K191" s="156"/>
      <c r="L191" s="276">
        <f t="shared" si="45"/>
        <v>0</v>
      </c>
      <c r="M191" s="105"/>
      <c r="N191" s="534">
        <v>122</v>
      </c>
      <c r="O191" s="530">
        <f t="shared" si="46"/>
        <v>122</v>
      </c>
      <c r="P191" s="530">
        <v>0.0979</v>
      </c>
      <c r="R191" s="541">
        <f t="shared" si="47"/>
        <v>0</v>
      </c>
    </row>
    <row r="192" spans="1:18" ht="14.25" customHeight="1">
      <c r="A192" s="47">
        <f t="shared" si="48"/>
        <v>1703</v>
      </c>
      <c r="B192" s="152" t="s">
        <v>235</v>
      </c>
      <c r="C192" s="160"/>
      <c r="D192" s="152" t="s">
        <v>304</v>
      </c>
      <c r="E192" s="161" t="s">
        <v>625</v>
      </c>
      <c r="F192" s="154">
        <f>functies!$H$17</f>
        <v>0</v>
      </c>
      <c r="G192" s="158" t="str">
        <f t="shared" si="43"/>
        <v>ja</v>
      </c>
      <c r="H192" s="155"/>
      <c r="I192" s="155"/>
      <c r="J192" s="276">
        <f t="shared" si="44"/>
        <v>0</v>
      </c>
      <c r="K192" s="156"/>
      <c r="L192" s="276">
        <f t="shared" si="45"/>
        <v>0</v>
      </c>
      <c r="M192" s="105"/>
      <c r="N192" s="534">
        <v>75</v>
      </c>
      <c r="O192" s="530">
        <f t="shared" si="46"/>
        <v>75</v>
      </c>
      <c r="P192" s="530">
        <v>0.1002</v>
      </c>
      <c r="R192" s="541">
        <f t="shared" si="47"/>
        <v>0</v>
      </c>
    </row>
    <row r="193" spans="1:18" ht="14.25" customHeight="1">
      <c r="A193" s="47">
        <f t="shared" si="48"/>
        <v>1704</v>
      </c>
      <c r="B193" s="152" t="s">
        <v>236</v>
      </c>
      <c r="C193" s="160"/>
      <c r="D193" s="152" t="s">
        <v>305</v>
      </c>
      <c r="E193" s="161" t="s">
        <v>625</v>
      </c>
      <c r="F193" s="154">
        <f>functies!$H$17</f>
        <v>0</v>
      </c>
      <c r="G193" s="158" t="str">
        <f t="shared" si="43"/>
        <v>ja</v>
      </c>
      <c r="H193" s="155"/>
      <c r="I193" s="155"/>
      <c r="J193" s="276">
        <f t="shared" si="44"/>
        <v>0</v>
      </c>
      <c r="K193" s="156"/>
      <c r="L193" s="276">
        <f t="shared" si="45"/>
        <v>0</v>
      </c>
      <c r="M193" s="105"/>
      <c r="N193" s="534">
        <v>151</v>
      </c>
      <c r="O193" s="530">
        <f t="shared" si="46"/>
        <v>151</v>
      </c>
      <c r="P193" s="530">
        <v>0.1002</v>
      </c>
      <c r="R193" s="541">
        <f t="shared" si="47"/>
        <v>0</v>
      </c>
    </row>
    <row r="194" spans="1:18" ht="14.25" customHeight="1">
      <c r="A194" s="47">
        <f t="shared" si="48"/>
        <v>1705</v>
      </c>
      <c r="B194" s="152" t="s">
        <v>237</v>
      </c>
      <c r="C194" s="160"/>
      <c r="D194" s="152" t="s">
        <v>306</v>
      </c>
      <c r="E194" s="161" t="s">
        <v>625</v>
      </c>
      <c r="F194" s="154">
        <f>functies!$H$17</f>
        <v>0</v>
      </c>
      <c r="G194" s="158" t="str">
        <f t="shared" si="43"/>
        <v>ja</v>
      </c>
      <c r="H194" s="155"/>
      <c r="I194" s="155"/>
      <c r="J194" s="276">
        <f t="shared" si="44"/>
        <v>0</v>
      </c>
      <c r="K194" s="156"/>
      <c r="L194" s="276">
        <f t="shared" si="45"/>
        <v>0</v>
      </c>
      <c r="M194" s="105"/>
      <c r="N194" s="534">
        <v>124</v>
      </c>
      <c r="O194" s="530">
        <f t="shared" si="46"/>
        <v>124</v>
      </c>
      <c r="P194" s="530">
        <v>0.1013</v>
      </c>
      <c r="R194" s="541">
        <f t="shared" si="47"/>
        <v>0</v>
      </c>
    </row>
    <row r="195" spans="1:18" ht="14.25" customHeight="1">
      <c r="A195" s="47">
        <f t="shared" si="48"/>
        <v>1706</v>
      </c>
      <c r="B195" s="152" t="s">
        <v>238</v>
      </c>
      <c r="C195" s="160"/>
      <c r="D195" s="152" t="s">
        <v>307</v>
      </c>
      <c r="E195" s="161" t="s">
        <v>625</v>
      </c>
      <c r="F195" s="154">
        <f>functies!$H$17</f>
        <v>0</v>
      </c>
      <c r="G195" s="158" t="str">
        <f t="shared" si="43"/>
        <v>ja</v>
      </c>
      <c r="H195" s="155"/>
      <c r="I195" s="155"/>
      <c r="J195" s="276">
        <f t="shared" si="44"/>
        <v>0</v>
      </c>
      <c r="K195" s="156"/>
      <c r="L195" s="276">
        <f t="shared" si="45"/>
        <v>0</v>
      </c>
      <c r="M195" s="105"/>
      <c r="N195" s="534">
        <v>248</v>
      </c>
      <c r="O195" s="530">
        <f t="shared" si="46"/>
        <v>248</v>
      </c>
      <c r="P195" s="530">
        <v>0.1013</v>
      </c>
      <c r="R195" s="541">
        <f t="shared" si="47"/>
        <v>0</v>
      </c>
    </row>
    <row r="196" spans="1:18" ht="14.25" customHeight="1">
      <c r="A196" s="47">
        <f t="shared" si="48"/>
        <v>1707</v>
      </c>
      <c r="B196" s="152" t="s">
        <v>239</v>
      </c>
      <c r="C196" s="160"/>
      <c r="D196" s="152" t="s">
        <v>308</v>
      </c>
      <c r="E196" s="161" t="s">
        <v>625</v>
      </c>
      <c r="F196" s="154">
        <f>functies!$H$17</f>
        <v>0</v>
      </c>
      <c r="G196" s="158" t="str">
        <f t="shared" si="43"/>
        <v>ja</v>
      </c>
      <c r="H196" s="155"/>
      <c r="I196" s="155"/>
      <c r="J196" s="276">
        <f t="shared" si="44"/>
        <v>0</v>
      </c>
      <c r="K196" s="156"/>
      <c r="L196" s="276">
        <f t="shared" si="45"/>
        <v>0</v>
      </c>
      <c r="M196" s="105"/>
      <c r="N196" s="534">
        <v>89</v>
      </c>
      <c r="O196" s="530">
        <f t="shared" si="46"/>
        <v>89</v>
      </c>
      <c r="P196" s="530">
        <v>0.0979</v>
      </c>
      <c r="R196" s="541">
        <f t="shared" si="47"/>
        <v>0</v>
      </c>
    </row>
    <row r="197" spans="1:18" ht="14.25" customHeight="1">
      <c r="A197" s="47">
        <f aca="true" t="shared" si="49" ref="A197:A213">A196+1</f>
        <v>1708</v>
      </c>
      <c r="B197" s="152" t="s">
        <v>240</v>
      </c>
      <c r="C197" s="160"/>
      <c r="D197" s="152" t="s">
        <v>309</v>
      </c>
      <c r="E197" s="161" t="s">
        <v>625</v>
      </c>
      <c r="F197" s="154">
        <f>functies!$H$17</f>
        <v>0</v>
      </c>
      <c r="G197" s="158" t="str">
        <f t="shared" si="43"/>
        <v>ja</v>
      </c>
      <c r="H197" s="155"/>
      <c r="I197" s="155"/>
      <c r="J197" s="276">
        <f t="shared" si="44"/>
        <v>0</v>
      </c>
      <c r="K197" s="156"/>
      <c r="L197" s="276">
        <f t="shared" si="45"/>
        <v>0</v>
      </c>
      <c r="M197" s="105"/>
      <c r="N197" s="534">
        <v>178</v>
      </c>
      <c r="O197" s="530">
        <f t="shared" si="46"/>
        <v>178</v>
      </c>
      <c r="P197" s="530">
        <v>0.0979</v>
      </c>
      <c r="R197" s="541">
        <f t="shared" si="47"/>
        <v>0</v>
      </c>
    </row>
    <row r="198" spans="1:18" ht="14.25" customHeight="1">
      <c r="A198" s="47">
        <f t="shared" si="49"/>
        <v>1709</v>
      </c>
      <c r="B198" s="152" t="s">
        <v>242</v>
      </c>
      <c r="C198" s="160"/>
      <c r="D198" s="152" t="s">
        <v>310</v>
      </c>
      <c r="E198" s="161" t="s">
        <v>625</v>
      </c>
      <c r="F198" s="154">
        <f>functies!$H$17</f>
        <v>0</v>
      </c>
      <c r="G198" s="158" t="str">
        <f t="shared" si="43"/>
        <v>ja</v>
      </c>
      <c r="H198" s="155"/>
      <c r="I198" s="155"/>
      <c r="J198" s="276">
        <f t="shared" si="44"/>
        <v>0</v>
      </c>
      <c r="K198" s="156"/>
      <c r="L198" s="276">
        <f t="shared" si="45"/>
        <v>0</v>
      </c>
      <c r="M198" s="105"/>
      <c r="N198" s="534">
        <v>102</v>
      </c>
      <c r="O198" s="530">
        <f t="shared" si="46"/>
        <v>102</v>
      </c>
      <c r="P198" s="530">
        <v>0.0994</v>
      </c>
      <c r="R198" s="541">
        <f t="shared" si="47"/>
        <v>0</v>
      </c>
    </row>
    <row r="199" spans="1:18" ht="14.25" customHeight="1">
      <c r="A199" s="47">
        <f t="shared" si="49"/>
        <v>1710</v>
      </c>
      <c r="B199" s="152" t="s">
        <v>243</v>
      </c>
      <c r="C199" s="160"/>
      <c r="D199" s="152" t="s">
        <v>311</v>
      </c>
      <c r="E199" s="161" t="s">
        <v>625</v>
      </c>
      <c r="F199" s="154">
        <f>functies!$H$17</f>
        <v>0</v>
      </c>
      <c r="G199" s="158" t="str">
        <f t="shared" si="43"/>
        <v>ja</v>
      </c>
      <c r="H199" s="155"/>
      <c r="I199" s="155"/>
      <c r="J199" s="276">
        <f t="shared" si="44"/>
        <v>0</v>
      </c>
      <c r="K199" s="156"/>
      <c r="L199" s="276">
        <f t="shared" si="45"/>
        <v>0</v>
      </c>
      <c r="M199" s="105"/>
      <c r="N199" s="534">
        <v>204</v>
      </c>
      <c r="O199" s="530">
        <f t="shared" si="46"/>
        <v>204</v>
      </c>
      <c r="P199" s="530">
        <v>0.0994</v>
      </c>
      <c r="R199" s="541">
        <f t="shared" si="47"/>
        <v>0</v>
      </c>
    </row>
    <row r="200" spans="1:18" ht="14.25" customHeight="1">
      <c r="A200" s="47">
        <f t="shared" si="49"/>
        <v>1711</v>
      </c>
      <c r="B200" s="152" t="s">
        <v>244</v>
      </c>
      <c r="C200" s="160"/>
      <c r="D200" s="152" t="s">
        <v>174</v>
      </c>
      <c r="E200" s="161" t="s">
        <v>625</v>
      </c>
      <c r="F200" s="154">
        <f>functies!$H$17</f>
        <v>0</v>
      </c>
      <c r="G200" s="158" t="str">
        <f t="shared" si="43"/>
        <v>ja</v>
      </c>
      <c r="H200" s="155"/>
      <c r="I200" s="155"/>
      <c r="J200" s="276">
        <f t="shared" si="44"/>
        <v>0</v>
      </c>
      <c r="K200" s="156"/>
      <c r="L200" s="276">
        <f t="shared" si="45"/>
        <v>0</v>
      </c>
      <c r="M200" s="105"/>
      <c r="N200" s="534">
        <v>62</v>
      </c>
      <c r="O200" s="530">
        <f t="shared" si="46"/>
        <v>62</v>
      </c>
      <c r="P200" s="530">
        <v>0.095</v>
      </c>
      <c r="R200" s="541">
        <f t="shared" si="47"/>
        <v>0</v>
      </c>
    </row>
    <row r="201" spans="1:18" ht="14.25" customHeight="1">
      <c r="A201" s="47">
        <f t="shared" si="49"/>
        <v>1712</v>
      </c>
      <c r="B201" s="152" t="s">
        <v>245</v>
      </c>
      <c r="C201" s="160"/>
      <c r="D201" s="152" t="s">
        <v>175</v>
      </c>
      <c r="E201" s="161" t="s">
        <v>625</v>
      </c>
      <c r="F201" s="154">
        <f>functies!$H$17</f>
        <v>0</v>
      </c>
      <c r="G201" s="158" t="str">
        <f t="shared" si="43"/>
        <v>ja</v>
      </c>
      <c r="H201" s="155"/>
      <c r="I201" s="155"/>
      <c r="J201" s="276">
        <f t="shared" si="44"/>
        <v>0</v>
      </c>
      <c r="K201" s="156"/>
      <c r="L201" s="276">
        <f t="shared" si="45"/>
        <v>0</v>
      </c>
      <c r="M201" s="105"/>
      <c r="N201" s="534">
        <v>123</v>
      </c>
      <c r="O201" s="530">
        <f t="shared" si="46"/>
        <v>123</v>
      </c>
      <c r="P201" s="530">
        <v>0.095</v>
      </c>
      <c r="R201" s="541">
        <f t="shared" si="47"/>
        <v>0</v>
      </c>
    </row>
    <row r="202" spans="1:18" ht="14.25" customHeight="1">
      <c r="A202" s="47">
        <f t="shared" si="49"/>
        <v>1713</v>
      </c>
      <c r="B202" s="152" t="s">
        <v>246</v>
      </c>
      <c r="C202" s="160"/>
      <c r="D202" s="152" t="s">
        <v>176</v>
      </c>
      <c r="E202" s="161" t="s">
        <v>625</v>
      </c>
      <c r="F202" s="154">
        <f>functies!$H$17</f>
        <v>0</v>
      </c>
      <c r="G202" s="158" t="str">
        <f t="shared" si="43"/>
        <v>ja</v>
      </c>
      <c r="H202" s="155"/>
      <c r="I202" s="155"/>
      <c r="J202" s="276">
        <f t="shared" si="44"/>
        <v>0</v>
      </c>
      <c r="K202" s="156"/>
      <c r="L202" s="276">
        <f t="shared" si="45"/>
        <v>0</v>
      </c>
      <c r="M202" s="105"/>
      <c r="N202" s="534">
        <v>78</v>
      </c>
      <c r="O202" s="530">
        <f t="shared" si="46"/>
        <v>78</v>
      </c>
      <c r="P202" s="530">
        <v>0.1017</v>
      </c>
      <c r="R202" s="541">
        <f t="shared" si="47"/>
        <v>0</v>
      </c>
    </row>
    <row r="203" spans="1:18" ht="14.25" customHeight="1">
      <c r="A203" s="47">
        <f t="shared" si="49"/>
        <v>1714</v>
      </c>
      <c r="B203" s="152" t="s">
        <v>247</v>
      </c>
      <c r="C203" s="160"/>
      <c r="D203" s="152" t="s">
        <v>177</v>
      </c>
      <c r="E203" s="161" t="s">
        <v>625</v>
      </c>
      <c r="F203" s="154">
        <f>functies!$H$17</f>
        <v>0</v>
      </c>
      <c r="G203" s="158" t="str">
        <f t="shared" si="43"/>
        <v>ja</v>
      </c>
      <c r="H203" s="155"/>
      <c r="I203" s="155"/>
      <c r="J203" s="276">
        <f t="shared" si="44"/>
        <v>0</v>
      </c>
      <c r="K203" s="156"/>
      <c r="L203" s="276">
        <f t="shared" si="45"/>
        <v>0</v>
      </c>
      <c r="M203" s="105"/>
      <c r="N203" s="534">
        <v>155</v>
      </c>
      <c r="O203" s="530">
        <f t="shared" si="46"/>
        <v>155</v>
      </c>
      <c r="P203" s="530">
        <v>0.1017</v>
      </c>
      <c r="R203" s="541">
        <f t="shared" si="47"/>
        <v>0</v>
      </c>
    </row>
    <row r="204" spans="1:18" ht="14.25" customHeight="1">
      <c r="A204" s="47">
        <f t="shared" si="49"/>
        <v>1715</v>
      </c>
      <c r="B204" s="152" t="s">
        <v>248</v>
      </c>
      <c r="C204" s="160"/>
      <c r="D204" s="152" t="s">
        <v>312</v>
      </c>
      <c r="E204" s="161" t="s">
        <v>625</v>
      </c>
      <c r="F204" s="154">
        <f>functies!$H$17</f>
        <v>0</v>
      </c>
      <c r="G204" s="158" t="str">
        <f t="shared" si="43"/>
        <v>ja</v>
      </c>
      <c r="H204" s="155"/>
      <c r="I204" s="155"/>
      <c r="J204" s="276">
        <f t="shared" si="44"/>
        <v>0</v>
      </c>
      <c r="K204" s="156"/>
      <c r="L204" s="276">
        <f t="shared" si="45"/>
        <v>0</v>
      </c>
      <c r="M204" s="105"/>
      <c r="N204" s="534">
        <v>70</v>
      </c>
      <c r="O204" s="530">
        <f t="shared" si="46"/>
        <v>70</v>
      </c>
      <c r="P204" s="530">
        <v>0.1007</v>
      </c>
      <c r="R204" s="541">
        <f t="shared" si="47"/>
        <v>0</v>
      </c>
    </row>
    <row r="205" spans="1:18" ht="14.25" customHeight="1">
      <c r="A205" s="47">
        <f t="shared" si="49"/>
        <v>1716</v>
      </c>
      <c r="B205" s="152" t="s">
        <v>249</v>
      </c>
      <c r="C205" s="160"/>
      <c r="D205" s="152" t="s">
        <v>313</v>
      </c>
      <c r="E205" s="161" t="s">
        <v>625</v>
      </c>
      <c r="F205" s="154">
        <f>functies!$H$17</f>
        <v>0</v>
      </c>
      <c r="G205" s="158" t="str">
        <f t="shared" si="43"/>
        <v>ja</v>
      </c>
      <c r="H205" s="155"/>
      <c r="I205" s="155"/>
      <c r="J205" s="276">
        <f t="shared" si="44"/>
        <v>0</v>
      </c>
      <c r="K205" s="156"/>
      <c r="L205" s="276">
        <f t="shared" si="45"/>
        <v>0</v>
      </c>
      <c r="M205" s="105"/>
      <c r="N205" s="534">
        <v>139</v>
      </c>
      <c r="O205" s="530">
        <f t="shared" si="46"/>
        <v>139</v>
      </c>
      <c r="P205" s="530">
        <v>0.1007</v>
      </c>
      <c r="R205" s="541">
        <f t="shared" si="47"/>
        <v>0</v>
      </c>
    </row>
    <row r="206" spans="1:18" ht="14.25" customHeight="1">
      <c r="A206" s="47">
        <f t="shared" si="49"/>
        <v>1717</v>
      </c>
      <c r="B206" s="152" t="s">
        <v>250</v>
      </c>
      <c r="C206" s="160"/>
      <c r="D206" s="152" t="s">
        <v>319</v>
      </c>
      <c r="E206" s="161" t="s">
        <v>625</v>
      </c>
      <c r="F206" s="154">
        <f>functies!$H$17</f>
        <v>0</v>
      </c>
      <c r="G206" s="158" t="str">
        <f t="shared" si="43"/>
        <v>ja</v>
      </c>
      <c r="H206" s="155"/>
      <c r="I206" s="155"/>
      <c r="J206" s="276">
        <f t="shared" si="44"/>
        <v>0</v>
      </c>
      <c r="K206" s="156"/>
      <c r="L206" s="276">
        <f t="shared" si="45"/>
        <v>0</v>
      </c>
      <c r="M206" s="105"/>
      <c r="N206" s="534">
        <v>88</v>
      </c>
      <c r="O206" s="530">
        <f t="shared" si="46"/>
        <v>88</v>
      </c>
      <c r="P206" s="530">
        <v>0.1026</v>
      </c>
      <c r="R206" s="541">
        <f t="shared" si="47"/>
        <v>0</v>
      </c>
    </row>
    <row r="207" spans="1:18" ht="14.25" customHeight="1">
      <c r="A207" s="47">
        <f t="shared" si="49"/>
        <v>1718</v>
      </c>
      <c r="B207" s="152" t="s">
        <v>251</v>
      </c>
      <c r="C207" s="160"/>
      <c r="D207" s="152" t="s">
        <v>320</v>
      </c>
      <c r="E207" s="161" t="s">
        <v>625</v>
      </c>
      <c r="F207" s="154">
        <f>functies!$H$17</f>
        <v>0</v>
      </c>
      <c r="G207" s="158" t="str">
        <f t="shared" si="43"/>
        <v>ja</v>
      </c>
      <c r="H207" s="155"/>
      <c r="I207" s="155"/>
      <c r="J207" s="276">
        <f t="shared" si="44"/>
        <v>0</v>
      </c>
      <c r="K207" s="156"/>
      <c r="L207" s="276">
        <f t="shared" si="45"/>
        <v>0</v>
      </c>
      <c r="M207" s="105"/>
      <c r="N207" s="534">
        <v>175</v>
      </c>
      <c r="O207" s="530">
        <f t="shared" si="46"/>
        <v>175</v>
      </c>
      <c r="P207" s="530">
        <v>0.1026</v>
      </c>
      <c r="R207" s="541">
        <f t="shared" si="47"/>
        <v>0</v>
      </c>
    </row>
    <row r="208" spans="1:18" ht="14.25" customHeight="1">
      <c r="A208" s="47">
        <f t="shared" si="49"/>
        <v>1719</v>
      </c>
      <c r="B208" s="152" t="s">
        <v>252</v>
      </c>
      <c r="C208" s="160"/>
      <c r="D208" s="152" t="s">
        <v>314</v>
      </c>
      <c r="E208" s="161" t="s">
        <v>625</v>
      </c>
      <c r="F208" s="154">
        <f>functies!$H$17</f>
        <v>0</v>
      </c>
      <c r="G208" s="158" t="str">
        <f t="shared" si="43"/>
        <v>ja</v>
      </c>
      <c r="H208" s="155"/>
      <c r="I208" s="155"/>
      <c r="J208" s="276">
        <f t="shared" si="44"/>
        <v>0</v>
      </c>
      <c r="K208" s="156"/>
      <c r="L208" s="276">
        <f t="shared" si="45"/>
        <v>0</v>
      </c>
      <c r="M208" s="105"/>
      <c r="N208" s="534">
        <v>35</v>
      </c>
      <c r="O208" s="530">
        <f t="shared" si="46"/>
        <v>35</v>
      </c>
      <c r="P208" s="530">
        <v>0.0914</v>
      </c>
      <c r="R208" s="541">
        <f t="shared" si="47"/>
        <v>0</v>
      </c>
    </row>
    <row r="209" spans="1:18" ht="14.25" customHeight="1">
      <c r="A209" s="47">
        <f t="shared" si="49"/>
        <v>1720</v>
      </c>
      <c r="B209" s="152" t="s">
        <v>253</v>
      </c>
      <c r="C209" s="160"/>
      <c r="D209" s="152" t="s">
        <v>315</v>
      </c>
      <c r="E209" s="161" t="s">
        <v>625</v>
      </c>
      <c r="F209" s="154">
        <f>functies!$H$17</f>
        <v>0</v>
      </c>
      <c r="G209" s="158" t="str">
        <f t="shared" si="43"/>
        <v>ja</v>
      </c>
      <c r="H209" s="155"/>
      <c r="I209" s="155"/>
      <c r="J209" s="276">
        <f t="shared" si="44"/>
        <v>0</v>
      </c>
      <c r="K209" s="156"/>
      <c r="L209" s="276">
        <f t="shared" si="45"/>
        <v>0</v>
      </c>
      <c r="M209" s="105"/>
      <c r="N209" s="534">
        <v>69</v>
      </c>
      <c r="O209" s="530">
        <f t="shared" si="46"/>
        <v>69</v>
      </c>
      <c r="P209" s="530">
        <v>0.0967</v>
      </c>
      <c r="R209" s="541">
        <f t="shared" si="47"/>
        <v>0</v>
      </c>
    </row>
    <row r="210" spans="1:18" ht="14.25" customHeight="1">
      <c r="A210" s="47">
        <f t="shared" si="49"/>
        <v>1721</v>
      </c>
      <c r="B210" s="152" t="s">
        <v>254</v>
      </c>
      <c r="C210" s="160"/>
      <c r="D210" s="152" t="s">
        <v>316</v>
      </c>
      <c r="E210" s="161" t="s">
        <v>625</v>
      </c>
      <c r="F210" s="154">
        <f>functies!$H$17</f>
        <v>0</v>
      </c>
      <c r="G210" s="158" t="str">
        <f t="shared" si="43"/>
        <v>ja</v>
      </c>
      <c r="H210" s="155"/>
      <c r="I210" s="155"/>
      <c r="J210" s="276">
        <f t="shared" si="44"/>
        <v>0</v>
      </c>
      <c r="K210" s="156"/>
      <c r="L210" s="276">
        <f t="shared" si="45"/>
        <v>0</v>
      </c>
      <c r="M210" s="105"/>
      <c r="N210" s="534">
        <v>49</v>
      </c>
      <c r="O210" s="530">
        <f t="shared" si="46"/>
        <v>49</v>
      </c>
      <c r="P210" s="530">
        <v>0.0967</v>
      </c>
      <c r="R210" s="541">
        <f t="shared" si="47"/>
        <v>0</v>
      </c>
    </row>
    <row r="211" spans="1:18" ht="14.25" customHeight="1">
      <c r="A211" s="47">
        <f t="shared" si="49"/>
        <v>1722</v>
      </c>
      <c r="B211" s="152" t="s">
        <v>255</v>
      </c>
      <c r="C211" s="160"/>
      <c r="D211" s="152" t="s">
        <v>317</v>
      </c>
      <c r="E211" s="161" t="s">
        <v>625</v>
      </c>
      <c r="F211" s="154">
        <f>functies!$H$17</f>
        <v>0</v>
      </c>
      <c r="G211" s="158" t="str">
        <f t="shared" si="43"/>
        <v>ja</v>
      </c>
      <c r="H211" s="155"/>
      <c r="I211" s="155"/>
      <c r="J211" s="276">
        <f t="shared" si="44"/>
        <v>0</v>
      </c>
      <c r="K211" s="156"/>
      <c r="L211" s="276">
        <f t="shared" si="45"/>
        <v>0</v>
      </c>
      <c r="M211" s="105"/>
      <c r="N211" s="534">
        <v>97</v>
      </c>
      <c r="O211" s="530">
        <f t="shared" si="46"/>
        <v>97</v>
      </c>
      <c r="P211" s="530">
        <v>0.0967</v>
      </c>
      <c r="R211" s="541">
        <f t="shared" si="47"/>
        <v>0</v>
      </c>
    </row>
    <row r="212" spans="1:18" ht="14.25" customHeight="1">
      <c r="A212" s="47">
        <f t="shared" si="49"/>
        <v>1723</v>
      </c>
      <c r="B212" s="174" t="s">
        <v>256</v>
      </c>
      <c r="C212" s="187"/>
      <c r="D212" s="174" t="s">
        <v>408</v>
      </c>
      <c r="E212" s="161" t="s">
        <v>625</v>
      </c>
      <c r="F212" s="154">
        <f>functies!$H$17</f>
        <v>0</v>
      </c>
      <c r="G212" s="158" t="str">
        <f t="shared" si="43"/>
        <v>ja</v>
      </c>
      <c r="H212" s="178"/>
      <c r="I212" s="178"/>
      <c r="J212" s="277">
        <f t="shared" si="44"/>
        <v>0</v>
      </c>
      <c r="K212" s="179"/>
      <c r="L212" s="276">
        <f t="shared" si="45"/>
        <v>0</v>
      </c>
      <c r="M212" s="105"/>
      <c r="N212" s="534">
        <v>193</v>
      </c>
      <c r="O212" s="530">
        <f t="shared" si="46"/>
        <v>193</v>
      </c>
      <c r="P212" s="530">
        <v>0.1021</v>
      </c>
      <c r="R212" s="541">
        <f t="shared" si="47"/>
        <v>0</v>
      </c>
    </row>
    <row r="213" spans="1:18" ht="14.25" customHeight="1">
      <c r="A213" s="47">
        <f t="shared" si="49"/>
        <v>1724</v>
      </c>
      <c r="B213" s="180"/>
      <c r="C213" s="168"/>
      <c r="D213" s="169" t="s">
        <v>217</v>
      </c>
      <c r="E213" s="169"/>
      <c r="F213" s="169"/>
      <c r="G213" s="169"/>
      <c r="H213" s="171"/>
      <c r="I213" s="171"/>
      <c r="J213" s="171"/>
      <c r="K213" s="189"/>
      <c r="L213" s="172">
        <f>SUM(L190:L212)</f>
        <v>0</v>
      </c>
      <c r="M213" s="141"/>
      <c r="N213" s="537"/>
      <c r="O213" s="530">
        <f>IF(G213="ja",N213*0.95,N213)</f>
        <v>0</v>
      </c>
      <c r="R213" s="172">
        <f>SUM(R190:R212)</f>
        <v>0</v>
      </c>
    </row>
    <row r="214" spans="1:14" ht="14.25" customHeight="1">
      <c r="A214" s="486"/>
      <c r="B214" s="136"/>
      <c r="C214" s="130"/>
      <c r="D214" s="136"/>
      <c r="E214" s="136"/>
      <c r="F214" s="136"/>
      <c r="G214" s="136"/>
      <c r="H214" s="141"/>
      <c r="I214" s="141"/>
      <c r="J214" s="141"/>
      <c r="K214" s="142"/>
      <c r="L214" s="141"/>
      <c r="M214" s="141"/>
      <c r="N214" s="538"/>
    </row>
    <row r="215" spans="2:15" ht="14.25" customHeight="1">
      <c r="B215" s="136" t="s">
        <v>330</v>
      </c>
      <c r="D215" s="144"/>
      <c r="E215" s="144"/>
      <c r="F215" s="144"/>
      <c r="G215" s="144"/>
      <c r="H215" s="126"/>
      <c r="I215" s="126"/>
      <c r="J215" s="126"/>
      <c r="K215" s="145"/>
      <c r="L215" s="126"/>
      <c r="M215" s="126"/>
      <c r="O215" s="530">
        <f>IF(G215="ja",N215*0.95,N215)</f>
        <v>0</v>
      </c>
    </row>
    <row r="216" spans="2:15" ht="14.25" customHeight="1">
      <c r="B216" s="130"/>
      <c r="D216" s="144"/>
      <c r="E216" s="144"/>
      <c r="F216" s="144"/>
      <c r="G216" s="144"/>
      <c r="H216" s="126"/>
      <c r="I216" s="126"/>
      <c r="J216" s="126"/>
      <c r="K216" s="145"/>
      <c r="L216" s="126"/>
      <c r="M216" s="126"/>
      <c r="O216" s="530">
        <f>IF(G216="ja",N216*0.95,N216)</f>
        <v>0</v>
      </c>
    </row>
    <row r="217" spans="1:18" s="17" customFormat="1" ht="14.25" customHeight="1">
      <c r="A217" s="475">
        <f>A213+1</f>
        <v>1725</v>
      </c>
      <c r="B217" s="115" t="s">
        <v>257</v>
      </c>
      <c r="C217" s="152" t="s">
        <v>282</v>
      </c>
      <c r="D217" s="153" t="s">
        <v>283</v>
      </c>
      <c r="E217" s="152" t="s">
        <v>617</v>
      </c>
      <c r="F217" s="154">
        <f>functies!H16</f>
        <v>0</v>
      </c>
      <c r="G217" s="158" t="str">
        <f>$F$10</f>
        <v>ja</v>
      </c>
      <c r="H217" s="159"/>
      <c r="I217" s="159"/>
      <c r="J217" s="276">
        <f>I217-H217</f>
        <v>0</v>
      </c>
      <c r="K217" s="156"/>
      <c r="L217" s="276">
        <f>K217*I217</f>
        <v>0</v>
      </c>
      <c r="M217" s="146"/>
      <c r="N217" s="529">
        <v>132.7</v>
      </c>
      <c r="O217" s="530">
        <f>IF(G217="nee",ROUND(N217*(1-P217),1),N217)</f>
        <v>132.7</v>
      </c>
      <c r="P217" s="530">
        <v>0.1024</v>
      </c>
      <c r="Q217" s="530"/>
      <c r="R217" s="541">
        <f>H217*K217</f>
        <v>0</v>
      </c>
    </row>
    <row r="218" spans="1:18" ht="14.25" customHeight="1">
      <c r="A218" s="47">
        <f>A217+1</f>
        <v>1726</v>
      </c>
      <c r="B218" s="152" t="s">
        <v>258</v>
      </c>
      <c r="C218" s="160"/>
      <c r="D218" s="152" t="s">
        <v>318</v>
      </c>
      <c r="E218" s="161" t="s">
        <v>625</v>
      </c>
      <c r="F218" s="154">
        <f>functies!H16</f>
        <v>0</v>
      </c>
      <c r="G218" s="158" t="str">
        <f>$F$10</f>
        <v>ja</v>
      </c>
      <c r="H218" s="155"/>
      <c r="I218" s="155"/>
      <c r="J218" s="276">
        <f>I218-H218</f>
        <v>0</v>
      </c>
      <c r="K218" s="156"/>
      <c r="L218" s="276">
        <f>K218*I218</f>
        <v>0</v>
      </c>
      <c r="M218" s="105"/>
      <c r="N218" s="534">
        <v>152.1</v>
      </c>
      <c r="O218" s="530">
        <f>IF(G218="nee",ROUND(N218*(1-P218),1),N218)</f>
        <v>152.1</v>
      </c>
      <c r="P218" s="530">
        <v>0.1024</v>
      </c>
      <c r="R218" s="541">
        <f>H218*K218</f>
        <v>0</v>
      </c>
    </row>
    <row r="219" spans="1:18" s="17" customFormat="1" ht="14.25" customHeight="1">
      <c r="A219" s="47">
        <f>A218+1</f>
        <v>1727</v>
      </c>
      <c r="B219" s="115" t="s">
        <v>264</v>
      </c>
      <c r="C219" s="152" t="s">
        <v>279</v>
      </c>
      <c r="D219" s="153" t="s">
        <v>280</v>
      </c>
      <c r="E219" s="152" t="s">
        <v>617</v>
      </c>
      <c r="F219" s="154">
        <f>functies!H15</f>
        <v>0</v>
      </c>
      <c r="G219" s="158" t="str">
        <f>$F$10</f>
        <v>ja</v>
      </c>
      <c r="H219" s="159"/>
      <c r="I219" s="159"/>
      <c r="J219" s="276">
        <f>I219-H219</f>
        <v>0</v>
      </c>
      <c r="K219" s="156"/>
      <c r="L219" s="276">
        <f>K219*I219</f>
        <v>0</v>
      </c>
      <c r="M219" s="146"/>
      <c r="N219" s="529">
        <v>80</v>
      </c>
      <c r="O219" s="530">
        <f>IF(G219="nee",ROUND(N219*(1-P219),1),N219)</f>
        <v>80</v>
      </c>
      <c r="P219" s="530">
        <v>0.1024</v>
      </c>
      <c r="Q219" s="530"/>
      <c r="R219" s="541">
        <f>H219*K219</f>
        <v>0</v>
      </c>
    </row>
    <row r="220" spans="1:18" s="17" customFormat="1" ht="14.25" customHeight="1">
      <c r="A220" s="47">
        <f>A219+1</f>
        <v>1728</v>
      </c>
      <c r="B220" s="186" t="s">
        <v>499</v>
      </c>
      <c r="C220" s="174" t="s">
        <v>288</v>
      </c>
      <c r="D220" s="174" t="s">
        <v>406</v>
      </c>
      <c r="E220" s="174" t="s">
        <v>617</v>
      </c>
      <c r="F220" s="592" t="str">
        <f>IF(OR(functies!$H$15="ja",functies!$H$16="ja"),"ja","nee")</f>
        <v>nee</v>
      </c>
      <c r="G220" s="158" t="str">
        <f>$F$10</f>
        <v>ja</v>
      </c>
      <c r="H220" s="177"/>
      <c r="I220" s="177"/>
      <c r="J220" s="277">
        <f>I220-H220</f>
        <v>0</v>
      </c>
      <c r="K220" s="179"/>
      <c r="L220" s="276">
        <f>K220*I220</f>
        <v>0</v>
      </c>
      <c r="M220" s="146"/>
      <c r="N220" s="529">
        <v>8.2</v>
      </c>
      <c r="O220" s="530">
        <f>IF(G220="nee",ROUND(N220*(1-P220),1),N220)</f>
        <v>8.2</v>
      </c>
      <c r="P220" s="530">
        <v>0.1024</v>
      </c>
      <c r="Q220" s="530"/>
      <c r="R220" s="541">
        <f>H220*K220</f>
        <v>0</v>
      </c>
    </row>
    <row r="221" spans="1:18" ht="14.25" customHeight="1">
      <c r="A221" s="47">
        <f>A220+1</f>
        <v>1729</v>
      </c>
      <c r="B221" s="180"/>
      <c r="C221" s="168"/>
      <c r="D221" s="169" t="s">
        <v>217</v>
      </c>
      <c r="E221" s="169"/>
      <c r="F221" s="169"/>
      <c r="G221" s="169"/>
      <c r="H221" s="171"/>
      <c r="I221" s="171"/>
      <c r="J221" s="171"/>
      <c r="K221" s="172"/>
      <c r="L221" s="172">
        <f>SUM(L217:L220)</f>
        <v>0</v>
      </c>
      <c r="M221" s="141"/>
      <c r="N221" s="539"/>
      <c r="R221" s="172">
        <f>SUM(R217:R220)</f>
        <v>0</v>
      </c>
    </row>
    <row r="222" spans="2:14" ht="14.25" customHeight="1">
      <c r="B222" s="184"/>
      <c r="C222" s="184"/>
      <c r="D222" s="184"/>
      <c r="E222" s="184"/>
      <c r="F222" s="184"/>
      <c r="G222" s="184"/>
      <c r="H222" s="114"/>
      <c r="I222" s="114"/>
      <c r="J222" s="114"/>
      <c r="K222" s="114"/>
      <c r="L222" s="114"/>
      <c r="M222" s="114"/>
      <c r="N222" s="527"/>
    </row>
    <row r="223" spans="1:18" ht="14.25" customHeight="1">
      <c r="A223" s="475">
        <f>+A221+1</f>
        <v>1730</v>
      </c>
      <c r="B223" s="185"/>
      <c r="C223" s="169"/>
      <c r="D223" s="169" t="s">
        <v>217</v>
      </c>
      <c r="E223" s="169"/>
      <c r="F223" s="169"/>
      <c r="G223" s="169"/>
      <c r="H223" s="171"/>
      <c r="I223" s="171"/>
      <c r="J223" s="171"/>
      <c r="K223" s="172"/>
      <c r="L223" s="166">
        <f>L221+L213+L180+L169+L155+L133+L119</f>
        <v>0</v>
      </c>
      <c r="M223" s="141"/>
      <c r="N223" s="540"/>
      <c r="R223" s="166">
        <f>R221+R213+R180+R169+R155+R133+R119</f>
        <v>0</v>
      </c>
    </row>
    <row r="224" spans="1:14" ht="14.25" customHeight="1">
      <c r="A224" s="476"/>
      <c r="B224" s="130"/>
      <c r="C224" s="136"/>
      <c r="D224" s="136"/>
      <c r="E224" s="136"/>
      <c r="F224" s="136"/>
      <c r="G224" s="136"/>
      <c r="H224" s="141"/>
      <c r="I224" s="141"/>
      <c r="J224" s="141"/>
      <c r="K224" s="141"/>
      <c r="L224" s="141"/>
      <c r="M224" s="141"/>
      <c r="N224" s="540"/>
    </row>
    <row r="225" spans="1:22" s="3" customFormat="1" ht="14.25" customHeight="1">
      <c r="A225" s="478"/>
      <c r="N225" s="521"/>
      <c r="O225" s="542"/>
      <c r="P225" s="542"/>
      <c r="Q225" s="543"/>
      <c r="R225" s="542"/>
      <c r="S225" s="236"/>
      <c r="T225" s="236"/>
      <c r="U225" s="238"/>
      <c r="V225" s="239"/>
    </row>
    <row r="226" spans="1:19" s="108" customFormat="1" ht="14.25" customHeight="1">
      <c r="A226" s="479" t="str">
        <f>voorblad!$A$20</f>
        <v>Mutatieformulier regiokader gehandicaptenzorg 2006</v>
      </c>
      <c r="B226" s="1"/>
      <c r="C226" s="228"/>
      <c r="D226" s="255"/>
      <c r="E226" s="228"/>
      <c r="F226" s="228"/>
      <c r="G226" s="241" t="str">
        <f>"versie: "&amp;TEXT(voorblad!$L$25,"dd-mm-jjjj")</f>
        <v>versie: 11-09-2006</v>
      </c>
      <c r="H226" s="2"/>
      <c r="I226" s="243"/>
      <c r="J226" s="2"/>
      <c r="K226" s="244"/>
      <c r="L226" s="244">
        <f>L184+1</f>
        <v>18</v>
      </c>
      <c r="M226" s="245"/>
      <c r="N226" s="522"/>
      <c r="O226" s="544"/>
      <c r="P226" s="545"/>
      <c r="Q226" s="546"/>
      <c r="R226" s="109"/>
      <c r="S226" s="2"/>
    </row>
    <row r="227" spans="1:18" s="3" customFormat="1" ht="14.25" customHeight="1">
      <c r="A227" s="480"/>
      <c r="B227" s="232"/>
      <c r="C227" s="230" t="s">
        <v>601</v>
      </c>
      <c r="D227" s="257">
        <v>0</v>
      </c>
      <c r="E227" s="233"/>
      <c r="F227" s="233"/>
      <c r="G227" s="2"/>
      <c r="H227" s="234"/>
      <c r="I227" s="235"/>
      <c r="J227" s="2"/>
      <c r="K227" s="9"/>
      <c r="L227" s="2"/>
      <c r="M227" s="229"/>
      <c r="N227" s="523"/>
      <c r="O227" s="547"/>
      <c r="P227" s="547"/>
      <c r="Q227" s="521"/>
      <c r="R227" s="796"/>
    </row>
    <row r="228" spans="2:15" ht="14.25" customHeight="1">
      <c r="B228" s="136" t="s">
        <v>594</v>
      </c>
      <c r="D228" s="144"/>
      <c r="E228" s="144"/>
      <c r="F228" s="144"/>
      <c r="G228" s="144"/>
      <c r="H228" s="126"/>
      <c r="I228" s="126"/>
      <c r="J228" s="126"/>
      <c r="K228" s="145"/>
      <c r="L228" s="126"/>
      <c r="M228" s="126"/>
      <c r="O228" s="530">
        <f>IF(G228="ja",N228*0.95,N228)</f>
        <v>0</v>
      </c>
    </row>
    <row r="229" spans="2:13" ht="14.25" customHeight="1">
      <c r="B229" s="136"/>
      <c r="D229" s="144"/>
      <c r="E229" s="144"/>
      <c r="F229" s="144"/>
      <c r="G229" s="144"/>
      <c r="H229" s="126"/>
      <c r="I229" s="126"/>
      <c r="J229" s="126"/>
      <c r="K229" s="145"/>
      <c r="L229" s="126"/>
      <c r="M229" s="126"/>
    </row>
    <row r="230" spans="2:13" ht="14.25" customHeight="1">
      <c r="B230" s="136"/>
      <c r="D230" s="144"/>
      <c r="E230" s="211" t="s">
        <v>616</v>
      </c>
      <c r="F230" s="211" t="s">
        <v>216</v>
      </c>
      <c r="G230" s="211" t="s">
        <v>464</v>
      </c>
      <c r="H230" s="212" t="s">
        <v>572</v>
      </c>
      <c r="I230" s="212" t="s">
        <v>881</v>
      </c>
      <c r="J230" s="212" t="s">
        <v>218</v>
      </c>
      <c r="K230" s="213" t="s">
        <v>465</v>
      </c>
      <c r="L230" s="212" t="s">
        <v>576</v>
      </c>
      <c r="M230" s="126"/>
    </row>
    <row r="231" spans="2:13" ht="14.25" customHeight="1">
      <c r="B231" s="136"/>
      <c r="D231" s="144"/>
      <c r="E231" s="214"/>
      <c r="F231" s="215" t="s">
        <v>219</v>
      </c>
      <c r="G231" s="215" t="s">
        <v>466</v>
      </c>
      <c r="H231" s="216" t="s">
        <v>573</v>
      </c>
      <c r="I231" s="216" t="s">
        <v>473</v>
      </c>
      <c r="J231" s="216" t="s">
        <v>574</v>
      </c>
      <c r="K231" s="217" t="s">
        <v>467</v>
      </c>
      <c r="L231" s="216" t="s">
        <v>473</v>
      </c>
      <c r="M231" s="126"/>
    </row>
    <row r="232" spans="2:15" ht="14.25" customHeight="1">
      <c r="B232" s="130"/>
      <c r="D232" s="144"/>
      <c r="E232" s="218"/>
      <c r="F232" s="218"/>
      <c r="G232" s="219" t="s">
        <v>468</v>
      </c>
      <c r="H232" s="220">
        <v>2006</v>
      </c>
      <c r="I232" s="220">
        <v>2006</v>
      </c>
      <c r="J232" s="220" t="s">
        <v>573</v>
      </c>
      <c r="K232" s="221">
        <v>2006</v>
      </c>
      <c r="L232" s="220">
        <v>2006</v>
      </c>
      <c r="M232" s="126"/>
      <c r="O232" s="530">
        <f>IF(G232="ja",N232*0.95,N232)</f>
        <v>0</v>
      </c>
    </row>
    <row r="233" spans="1:18" s="17" customFormat="1" ht="14.25" customHeight="1">
      <c r="A233" s="475">
        <f>L226*100+1</f>
        <v>1801</v>
      </c>
      <c r="B233" s="115" t="s">
        <v>577</v>
      </c>
      <c r="C233" s="152"/>
      <c r="D233" s="153" t="s">
        <v>586</v>
      </c>
      <c r="E233" s="152" t="s">
        <v>626</v>
      </c>
      <c r="F233" s="154" t="str">
        <f>IF(I70+I73&gt;0,"ja","nee")</f>
        <v>nee</v>
      </c>
      <c r="G233" s="154" t="s">
        <v>593</v>
      </c>
      <c r="H233" s="159"/>
      <c r="I233" s="159"/>
      <c r="J233" s="276">
        <f aca="true" t="shared" si="50" ref="J233:J240">I233-H233</f>
        <v>0</v>
      </c>
      <c r="K233" s="156"/>
      <c r="L233" s="276">
        <f aca="true" t="shared" si="51" ref="L233:L241">K233*I233</f>
        <v>0</v>
      </c>
      <c r="M233" s="146"/>
      <c r="N233" s="529">
        <v>10.5</v>
      </c>
      <c r="O233" s="530">
        <f aca="true" t="shared" si="52" ref="O233:O241">IF(G233="nee",ROUND(N233*(1-P233),1),N233)</f>
        <v>10.5</v>
      </c>
      <c r="P233" s="530"/>
      <c r="Q233" s="530"/>
      <c r="R233" s="541">
        <f aca="true" t="shared" si="53" ref="R233:R241">H233*K233</f>
        <v>0</v>
      </c>
    </row>
    <row r="234" spans="1:18" s="17" customFormat="1" ht="14.25" customHeight="1">
      <c r="A234" s="47">
        <f aca="true" t="shared" si="54" ref="A234:A242">A233+1</f>
        <v>1802</v>
      </c>
      <c r="B234" s="115" t="s">
        <v>578</v>
      </c>
      <c r="C234" s="152"/>
      <c r="D234" s="153" t="s">
        <v>587</v>
      </c>
      <c r="E234" s="152" t="s">
        <v>626</v>
      </c>
      <c r="F234" s="154" t="str">
        <f>IF(I71&gt;0,"ja","nee")</f>
        <v>nee</v>
      </c>
      <c r="G234" s="154" t="s">
        <v>593</v>
      </c>
      <c r="H234" s="159"/>
      <c r="I234" s="159"/>
      <c r="J234" s="276">
        <f t="shared" si="50"/>
        <v>0</v>
      </c>
      <c r="K234" s="156"/>
      <c r="L234" s="276">
        <f t="shared" si="51"/>
        <v>0</v>
      </c>
      <c r="M234" s="146"/>
      <c r="N234" s="529">
        <v>17.6</v>
      </c>
      <c r="O234" s="530">
        <f t="shared" si="52"/>
        <v>17.6</v>
      </c>
      <c r="P234" s="530"/>
      <c r="Q234" s="530"/>
      <c r="R234" s="541">
        <f t="shared" si="53"/>
        <v>0</v>
      </c>
    </row>
    <row r="235" spans="1:18" s="17" customFormat="1" ht="14.25" customHeight="1">
      <c r="A235" s="47">
        <f t="shared" si="54"/>
        <v>1803</v>
      </c>
      <c r="B235" s="115" t="s">
        <v>579</v>
      </c>
      <c r="C235" s="152"/>
      <c r="D235" s="153" t="s">
        <v>588</v>
      </c>
      <c r="E235" s="152" t="s">
        <v>626</v>
      </c>
      <c r="F235" s="154" t="str">
        <f>IF(I72&gt;0,"ja","nee")</f>
        <v>nee</v>
      </c>
      <c r="G235" s="154" t="s">
        <v>593</v>
      </c>
      <c r="H235" s="159"/>
      <c r="I235" s="159"/>
      <c r="J235" s="276">
        <f t="shared" si="50"/>
        <v>0</v>
      </c>
      <c r="K235" s="156"/>
      <c r="L235" s="276">
        <f t="shared" si="51"/>
        <v>0</v>
      </c>
      <c r="M235" s="146"/>
      <c r="N235" s="529">
        <v>10.1</v>
      </c>
      <c r="O235" s="530">
        <f t="shared" si="52"/>
        <v>10.1</v>
      </c>
      <c r="P235" s="530"/>
      <c r="Q235" s="530"/>
      <c r="R235" s="541">
        <f t="shared" si="53"/>
        <v>0</v>
      </c>
    </row>
    <row r="236" spans="1:18" s="17" customFormat="1" ht="14.25" customHeight="1">
      <c r="A236" s="47">
        <f t="shared" si="54"/>
        <v>1804</v>
      </c>
      <c r="B236" s="115" t="s">
        <v>179</v>
      </c>
      <c r="C236" s="152"/>
      <c r="D236" s="153" t="s">
        <v>178</v>
      </c>
      <c r="E236" s="152" t="s">
        <v>626</v>
      </c>
      <c r="F236" s="154" t="str">
        <f>IF(I74+I75&gt;0,"ja","nee")</f>
        <v>nee</v>
      </c>
      <c r="G236" s="154" t="s">
        <v>593</v>
      </c>
      <c r="H236" s="159"/>
      <c r="I236" s="159"/>
      <c r="J236" s="276">
        <f t="shared" si="50"/>
        <v>0</v>
      </c>
      <c r="K236" s="156"/>
      <c r="L236" s="276">
        <f t="shared" si="51"/>
        <v>0</v>
      </c>
      <c r="M236" s="146"/>
      <c r="N236" s="529">
        <v>21.6</v>
      </c>
      <c r="O236" s="530">
        <f t="shared" si="52"/>
        <v>21.6</v>
      </c>
      <c r="P236" s="530"/>
      <c r="Q236" s="530"/>
      <c r="R236" s="541">
        <f t="shared" si="53"/>
        <v>0</v>
      </c>
    </row>
    <row r="237" spans="1:18" s="17" customFormat="1" ht="14.25" customHeight="1">
      <c r="A237" s="47">
        <f t="shared" si="54"/>
        <v>1805</v>
      </c>
      <c r="B237" s="115" t="s">
        <v>580</v>
      </c>
      <c r="C237" s="152"/>
      <c r="D237" s="153" t="s">
        <v>589</v>
      </c>
      <c r="E237" s="152" t="s">
        <v>626</v>
      </c>
      <c r="F237" s="154" t="str">
        <f>IF(I69&gt;0,"ja","nee")</f>
        <v>nee</v>
      </c>
      <c r="G237" s="154" t="s">
        <v>593</v>
      </c>
      <c r="H237" s="159"/>
      <c r="I237" s="159"/>
      <c r="J237" s="276">
        <f t="shared" si="50"/>
        <v>0</v>
      </c>
      <c r="K237" s="156"/>
      <c r="L237" s="276">
        <f t="shared" si="51"/>
        <v>0</v>
      </c>
      <c r="M237" s="146"/>
      <c r="N237" s="529">
        <v>18.7</v>
      </c>
      <c r="O237" s="530">
        <f t="shared" si="52"/>
        <v>18.7</v>
      </c>
      <c r="P237" s="530"/>
      <c r="Q237" s="530"/>
      <c r="R237" s="541">
        <f t="shared" si="53"/>
        <v>0</v>
      </c>
    </row>
    <row r="238" spans="1:18" s="17" customFormat="1" ht="14.25" customHeight="1">
      <c r="A238" s="47">
        <f>A237+1</f>
        <v>1806</v>
      </c>
      <c r="B238" s="115" t="s">
        <v>581</v>
      </c>
      <c r="C238" s="152"/>
      <c r="D238" s="153" t="s">
        <v>590</v>
      </c>
      <c r="E238" s="152" t="s">
        <v>626</v>
      </c>
      <c r="F238" s="154" t="str">
        <f>IF(I66+I67+I68&gt;0,"ja","nee")</f>
        <v>nee</v>
      </c>
      <c r="G238" s="154" t="s">
        <v>593</v>
      </c>
      <c r="H238" s="159"/>
      <c r="I238" s="159"/>
      <c r="J238" s="276">
        <f t="shared" si="50"/>
        <v>0</v>
      </c>
      <c r="K238" s="156"/>
      <c r="L238" s="276">
        <f t="shared" si="51"/>
        <v>0</v>
      </c>
      <c r="M238" s="146"/>
      <c r="N238" s="529">
        <v>14.5</v>
      </c>
      <c r="O238" s="530">
        <f t="shared" si="52"/>
        <v>14.5</v>
      </c>
      <c r="P238" s="530"/>
      <c r="Q238" s="530"/>
      <c r="R238" s="541">
        <f t="shared" si="53"/>
        <v>0</v>
      </c>
    </row>
    <row r="239" spans="1:18" ht="14.25" customHeight="1">
      <c r="A239" s="47">
        <f t="shared" si="54"/>
        <v>1807</v>
      </c>
      <c r="B239" s="152" t="s">
        <v>582</v>
      </c>
      <c r="C239" s="160"/>
      <c r="D239" s="152" t="s">
        <v>591</v>
      </c>
      <c r="E239" s="152" t="s">
        <v>626</v>
      </c>
      <c r="F239" s="154" t="str">
        <f>IF(I220+L213&gt;0,"ja","nee")</f>
        <v>nee</v>
      </c>
      <c r="G239" s="154" t="s">
        <v>593</v>
      </c>
      <c r="H239" s="155"/>
      <c r="I239" s="155"/>
      <c r="J239" s="276">
        <f t="shared" si="50"/>
        <v>0</v>
      </c>
      <c r="K239" s="156"/>
      <c r="L239" s="276">
        <f t="shared" si="51"/>
        <v>0</v>
      </c>
      <c r="M239" s="105"/>
      <c r="N239" s="534">
        <v>14.6</v>
      </c>
      <c r="O239" s="530">
        <f t="shared" si="52"/>
        <v>14.6</v>
      </c>
      <c r="R239" s="541">
        <f t="shared" si="53"/>
        <v>0</v>
      </c>
    </row>
    <row r="240" spans="1:18" s="17" customFormat="1" ht="14.25" customHeight="1">
      <c r="A240" s="47">
        <f t="shared" si="54"/>
        <v>1808</v>
      </c>
      <c r="B240" s="115" t="s">
        <v>585</v>
      </c>
      <c r="C240" s="152"/>
      <c r="D240" s="153" t="s">
        <v>592</v>
      </c>
      <c r="E240" s="152" t="s">
        <v>626</v>
      </c>
      <c r="F240" s="154" t="str">
        <f>IF(I37+I76&gt;0,"ja","nee")</f>
        <v>nee</v>
      </c>
      <c r="G240" s="154" t="s">
        <v>593</v>
      </c>
      <c r="H240" s="159"/>
      <c r="I240" s="159"/>
      <c r="J240" s="276">
        <f t="shared" si="50"/>
        <v>0</v>
      </c>
      <c r="K240" s="156"/>
      <c r="L240" s="276">
        <f t="shared" si="51"/>
        <v>0</v>
      </c>
      <c r="M240" s="146"/>
      <c r="N240" s="529">
        <v>10.1</v>
      </c>
      <c r="O240" s="530">
        <f t="shared" si="52"/>
        <v>10.1</v>
      </c>
      <c r="P240" s="530"/>
      <c r="Q240" s="530"/>
      <c r="R240" s="541">
        <f t="shared" si="53"/>
        <v>0</v>
      </c>
    </row>
    <row r="241" spans="1:18" s="17" customFormat="1" ht="14.25" customHeight="1">
      <c r="A241" s="47">
        <f t="shared" si="54"/>
        <v>1809</v>
      </c>
      <c r="B241" s="173" t="s">
        <v>595</v>
      </c>
      <c r="C241" s="174"/>
      <c r="D241" s="175" t="s">
        <v>596</v>
      </c>
      <c r="E241" s="174" t="s">
        <v>623</v>
      </c>
      <c r="F241" s="176" t="str">
        <f>IF(I57+I59+I60+I61+I62+I63&gt;0,"ja","nee")</f>
        <v>nee</v>
      </c>
      <c r="G241" s="176" t="s">
        <v>439</v>
      </c>
      <c r="H241" s="177"/>
      <c r="I241" s="177"/>
      <c r="J241" s="277">
        <f>I241-H241</f>
        <v>0</v>
      </c>
      <c r="K241" s="179"/>
      <c r="L241" s="276">
        <f t="shared" si="51"/>
        <v>0</v>
      </c>
      <c r="M241" s="146"/>
      <c r="N241" s="529">
        <v>21.9</v>
      </c>
      <c r="O241" s="530">
        <f t="shared" si="52"/>
        <v>21.9</v>
      </c>
      <c r="P241" s="530"/>
      <c r="Q241" s="530"/>
      <c r="R241" s="541">
        <f t="shared" si="53"/>
        <v>0</v>
      </c>
    </row>
    <row r="242" spans="1:18" ht="14.25" customHeight="1">
      <c r="A242" s="47">
        <f t="shared" si="54"/>
        <v>1810</v>
      </c>
      <c r="B242" s="180"/>
      <c r="C242" s="168"/>
      <c r="D242" s="169" t="s">
        <v>217</v>
      </c>
      <c r="E242" s="169"/>
      <c r="F242" s="169"/>
      <c r="G242" s="169"/>
      <c r="H242" s="171"/>
      <c r="I242" s="171"/>
      <c r="J242" s="171"/>
      <c r="K242" s="172"/>
      <c r="L242" s="172">
        <f>SUM(L233:L241)</f>
        <v>0</v>
      </c>
      <c r="M242" s="141"/>
      <c r="N242" s="539"/>
      <c r="R242" s="172">
        <f>SUM(R233:R241)</f>
        <v>0</v>
      </c>
    </row>
    <row r="243" spans="1:13" ht="14.25" customHeight="1">
      <c r="A243" s="499" t="s">
        <v>627</v>
      </c>
      <c r="B243" s="136"/>
      <c r="D243" s="144"/>
      <c r="E243" s="144"/>
      <c r="F243" s="144"/>
      <c r="G243" s="144"/>
      <c r="H243" s="126"/>
      <c r="I243" s="126"/>
      <c r="J243" s="126"/>
      <c r="K243" s="145"/>
      <c r="L243" s="126"/>
      <c r="M243" s="126"/>
    </row>
    <row r="244" spans="1:13" ht="14.25" customHeight="1">
      <c r="A244" s="281"/>
      <c r="B244" s="136"/>
      <c r="D244" s="144"/>
      <c r="E244" s="144"/>
      <c r="F244" s="144"/>
      <c r="G244" s="144"/>
      <c r="H244" s="126"/>
      <c r="I244" s="126"/>
      <c r="J244" s="126"/>
      <c r="K244" s="145"/>
      <c r="L244" s="126"/>
      <c r="M244" s="126"/>
    </row>
    <row r="245" spans="1:13" ht="14.25" customHeight="1">
      <c r="A245" s="281"/>
      <c r="B245" s="136"/>
      <c r="D245" s="144"/>
      <c r="E245" s="144"/>
      <c r="F245" s="144"/>
      <c r="G245" s="144"/>
      <c r="H245" s="126"/>
      <c r="I245" s="126"/>
      <c r="J245" s="126"/>
      <c r="K245" s="145"/>
      <c r="L245" s="126"/>
      <c r="M245" s="126"/>
    </row>
    <row r="246" spans="1:18" ht="14.25" customHeight="1">
      <c r="A246" s="487">
        <f>A242+1</f>
        <v>1811</v>
      </c>
      <c r="B246" s="180"/>
      <c r="C246" s="270"/>
      <c r="D246" s="274" t="s">
        <v>180</v>
      </c>
      <c r="E246" s="271"/>
      <c r="F246" s="271"/>
      <c r="G246" s="271"/>
      <c r="H246" s="272"/>
      <c r="I246" s="272"/>
      <c r="J246" s="272"/>
      <c r="K246" s="273"/>
      <c r="L246" s="822">
        <f>L93+L223+L242</f>
        <v>0</v>
      </c>
      <c r="M246" s="126"/>
      <c r="R246" s="269">
        <f>R93+R223+R242</f>
        <v>0</v>
      </c>
    </row>
    <row r="247" spans="1:18" s="17" customFormat="1" ht="13.5" customHeight="1">
      <c r="A247" s="487">
        <f>A246+1</f>
        <v>1812</v>
      </c>
      <c r="B247" s="180"/>
      <c r="C247" s="789"/>
      <c r="D247" s="274" t="s">
        <v>884</v>
      </c>
      <c r="E247" s="271"/>
      <c r="F247" s="271"/>
      <c r="G247" s="271"/>
      <c r="H247" s="271"/>
      <c r="I247" s="271"/>
      <c r="J247" s="271"/>
      <c r="K247" s="790"/>
      <c r="L247" s="161">
        <f>R246</f>
        <v>0</v>
      </c>
      <c r="M247" s="144"/>
      <c r="N247" s="530"/>
      <c r="O247" s="530"/>
      <c r="P247" s="530"/>
      <c r="Q247" s="530"/>
      <c r="R247" s="541"/>
    </row>
    <row r="248" spans="1:13" ht="14.25" customHeight="1">
      <c r="A248" s="487">
        <f>A247+1</f>
        <v>1813</v>
      </c>
      <c r="B248" s="180"/>
      <c r="C248" s="270"/>
      <c r="D248" s="274" t="s">
        <v>885</v>
      </c>
      <c r="E248" s="791"/>
      <c r="F248" s="791"/>
      <c r="G248" s="791"/>
      <c r="H248" s="792"/>
      <c r="I248" s="792"/>
      <c r="J248" s="792"/>
      <c r="K248" s="793"/>
      <c r="L248" s="794">
        <f>L246-L247</f>
        <v>0</v>
      </c>
      <c r="M248" s="126"/>
    </row>
    <row r="249" spans="1:13" ht="14.25" customHeight="1">
      <c r="A249" s="281"/>
      <c r="B249" s="136"/>
      <c r="D249" s="144"/>
      <c r="E249" s="101"/>
      <c r="F249" s="157"/>
      <c r="G249" s="157"/>
      <c r="H249" s="103"/>
      <c r="I249" s="103"/>
      <c r="J249" s="103"/>
      <c r="K249" s="181"/>
      <c r="L249" s="103"/>
      <c r="M249" s="126"/>
    </row>
    <row r="250" spans="2:13" ht="13.5" customHeight="1">
      <c r="B250" s="130"/>
      <c r="D250" s="144"/>
      <c r="E250" s="101"/>
      <c r="F250" s="101"/>
      <c r="G250" s="182"/>
      <c r="H250" s="103"/>
      <c r="I250" s="183"/>
      <c r="J250" s="183"/>
      <c r="K250" s="104"/>
      <c r="L250" s="183"/>
      <c r="M250" s="126"/>
    </row>
    <row r="251" ht="13.5" customHeight="1"/>
    <row r="252" spans="1:18" s="17" customFormat="1" ht="13.5" customHeight="1">
      <c r="A252" s="476"/>
      <c r="B252" s="120"/>
      <c r="C252" s="130"/>
      <c r="D252" s="131"/>
      <c r="E252" s="130"/>
      <c r="F252" s="134"/>
      <c r="G252" s="134"/>
      <c r="H252" s="278"/>
      <c r="I252" s="278"/>
      <c r="J252" s="106"/>
      <c r="K252" s="147"/>
      <c r="L252" s="106"/>
      <c r="M252" s="146"/>
      <c r="N252" s="532"/>
      <c r="O252" s="530"/>
      <c r="P252" s="530"/>
      <c r="Q252" s="530"/>
      <c r="R252" s="541"/>
    </row>
    <row r="253" spans="1:18" s="17" customFormat="1" ht="14.25" customHeight="1">
      <c r="A253" s="476"/>
      <c r="B253" s="120"/>
      <c r="C253" s="130"/>
      <c r="D253" s="131"/>
      <c r="E253" s="130"/>
      <c r="F253" s="134"/>
      <c r="G253" s="134"/>
      <c r="H253" s="278"/>
      <c r="I253" s="278"/>
      <c r="J253" s="106"/>
      <c r="K253" s="147"/>
      <c r="L253" s="106"/>
      <c r="M253" s="146"/>
      <c r="N253" s="532"/>
      <c r="O253" s="530"/>
      <c r="P253" s="530"/>
      <c r="Q253" s="530"/>
      <c r="R253" s="541"/>
    </row>
    <row r="254" spans="1:18" s="17" customFormat="1" ht="14.25" customHeight="1">
      <c r="A254" s="476"/>
      <c r="B254" s="120"/>
      <c r="C254" s="130"/>
      <c r="D254" s="131"/>
      <c r="E254" s="130"/>
      <c r="F254" s="134"/>
      <c r="G254" s="134"/>
      <c r="H254" s="278"/>
      <c r="I254" s="278"/>
      <c r="J254" s="106"/>
      <c r="K254" s="147"/>
      <c r="L254" s="106"/>
      <c r="M254" s="146"/>
      <c r="N254" s="532"/>
      <c r="O254" s="530"/>
      <c r="P254" s="530"/>
      <c r="Q254" s="530"/>
      <c r="R254" s="541"/>
    </row>
    <row r="255" spans="1:18" s="17" customFormat="1" ht="14.25" customHeight="1">
      <c r="A255" s="476"/>
      <c r="B255" s="120"/>
      <c r="C255" s="130"/>
      <c r="D255" s="131"/>
      <c r="E255" s="130"/>
      <c r="F255" s="134"/>
      <c r="G255" s="134"/>
      <c r="H255" s="278"/>
      <c r="I255" s="278"/>
      <c r="J255" s="106"/>
      <c r="K255" s="147"/>
      <c r="L255" s="106"/>
      <c r="M255" s="146"/>
      <c r="N255" s="532"/>
      <c r="O255" s="530"/>
      <c r="P255" s="530"/>
      <c r="Q255" s="530"/>
      <c r="R255" s="541"/>
    </row>
    <row r="256" spans="1:18" s="17" customFormat="1" ht="14.25" customHeight="1">
      <c r="A256" s="476"/>
      <c r="B256" s="120"/>
      <c r="C256" s="130"/>
      <c r="D256" s="131"/>
      <c r="E256" s="130"/>
      <c r="F256" s="134"/>
      <c r="G256" s="134"/>
      <c r="H256" s="278"/>
      <c r="I256" s="278"/>
      <c r="J256" s="106"/>
      <c r="K256" s="147"/>
      <c r="L256" s="106"/>
      <c r="M256" s="146"/>
      <c r="N256" s="532"/>
      <c r="O256" s="530"/>
      <c r="P256" s="530"/>
      <c r="Q256" s="530"/>
      <c r="R256" s="541"/>
    </row>
    <row r="257" spans="1:18" s="17" customFormat="1" ht="14.25" customHeight="1">
      <c r="A257" s="476"/>
      <c r="B257" s="120"/>
      <c r="C257" s="130"/>
      <c r="D257" s="131"/>
      <c r="E257" s="130"/>
      <c r="F257" s="134"/>
      <c r="G257" s="134"/>
      <c r="H257" s="278"/>
      <c r="I257" s="278"/>
      <c r="J257" s="106"/>
      <c r="K257" s="147"/>
      <c r="L257" s="106"/>
      <c r="M257" s="146"/>
      <c r="N257" s="532"/>
      <c r="O257" s="530"/>
      <c r="P257" s="530"/>
      <c r="Q257" s="530"/>
      <c r="R257" s="541"/>
    </row>
    <row r="258" spans="1:14" ht="14.25" customHeight="1">
      <c r="A258" s="476"/>
      <c r="B258" s="130"/>
      <c r="C258" s="184"/>
      <c r="D258" s="130"/>
      <c r="E258" s="144"/>
      <c r="F258" s="134"/>
      <c r="G258" s="134"/>
      <c r="K258" s="147"/>
      <c r="M258" s="105"/>
      <c r="N258" s="538"/>
    </row>
    <row r="259" spans="1:18" s="17" customFormat="1" ht="13.5" customHeight="1">
      <c r="A259" s="476"/>
      <c r="B259" s="120"/>
      <c r="C259" s="130"/>
      <c r="D259" s="131"/>
      <c r="E259" s="130"/>
      <c r="F259" s="134"/>
      <c r="G259" s="134"/>
      <c r="H259" s="278"/>
      <c r="I259" s="278"/>
      <c r="J259" s="106"/>
      <c r="K259" s="147"/>
      <c r="L259" s="106"/>
      <c r="M259" s="146"/>
      <c r="N259" s="532"/>
      <c r="O259" s="530"/>
      <c r="P259" s="530"/>
      <c r="Q259" s="530"/>
      <c r="R259" s="541"/>
    </row>
    <row r="260" spans="1:14" ht="14.25" customHeight="1">
      <c r="A260" s="486"/>
      <c r="B260" s="136"/>
      <c r="C260" s="130"/>
      <c r="D260" s="136"/>
      <c r="E260" s="136"/>
      <c r="F260" s="136"/>
      <c r="G260" s="136"/>
      <c r="H260" s="141"/>
      <c r="I260" s="141"/>
      <c r="J260" s="141"/>
      <c r="K260" s="141"/>
      <c r="L260" s="141"/>
      <c r="M260" s="141"/>
      <c r="N260" s="541"/>
    </row>
    <row r="261" ht="0" customHeight="1" hidden="1"/>
    <row r="262" ht="14.25" customHeight="1" hidden="1"/>
    <row r="263" ht="14.25" customHeight="1" hidden="1"/>
    <row r="264" ht="14.25" customHeight="1" hidden="1"/>
    <row r="265" ht="14.25" customHeight="1" hidden="1"/>
    <row r="266" ht="14.25" customHeight="1" hidden="1"/>
    <row r="267" ht="14.25" customHeight="1" hidden="1"/>
  </sheetData>
  <sheetProtection password="CD36" sheet="1" objects="1" scenarios="1"/>
  <conditionalFormatting sqref="H233:I241 K233:K241 K217:K220 G190:I212 G172:I179 K190:K212 G158:I168 K172:K179 G144:I154 K158:K168 G122:I132 K144:K154 G108:I118 K122:K132 G217:I220 K108:K118 H89:I90 K89:K90 H86:I86 K86 H79:I83 K79:K83 G37:I40 K66:K76 H57:I63 K57:K63 K37:K40 F10 K20:K22 H25:I28 K25:K28 H16:I17 K16:K17 H20:I22 K31:K34 G31:I34 H66:I76 G69:G76">
    <cfRule type="expression" priority="1" dxfId="0" stopIfTrue="1">
      <formula>$A$1=TRUE</formula>
    </cfRule>
  </conditionalFormatting>
  <dataValidations count="7">
    <dataValidation type="whole" operator="greaterThan" allowBlank="1" showInputMessage="1" showErrorMessage="1" errorTitle="Alleen positieve aantallen!" error="U kunt hier alleen een positief aantal invoeren!" sqref="I242:K242 I221:K221 I213:K214 I93:K95 I119:K120 F135:G135 I133:K134 I155:K156 I169:K170 I180:K181 F93:G95 I260:K260">
      <formula1>-1</formula1>
    </dataValidation>
    <dataValidation type="custom" allowBlank="1" showInputMessage="1" showErrorMessage="1" errorTitle="Let op!" error="U kunt alleen werkelijke prestaties opgeven als u de juiste toelating bezit en voor deze prestatie een productieafspraak hebt gemaakt. Tevens moet de afspraak een geheel aantal zijn en groter dan nul. " sqref="J20:J22 J37:J40 J89:J90 J86 J108:J118 J122:J132 J144:J154 J158:J168 J172:J179 J190:J212 J233:J241 J25:J28 J31:J34 J57:J63 J217:J220 L252:L259 J79:J83 I252:J259 J66:J76 J16:J17">
      <formula1>AND(G20="ja",I20&lt;&gt;0,J20&gt;=0,J20=ROUND(J20,0))</formula1>
    </dataValidation>
    <dataValidation type="list" allowBlank="1" showInputMessage="1" showErrorMessage="1" sqref="G190:G212 G172:G179 G144:G154 G108:G118 G158:G168 G122:G132 G217:G220 G37:G40 G31:G34 G69:G76">
      <formula1>$O$10:$O$12</formula1>
    </dataValidation>
    <dataValidation type="custom" allowBlank="1" showInputMessage="1" showErrorMessage="1" errorTitle="Let op prijs!" error="Een prijs boven het maximum (zie Beleidsregel III-931, eventueel gecorrigeerd voor kapitaalslasten) of een negatieve prijs is niet mogelijk. Tevens moet de prijs op 1 decimaal worden afgesproken." sqref="K89:K90 K79:K83 K252:K259 K86 K66:K76">
      <formula1>AND(F89="ja",K89&gt;=0,K89=ROUND(K89,1),K89&lt;=O89)</formula1>
    </dataValidation>
    <dataValidation type="list" allowBlank="1" showInputMessage="1" showErrorMessage="1" sqref="F10">
      <formula1>$O$10:$O$11</formula1>
    </dataValidation>
    <dataValidation type="custom" allowBlank="1" showInputMessage="1" showErrorMessage="1" errorTitle="Let op prijs!" error="Een prijs boven het maximum (zie Beleidsregel III-931, eventueel gecorrigeerd voor kapitaalslasten) of een negatieve prijs is niet mogelijk. Tevens moet de prijs op 1 decimaal worden afgesproken." sqref="K16:K17 K20:K22 K25:K28 K31:K34 K37:K40 K57:K63 K108:K118 K122:K132 K144:K154 K158:K168 K172:K179 K190:K212 K217:K220 K233:K241">
      <formula1>AND(K16&gt;=0,K16=ROUND(K16,1),K16&lt;=O16)</formula1>
    </dataValidation>
    <dataValidation type="custom" allowBlank="1" showInputMessage="1" showErrorMessage="1" errorTitle="Let op!" error="U kunt alleen een productieafspraak maken als u de juiste toelating bezit. Tevens moet de afspraak een geheel aantal zijn en groter dan nul. " sqref="I16:I17 I20:I22 I25:I28 I31:I34 I37:I40 I57:I63 I66:I76 I79:I83 I86 I89:I90 I108:I118 I122:I132 I144:I154 I158:I168 I172:I179 I190:I212 I217:I220 I233:I241">
      <formula1>AND(F16="ja",I16&gt;=0,I16=ROUND(I16,0))</formula1>
    </dataValidation>
  </dataValidations>
  <printOptions horizontalCentered="1"/>
  <pageMargins left="0.3937007874015748" right="0.3937007874015748" top="0.1968503937007874" bottom="0.1968503937007874" header="0.5118110236220472" footer="0.5118110236220472"/>
  <pageSetup horizontalDpi="600" verticalDpi="600" orientation="landscape" paperSize="9" scale="85" r:id="rId2"/>
  <headerFooter alignWithMargins="0">
    <oddFooter>&amp;C&amp;A</oddFooter>
  </headerFooter>
  <rowBreaks count="5" manualBreakCount="5">
    <brk id="49" max="255" man="1"/>
    <brk id="96" max="255" man="1"/>
    <brk id="135" max="255" man="1"/>
    <brk id="181" max="255" man="1"/>
    <brk id="224" max="255" man="1"/>
  </rowBreaks>
  <drawing r:id="rId1"/>
</worksheet>
</file>

<file path=xl/worksheets/sheet9.xml><?xml version="1.0" encoding="utf-8"?>
<worksheet xmlns="http://schemas.openxmlformats.org/spreadsheetml/2006/main" xmlns:r="http://schemas.openxmlformats.org/officeDocument/2006/relationships">
  <dimension ref="A1:Y43"/>
  <sheetViews>
    <sheetView showGridLines="0" tabSelected="1" zoomScale="90" zoomScaleNormal="90" zoomScaleSheetLayoutView="75" workbookViewId="0" topLeftCell="A1">
      <selection activeCell="A17" sqref="A17"/>
    </sheetView>
  </sheetViews>
  <sheetFormatPr defaultColWidth="9.140625" defaultRowHeight="12.75" customHeight="1" zeroHeight="1"/>
  <cols>
    <col min="1" max="1" width="5.7109375" style="42" customWidth="1"/>
    <col min="2" max="2" width="68.8515625" style="11" customWidth="1"/>
    <col min="3" max="7" width="15.7109375" style="11" customWidth="1"/>
    <col min="8" max="8" width="5.140625" style="11" customWidth="1"/>
    <col min="9" max="9" width="15.00390625" style="11" hidden="1" customWidth="1"/>
    <col min="10" max="16384" width="9.140625" style="11" hidden="1" customWidth="1"/>
  </cols>
  <sheetData>
    <row r="1" spans="1:25" s="3" customFormat="1" ht="14.25" customHeight="1">
      <c r="A1" s="284"/>
      <c r="R1" s="236"/>
      <c r="S1" s="236"/>
      <c r="T1" s="237"/>
      <c r="U1" s="237"/>
      <c r="V1" s="236"/>
      <c r="W1" s="236"/>
      <c r="X1" s="238"/>
      <c r="Y1" s="239"/>
    </row>
    <row r="2" spans="1:22" s="108" customFormat="1" ht="13.5" customHeight="1">
      <c r="A2" s="285" t="str">
        <f>voorblad!$A$20</f>
        <v>Mutatieformulier regiokader gehandicaptenzorg 2006</v>
      </c>
      <c r="B2" s="1"/>
      <c r="C2" s="1"/>
      <c r="D2" s="1"/>
      <c r="E2" s="241" t="str">
        <f>"versie: "&amp;TEXT(voorblad!$L$25,"dd-mm-jjjj")</f>
        <v>versie: 11-09-2006</v>
      </c>
      <c r="G2" s="258" t="b">
        <f>voorblad!E14</f>
        <v>1</v>
      </c>
      <c r="H2" s="244">
        <f>'extramurale zorg'!L226+1</f>
        <v>19</v>
      </c>
      <c r="J2" s="242"/>
      <c r="K2" s="231"/>
      <c r="L2" s="243"/>
      <c r="M2" s="244">
        <v>1</v>
      </c>
      <c r="N2" s="244"/>
      <c r="O2" s="245"/>
      <c r="P2" s="245"/>
      <c r="Q2" s="244"/>
      <c r="R2" s="244"/>
      <c r="S2" s="246"/>
      <c r="T2" s="247"/>
      <c r="U2" s="2"/>
      <c r="V2" s="2"/>
    </row>
    <row r="3" spans="1:19" s="3" customFormat="1" ht="19.5" customHeight="1">
      <c r="A3" s="230"/>
      <c r="B3" s="232"/>
      <c r="C3" s="232"/>
      <c r="D3" s="232"/>
      <c r="E3" s="232"/>
      <c r="F3" s="108"/>
      <c r="G3" s="230" t="s">
        <v>601</v>
      </c>
      <c r="H3" s="233"/>
      <c r="I3" s="233"/>
      <c r="J3" s="2"/>
      <c r="K3" s="234"/>
      <c r="L3" s="235"/>
      <c r="M3" s="2"/>
      <c r="N3" s="9"/>
      <c r="O3" s="2"/>
      <c r="P3" s="229"/>
      <c r="Q3" s="229"/>
      <c r="R3" s="2"/>
      <c r="S3" s="2"/>
    </row>
    <row r="4" spans="1:9" ht="15" customHeight="1">
      <c r="A4" s="297" t="s">
        <v>44</v>
      </c>
      <c r="B4" s="15"/>
      <c r="C4" s="15"/>
      <c r="D4" s="15"/>
      <c r="E4" s="15"/>
      <c r="F4" s="15"/>
      <c r="G4" s="15"/>
      <c r="H4" s="15"/>
      <c r="I4" s="15"/>
    </row>
    <row r="5" spans="1:9" ht="15" customHeight="1">
      <c r="A5" s="30" t="s">
        <v>149</v>
      </c>
      <c r="B5" s="15"/>
      <c r="C5" s="15"/>
      <c r="D5" s="15"/>
      <c r="E5" s="15"/>
      <c r="F5" s="15"/>
      <c r="G5" s="15"/>
      <c r="H5" s="15"/>
      <c r="I5" s="15"/>
    </row>
    <row r="6" spans="1:9" ht="15" customHeight="1">
      <c r="A6" s="30" t="s">
        <v>751</v>
      </c>
      <c r="B6" s="15"/>
      <c r="C6" s="15"/>
      <c r="D6" s="15"/>
      <c r="E6" s="15"/>
      <c r="F6" s="15"/>
      <c r="G6" s="15"/>
      <c r="H6" s="15"/>
      <c r="I6" s="15"/>
    </row>
    <row r="7" spans="1:5" ht="15" customHeight="1">
      <c r="A7" s="30" t="s">
        <v>754</v>
      </c>
      <c r="B7" s="15"/>
      <c r="C7" s="15"/>
      <c r="D7" s="15"/>
      <c r="E7" s="15"/>
    </row>
    <row r="8" spans="1:5" ht="15" customHeight="1">
      <c r="A8" s="30" t="s">
        <v>755</v>
      </c>
      <c r="B8" s="15"/>
      <c r="C8" s="15"/>
      <c r="D8" s="15"/>
      <c r="E8" s="15"/>
    </row>
    <row r="9" spans="1:5" ht="15" customHeight="1">
      <c r="A9" s="30"/>
      <c r="B9" s="15"/>
      <c r="C9" s="15"/>
      <c r="D9" s="15"/>
      <c r="E9" s="15"/>
    </row>
    <row r="10" spans="1:5" ht="15" customHeight="1">
      <c r="A10" s="30" t="s">
        <v>821</v>
      </c>
      <c r="B10" s="15"/>
      <c r="C10" s="15"/>
      <c r="D10" s="15"/>
      <c r="E10" s="15"/>
    </row>
    <row r="11" ht="15" customHeight="1">
      <c r="A11" s="42" t="s">
        <v>822</v>
      </c>
    </row>
    <row r="12" spans="1:5" ht="15" customHeight="1">
      <c r="A12" s="30" t="s">
        <v>7</v>
      </c>
      <c r="B12" s="15"/>
      <c r="C12" s="15"/>
      <c r="D12" s="15"/>
      <c r="E12" s="15"/>
    </row>
    <row r="13" spans="1:5" ht="15" customHeight="1">
      <c r="A13" s="30" t="s">
        <v>6</v>
      </c>
      <c r="B13" s="15"/>
      <c r="C13" s="15"/>
      <c r="D13" s="15"/>
      <c r="E13" s="15"/>
    </row>
    <row r="14" spans="1:5" ht="15" customHeight="1">
      <c r="A14" s="30"/>
      <c r="B14" s="15"/>
      <c r="C14" s="15"/>
      <c r="D14" s="15"/>
      <c r="E14" s="15"/>
    </row>
    <row r="15" spans="1:7" ht="15" customHeight="1">
      <c r="A15" s="30"/>
      <c r="B15" s="208" t="s">
        <v>206</v>
      </c>
      <c r="C15" s="488" t="s">
        <v>47</v>
      </c>
      <c r="D15" s="488" t="s">
        <v>687</v>
      </c>
      <c r="E15" s="488" t="s">
        <v>116</v>
      </c>
      <c r="F15" s="599" t="s">
        <v>816</v>
      </c>
      <c r="G15" s="88" t="s">
        <v>819</v>
      </c>
    </row>
    <row r="16" spans="1:7" ht="15" customHeight="1">
      <c r="A16" s="30"/>
      <c r="B16" s="512" t="s">
        <v>46</v>
      </c>
      <c r="C16" s="513" t="s">
        <v>48</v>
      </c>
      <c r="D16" s="489" t="s">
        <v>753</v>
      </c>
      <c r="E16" s="489" t="s">
        <v>117</v>
      </c>
      <c r="F16" s="600" t="s">
        <v>817</v>
      </c>
      <c r="G16" s="601" t="s">
        <v>817</v>
      </c>
    </row>
    <row r="17" spans="1:7" ht="15" customHeight="1">
      <c r="A17" s="30"/>
      <c r="B17" s="514" t="s">
        <v>750</v>
      </c>
      <c r="C17" s="489" t="s">
        <v>804</v>
      </c>
      <c r="D17" s="489" t="s">
        <v>752</v>
      </c>
      <c r="E17" s="489" t="s">
        <v>560</v>
      </c>
      <c r="F17" s="262" t="s">
        <v>818</v>
      </c>
      <c r="G17" s="199" t="s">
        <v>820</v>
      </c>
    </row>
    <row r="18" spans="1:7" ht="15" customHeight="1">
      <c r="A18" s="47">
        <f>H2*100+1</f>
        <v>1901</v>
      </c>
      <c r="B18" s="80"/>
      <c r="C18" s="61"/>
      <c r="D18" s="61"/>
      <c r="E18" s="63">
        <f aca="true" t="shared" si="0" ref="E18:E40">IF(D18&lt;&gt;"",C18-D18,"")</f>
      </c>
      <c r="F18" s="61"/>
      <c r="G18" s="61"/>
    </row>
    <row r="19" spans="1:7" ht="15" customHeight="1">
      <c r="A19" s="47">
        <f>A18+1</f>
        <v>1902</v>
      </c>
      <c r="B19" s="80"/>
      <c r="C19" s="61"/>
      <c r="D19" s="61"/>
      <c r="E19" s="63">
        <f t="shared" si="0"/>
      </c>
      <c r="F19" s="61"/>
      <c r="G19" s="61"/>
    </row>
    <row r="20" spans="1:7" ht="15" customHeight="1">
      <c r="A20" s="47">
        <f aca="true" t="shared" si="1" ref="A20:A41">A19+1</f>
        <v>1903</v>
      </c>
      <c r="B20" s="80"/>
      <c r="C20" s="61"/>
      <c r="D20" s="61"/>
      <c r="E20" s="63">
        <f t="shared" si="0"/>
      </c>
      <c r="F20" s="61"/>
      <c r="G20" s="61"/>
    </row>
    <row r="21" spans="1:7" ht="15" customHeight="1">
      <c r="A21" s="47">
        <f t="shared" si="1"/>
        <v>1904</v>
      </c>
      <c r="B21" s="80"/>
      <c r="C21" s="61"/>
      <c r="D21" s="61"/>
      <c r="E21" s="63">
        <f t="shared" si="0"/>
      </c>
      <c r="F21" s="61"/>
      <c r="G21" s="61"/>
    </row>
    <row r="22" spans="1:7" ht="15" customHeight="1">
      <c r="A22" s="47">
        <f t="shared" si="1"/>
        <v>1905</v>
      </c>
      <c r="B22" s="80"/>
      <c r="C22" s="61"/>
      <c r="D22" s="61"/>
      <c r="E22" s="63">
        <f t="shared" si="0"/>
      </c>
      <c r="F22" s="61"/>
      <c r="G22" s="61"/>
    </row>
    <row r="23" spans="1:7" ht="15" customHeight="1">
      <c r="A23" s="47">
        <f t="shared" si="1"/>
        <v>1906</v>
      </c>
      <c r="B23" s="80"/>
      <c r="C23" s="61"/>
      <c r="D23" s="61"/>
      <c r="E23" s="63">
        <f t="shared" si="0"/>
      </c>
      <c r="F23" s="61"/>
      <c r="G23" s="61"/>
    </row>
    <row r="24" spans="1:7" ht="15" customHeight="1">
      <c r="A24" s="47">
        <f t="shared" si="1"/>
        <v>1907</v>
      </c>
      <c r="B24" s="80"/>
      <c r="C24" s="61"/>
      <c r="D24" s="61"/>
      <c r="E24" s="63">
        <f t="shared" si="0"/>
      </c>
      <c r="F24" s="61"/>
      <c r="G24" s="61"/>
    </row>
    <row r="25" spans="1:7" ht="15" customHeight="1">
      <c r="A25" s="47">
        <f t="shared" si="1"/>
        <v>1908</v>
      </c>
      <c r="B25" s="80"/>
      <c r="C25" s="61"/>
      <c r="D25" s="61"/>
      <c r="E25" s="63">
        <f t="shared" si="0"/>
      </c>
      <c r="F25" s="61"/>
      <c r="G25" s="61"/>
    </row>
    <row r="26" spans="1:7" ht="15" customHeight="1">
      <c r="A26" s="47">
        <f t="shared" si="1"/>
        <v>1909</v>
      </c>
      <c r="B26" s="80"/>
      <c r="C26" s="61"/>
      <c r="D26" s="61"/>
      <c r="E26" s="63">
        <f t="shared" si="0"/>
      </c>
      <c r="F26" s="61"/>
      <c r="G26" s="61"/>
    </row>
    <row r="27" spans="1:7" ht="15" customHeight="1">
      <c r="A27" s="47">
        <f t="shared" si="1"/>
        <v>1910</v>
      </c>
      <c r="B27" s="80"/>
      <c r="C27" s="61"/>
      <c r="D27" s="61"/>
      <c r="E27" s="63">
        <f t="shared" si="0"/>
      </c>
      <c r="F27" s="61"/>
      <c r="G27" s="61"/>
    </row>
    <row r="28" spans="1:7" ht="15" customHeight="1">
      <c r="A28" s="47">
        <f t="shared" si="1"/>
        <v>1911</v>
      </c>
      <c r="B28" s="80"/>
      <c r="C28" s="61"/>
      <c r="D28" s="61"/>
      <c r="E28" s="63">
        <f t="shared" si="0"/>
      </c>
      <c r="F28" s="61"/>
      <c r="G28" s="61"/>
    </row>
    <row r="29" spans="1:7" ht="15" customHeight="1">
      <c r="A29" s="47">
        <f t="shared" si="1"/>
        <v>1912</v>
      </c>
      <c r="B29" s="80"/>
      <c r="C29" s="61"/>
      <c r="D29" s="61"/>
      <c r="E29" s="63">
        <f t="shared" si="0"/>
      </c>
      <c r="F29" s="61"/>
      <c r="G29" s="61"/>
    </row>
    <row r="30" spans="1:7" ht="15" customHeight="1">
      <c r="A30" s="47">
        <f>A29+1</f>
        <v>1913</v>
      </c>
      <c r="B30" s="80"/>
      <c r="C30" s="61"/>
      <c r="D30" s="61"/>
      <c r="E30" s="63">
        <f t="shared" si="0"/>
      </c>
      <c r="F30" s="61"/>
      <c r="G30" s="61"/>
    </row>
    <row r="31" spans="1:7" ht="15" customHeight="1">
      <c r="A31" s="47">
        <f>A30+1</f>
        <v>1914</v>
      </c>
      <c r="B31" s="80"/>
      <c r="C31" s="61"/>
      <c r="D31" s="61"/>
      <c r="E31" s="63">
        <f t="shared" si="0"/>
      </c>
      <c r="F31" s="61"/>
      <c r="G31" s="61"/>
    </row>
    <row r="32" spans="1:7" ht="15" customHeight="1">
      <c r="A32" s="47">
        <f t="shared" si="1"/>
        <v>1915</v>
      </c>
      <c r="B32" s="80"/>
      <c r="C32" s="61"/>
      <c r="D32" s="61"/>
      <c r="E32" s="63">
        <f t="shared" si="0"/>
      </c>
      <c r="F32" s="61"/>
      <c r="G32" s="61"/>
    </row>
    <row r="33" spans="1:7" ht="15" customHeight="1">
      <c r="A33" s="47">
        <f t="shared" si="1"/>
        <v>1916</v>
      </c>
      <c r="B33" s="80"/>
      <c r="C33" s="61"/>
      <c r="D33" s="61"/>
      <c r="E33" s="63">
        <f t="shared" si="0"/>
      </c>
      <c r="F33" s="61"/>
      <c r="G33" s="61"/>
    </row>
    <row r="34" spans="1:7" ht="15" customHeight="1">
      <c r="A34" s="47">
        <f t="shared" si="1"/>
        <v>1917</v>
      </c>
      <c r="B34" s="80"/>
      <c r="C34" s="61"/>
      <c r="D34" s="61"/>
      <c r="E34" s="63">
        <f t="shared" si="0"/>
      </c>
      <c r="F34" s="61"/>
      <c r="G34" s="61"/>
    </row>
    <row r="35" spans="1:7" ht="15" customHeight="1">
      <c r="A35" s="47">
        <f t="shared" si="1"/>
        <v>1918</v>
      </c>
      <c r="B35" s="80"/>
      <c r="C35" s="61"/>
      <c r="D35" s="61"/>
      <c r="E35" s="63">
        <f t="shared" si="0"/>
      </c>
      <c r="F35" s="61"/>
      <c r="G35" s="61"/>
    </row>
    <row r="36" spans="1:7" ht="15" customHeight="1">
      <c r="A36" s="47">
        <f>A35+1</f>
        <v>1919</v>
      </c>
      <c r="B36" s="80"/>
      <c r="C36" s="61"/>
      <c r="D36" s="61"/>
      <c r="E36" s="63">
        <f t="shared" si="0"/>
      </c>
      <c r="F36" s="61"/>
      <c r="G36" s="61"/>
    </row>
    <row r="37" spans="1:7" ht="15" customHeight="1">
      <c r="A37" s="47">
        <f>A36+1</f>
        <v>1920</v>
      </c>
      <c r="B37" s="80"/>
      <c r="C37" s="61"/>
      <c r="D37" s="61"/>
      <c r="E37" s="63">
        <f t="shared" si="0"/>
      </c>
      <c r="F37" s="61"/>
      <c r="G37" s="61"/>
    </row>
    <row r="38" spans="1:7" ht="15" customHeight="1">
      <c r="A38" s="47">
        <f>A37+1</f>
        <v>1921</v>
      </c>
      <c r="B38" s="80"/>
      <c r="C38" s="61"/>
      <c r="D38" s="61"/>
      <c r="E38" s="63">
        <f t="shared" si="0"/>
      </c>
      <c r="F38" s="61"/>
      <c r="G38" s="61"/>
    </row>
    <row r="39" spans="1:7" ht="15" customHeight="1">
      <c r="A39" s="47">
        <f>A38+1</f>
        <v>1922</v>
      </c>
      <c r="B39" s="80"/>
      <c r="C39" s="61"/>
      <c r="D39" s="61"/>
      <c r="E39" s="63">
        <f t="shared" si="0"/>
      </c>
      <c r="F39" s="61"/>
      <c r="G39" s="61"/>
    </row>
    <row r="40" spans="1:9" ht="15" customHeight="1">
      <c r="A40" s="47">
        <f t="shared" si="1"/>
        <v>1923</v>
      </c>
      <c r="B40" s="80"/>
      <c r="C40" s="61"/>
      <c r="D40" s="61"/>
      <c r="E40" s="63">
        <f t="shared" si="0"/>
      </c>
      <c r="F40" s="61"/>
      <c r="G40" s="61"/>
      <c r="I40" s="24"/>
    </row>
    <row r="41" spans="1:9" ht="15" customHeight="1">
      <c r="A41" s="47">
        <f t="shared" si="1"/>
        <v>1924</v>
      </c>
      <c r="B41" s="45" t="s">
        <v>217</v>
      </c>
      <c r="C41" s="62">
        <f>SUM(C18:C40)</f>
        <v>0</v>
      </c>
      <c r="D41" s="62">
        <f>SUM(D18:D40)</f>
        <v>0</v>
      </c>
      <c r="E41" s="62">
        <f>SUM(E18:E40)</f>
        <v>0</v>
      </c>
      <c r="F41" s="62">
        <f>SUM(F18:F40)</f>
        <v>0</v>
      </c>
      <c r="G41" s="62">
        <f>SUM(G18:G40)</f>
        <v>0</v>
      </c>
      <c r="I41" s="24"/>
    </row>
    <row r="42" spans="1:7" ht="12.75" customHeight="1">
      <c r="A42" s="602" t="s">
        <v>561</v>
      </c>
      <c r="G42" s="816" t="s">
        <v>994</v>
      </c>
    </row>
    <row r="43" ht="12.75" customHeight="1" hidden="1">
      <c r="A43" s="288"/>
    </row>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sheetData>
  <sheetProtection password="CCF6" sheet="1" objects="1" scenarios="1"/>
  <conditionalFormatting sqref="F18:G40 B18:D40">
    <cfRule type="expression" priority="1" dxfId="0" stopIfTrue="1">
      <formula>$G$2=TRUE</formula>
    </cfRule>
  </conditionalFormatting>
  <dataValidations count="3">
    <dataValidation type="whole" operator="greaterThanOrEqual" allowBlank="1" showInputMessage="1" showErrorMessage="1" error="U moet een positief bedrag invoeren." sqref="F18:G40">
      <formula1>0</formula1>
    </dataValidation>
    <dataValidation type="whole" operator="greaterThanOrEqual" allowBlank="1" showInputMessage="1" showErrorMessage="1" error="Het drempelbedrag is minimaal 90.000." sqref="D18:D40">
      <formula1>90000</formula1>
    </dataValidation>
    <dataValidation type="whole" operator="greaterThanOrEqual" allowBlank="1" showInputMessage="1" showErrorMessage="1" error="De totale zorgbehoefte is minimaal 90.000" sqref="C18:C40">
      <formula1>90000</formula1>
    </dataValidation>
  </dataValidations>
  <printOptions horizontalCentered="1"/>
  <pageMargins left="0.3937007874015748" right="0.3937007874015748" top="0.1968503937007874" bottom="0.1968503937007874" header="0.5118110236220472" footer="0.5118110236220472"/>
  <pageSetup horizontalDpi="600" verticalDpi="600" orientation="landscape" paperSize="9" scale="85" r:id="rId2"/>
  <headerFooter alignWithMargins="0">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Jaap Janse en Fred de Kluijver</dc:creator>
  <cp:keywords/>
  <dc:description/>
  <cp:lastModifiedBy>ehor</cp:lastModifiedBy>
  <cp:lastPrinted>2006-09-11T15:28:25Z</cp:lastPrinted>
  <dcterms:created xsi:type="dcterms:W3CDTF">2003-10-30T09:01:53Z</dcterms:created>
  <dcterms:modified xsi:type="dcterms:W3CDTF">2006-09-11T15:28:55Z</dcterms:modified>
  <cp:category>600</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-1223027917</vt:i4>
  </property>
  <property fmtid="{D5CDD505-2E9C-101B-9397-08002B2CF9AE}" pid="3" name="_EmailSubject">
    <vt:lpwstr>Mutatieformulier 2006</vt:lpwstr>
  </property>
  <property fmtid="{D5CDD505-2E9C-101B-9397-08002B2CF9AE}" pid="4" name="_AuthorEmail">
    <vt:lpwstr>herald.oldejans@abrona.nl</vt:lpwstr>
  </property>
  <property fmtid="{D5CDD505-2E9C-101B-9397-08002B2CF9AE}" pid="5" name="_AuthorEmailDisplayName">
    <vt:lpwstr>Herald Oldejans</vt:lpwstr>
  </property>
  <property fmtid="{D5CDD505-2E9C-101B-9397-08002B2CF9AE}" pid="6" name="_ReviewingToolsShownOnce">
    <vt:lpwstr/>
  </property>
  <property fmtid="{D5CDD505-2E9C-101B-9397-08002B2CF9AE}" pid="7" name="_dlc_DocId">
    <vt:lpwstr>THRFR6N5WDQ4-17-3070</vt:lpwstr>
  </property>
  <property fmtid="{D5CDD505-2E9C-101B-9397-08002B2CF9AE}" pid="8" name="_dlc_DocIdItemGuid">
    <vt:lpwstr>b9e5911b-dc77-46e0-bc7a-e2ed2f354773</vt:lpwstr>
  </property>
  <property fmtid="{D5CDD505-2E9C-101B-9397-08002B2CF9AE}" pid="9" name="_dlc_DocIdUrl">
    <vt:lpwstr>http://kennisnet.nza.nl/publicaties/Aanleveren/_layouts/DocIdRedir.aspx?ID=THRFR6N5WDQ4-17-3070, THRFR6N5WDQ4-17-3070</vt:lpwstr>
  </property>
  <property fmtid="{D5CDD505-2E9C-101B-9397-08002B2CF9AE}" pid="10" name="WorkflowChangePath">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11" name="NZa-zoekwoordenMetadata">
    <vt:lpwstr/>
  </property>
  <property fmtid="{D5CDD505-2E9C-101B-9397-08002B2CF9AE}" pid="12" name="VerzondenAanMetadata">
    <vt:lpwstr/>
  </property>
  <property fmtid="{D5CDD505-2E9C-101B-9397-08002B2CF9AE}" pid="13" name="Sector(en)Metadata">
    <vt:lpwstr>Alle:Langdurige zorg:Gehandicaptenzorg|2825f16e-cd19-47cf-b940-f084053e3b91</vt:lpwstr>
  </property>
  <property fmtid="{D5CDD505-2E9C-101B-9397-08002B2CF9AE}" pid="14" name="DocumentTypeMetadata">
    <vt:lpwstr>Regels:Formulier|4bc40415-667d-4fea-816d-9688ca6ffa69</vt:lpwstr>
  </property>
  <property fmtid="{D5CDD505-2E9C-101B-9397-08002B2CF9AE}" pid="15" name="ExtraZoekwoordenMetadata">
    <vt:lpwstr/>
  </property>
  <property fmtid="{D5CDD505-2E9C-101B-9397-08002B2CF9AE}" pid="16" name="j85cec29e8c24b8a90feb8db203ff7e2">
    <vt:lpwstr>Gehandicaptenzorg|2825f16e-cd19-47cf-b940-f084053e3b91</vt:lpwstr>
  </property>
  <property fmtid="{D5CDD505-2E9C-101B-9397-08002B2CF9AE}" pid="17" name="DocumentTypen">
    <vt:lpwstr>103;#Formulier|4bc40415-667d-4fea-816d-9688ca6ffa69</vt:lpwstr>
  </property>
  <property fmtid="{D5CDD505-2E9C-101B-9397-08002B2CF9AE}" pid="18" name="DocumentType">
    <vt:lpwstr/>
  </property>
  <property fmtid="{D5CDD505-2E9C-101B-9397-08002B2CF9AE}" pid="19" name="Sector(en)">
    <vt:lpwstr>132;#Gehandicaptenzorg|2825f16e-cd19-47cf-b940-f084053e3b91</vt:lpwstr>
  </property>
  <property fmtid="{D5CDD505-2E9C-101B-9397-08002B2CF9AE}" pid="20" name="NZa-zoekwoorden">
    <vt:lpwstr/>
  </property>
  <property fmtid="{D5CDD505-2E9C-101B-9397-08002B2CF9AE}" pid="21" name="ff74c6b610ef44f49114c43de1676156">
    <vt:lpwstr/>
  </property>
  <property fmtid="{D5CDD505-2E9C-101B-9397-08002B2CF9AE}" pid="22" name="n407de7a4204433984b2eeeaba786d56">
    <vt:lpwstr/>
  </property>
  <property fmtid="{D5CDD505-2E9C-101B-9397-08002B2CF9AE}" pid="23" name="Extra zoekwoorden">
    <vt:lpwstr/>
  </property>
  <property fmtid="{D5CDD505-2E9C-101B-9397-08002B2CF9AE}" pid="24" name="l24ea505ea8d4be1bd84e8204c620c6c">
    <vt:lpwstr/>
  </property>
  <property fmtid="{D5CDD505-2E9C-101B-9397-08002B2CF9AE}" pid="25" name="me0f0aaf77cd4640acf557f58a1d2cc0">
    <vt:lpwstr>Formulier|4bc40415-667d-4fea-816d-9688ca6ffa69</vt:lpwstr>
  </property>
  <property fmtid="{D5CDD505-2E9C-101B-9397-08002B2CF9AE}" pid="26" name="TaxCatchAll">
    <vt:lpwstr>103;#Formulier|4bc40415-667d-4fea-816d-9688ca6ffa69;#132;#Gehandicaptenzorg|2825f16e-cd19-47cf-b940-f084053e3b91</vt:lpwstr>
  </property>
</Properties>
</file>