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46" yWindow="285" windowWidth="15195" windowHeight="7935" activeTab="0"/>
  </bookViews>
  <sheets>
    <sheet name="Voorblad" sheetId="1" r:id="rId1"/>
    <sheet name="Toelichting Budget 2006" sheetId="2" r:id="rId2"/>
    <sheet name="Budget 2006" sheetId="3" r:id="rId3"/>
    <sheet name="Kleinschalig wonen" sheetId="4" r:id="rId4"/>
  </sheets>
  <externalReferences>
    <externalReference r:id="rId7"/>
    <externalReference r:id="rId8"/>
    <externalReference r:id="rId9"/>
    <externalReference r:id="rId10"/>
  </externalReferences>
  <definedNames>
    <definedName name="__123Graph_C" hidden="1">'[3]I_03007'!#REF!</definedName>
    <definedName name="__123Graph_D" hidden="1">'[3]I_03007'!#REF!</definedName>
    <definedName name="__123Graph_E" hidden="1">'[3]I_03007'!#REF!</definedName>
    <definedName name="__123Graph_Z" hidden="1">'[3]I_03007'!#REF!</definedName>
    <definedName name="_Fill" hidden="1">#REF!</definedName>
    <definedName name="_Order1" hidden="1">255</definedName>
    <definedName name="_Order2" hidden="1">255</definedName>
    <definedName name="_xlnm.Print_Area" localSheetId="2">'Budget 2006'!$B$1:$M$448</definedName>
    <definedName name="_xlnm.Print_Area" localSheetId="3">'Kleinschalig wonen'!$A$1:$P$164</definedName>
    <definedName name="_xlnm.Print_Area" localSheetId="1">'Toelichting Budget 2006'!$A$1:$Q$73</definedName>
    <definedName name="_xlnm.Print_Area" localSheetId="0">'Voorblad'!$A$24:$N$49</definedName>
    <definedName name="_xlnm.Print_Titles" localSheetId="0">'Voorblad'!$1:$11</definedName>
    <definedName name="Afdruktitels_MI">'[3]I_03007'!$1:$5</definedName>
    <definedName name="Expl_">'[3]I_03007'!#REF!</definedName>
    <definedName name="Expl_522">'[3]I_03007'!#REF!</definedName>
    <definedName name="Expl_523">'[3]I_03007'!#REF!</definedName>
    <definedName name="Expl_524">'[3]I_03007'!#REF!</definedName>
    <definedName name="Expl_525">'[3]I_03007'!#REF!</definedName>
    <definedName name="Expl_526">'[3]I_03007'!#REF!</definedName>
    <definedName name="getal">#REF!</definedName>
    <definedName name="getal_data">#REF!</definedName>
    <definedName name="kolom">#REF!</definedName>
    <definedName name="kolom_data">#REF!</definedName>
    <definedName name="naam">#REF!</definedName>
    <definedName name="raarietswataangepastmoetworden">#REF!</definedName>
    <definedName name="tabblad">#REF!</definedName>
    <definedName name="totaal1996">'[3]I_03007'!$A$4:$D$43</definedName>
    <definedName name="totaal1997">'[3]I_03007'!$A$46:$D$85</definedName>
    <definedName name="totaal1998">'[3]I_03007'!$A$88:$D$127</definedName>
    <definedName name="totaal1999">'[3]I_03007'!$A$130:$D$169</definedName>
    <definedName name="totaal2000">'[3]I_03007'!$A$172:$D$211</definedName>
    <definedName name="Z_2A8DDBA8_C257_436E_9998_1C73DC7319F7_.wvu.Cols" localSheetId="2" hidden="1">'Budget 2006'!$A:$A,'Budget 2006'!$I:$I,'Budget 2006'!$K:$K</definedName>
    <definedName name="Z_930542F6_4055_4652_8C16_6EE461E39286_.wvu.Cols" localSheetId="2" hidden="1">'Budget 2006'!$A:$A,'Budget 2006'!$I:$I,'Budget 2006'!$K:$K,'Budget 2006'!$O:$IV</definedName>
    <definedName name="Z_930542F6_4055_4652_8C16_6EE461E39286_.wvu.Cols" localSheetId="0" hidden="1">'Voorblad'!$O:$IV</definedName>
    <definedName name="Z_930542F6_4055_4652_8C16_6EE461E39286_.wvu.PrintArea" localSheetId="2" hidden="1">'Budget 2006'!$B$1:$M$448</definedName>
    <definedName name="Z_930542F6_4055_4652_8C16_6EE461E39286_.wvu.PrintArea" localSheetId="0" hidden="1">'Voorblad'!$A$24:$N$49</definedName>
    <definedName name="Z_930542F6_4055_4652_8C16_6EE461E39286_.wvu.PrintTitles" localSheetId="0" hidden="1">'Voorblad'!$1:$11</definedName>
    <definedName name="Z_930542F6_4055_4652_8C16_6EE461E39286_.wvu.Rows" localSheetId="2" hidden="1">'Budget 2006'!$456:$65536,'Budget 2006'!$451:$455</definedName>
    <definedName name="Z_930542F6_4055_4652_8C16_6EE461E39286_.wvu.Rows" localSheetId="0" hidden="1">'Voorblad'!$52:$65536,'Voorblad'!$50:$51</definedName>
  </definedNames>
  <calcPr fullCalcOnLoad="1"/>
</workbook>
</file>

<file path=xl/sharedStrings.xml><?xml version="1.0" encoding="utf-8"?>
<sst xmlns="http://schemas.openxmlformats.org/spreadsheetml/2006/main" count="1182" uniqueCount="615">
  <si>
    <t>4.  Scholingsmiddelen en Jongeren met niet-aangeboren hersenletsel</t>
  </si>
  <si>
    <t>Aantal jongeren met niet-aangeboren hersenletsel</t>
  </si>
  <si>
    <t>5. Voorlopige budgetaanpassing</t>
  </si>
  <si>
    <t>6. Intramurale zorgprestaties</t>
  </si>
  <si>
    <t>7. Extramurale zorgprestaties</t>
  </si>
  <si>
    <t>7.1 Prestaties gekoppeld aan de functie Huishoudelijke verzorging</t>
  </si>
  <si>
    <t>7.2 Prestaties gekoppeld aan de functie Persoonlijke verzorging</t>
  </si>
  <si>
    <t>7.3 Prestaties gekoppeld aan de functie Verpleging</t>
  </si>
  <si>
    <t>7.4 Prestaties gekoppeld aan de functie Ondersteunende begeleiding</t>
  </si>
  <si>
    <t>7.5 Prestaties gekoppeld aan de functie Activerende begeleiding</t>
  </si>
  <si>
    <t>7.6 Prestaties gekoppeld aan de functie Behandeling</t>
  </si>
  <si>
    <t>Totaal prestaties Huishoudelijke verzorging (7.1) t/m Behandeling (7.6)</t>
  </si>
  <si>
    <t>7.7 Prestaties Dagactiviteit uitgedrukt in dagdelen</t>
  </si>
  <si>
    <t>7.8 Prestaties overig</t>
  </si>
  <si>
    <t>7.8.1 Prestaties gekoppeld aan de functie Uitleen van verpleegartikelen</t>
  </si>
  <si>
    <t>7.8.2 Prestaties gekoppeld aan de functie Prenatale zorg</t>
  </si>
  <si>
    <t>7.8.3 Prestaties Preventie: Advies, instructie en voorlichting en Voedingsvoorlichting</t>
  </si>
  <si>
    <t>7.9 Prestaties GGZ-zorg gekoppeld aan de functie Behandeling</t>
  </si>
  <si>
    <t>7.9.1 Face-to-face-contacten volwassenen</t>
  </si>
  <si>
    <t>7.9.2 Face-to-face-contacten ouderen</t>
  </si>
  <si>
    <t>7.9.3 Face-to-face-contacten verslaafden</t>
  </si>
  <si>
    <t>7.9.4 Face-to-face-contacten kinderen/jeugdigen</t>
  </si>
  <si>
    <t>7.9.5 Face-to-face-contacten forensische psychiatrie</t>
  </si>
  <si>
    <t>7.9.6 Deeltijdbehandelingen</t>
  </si>
  <si>
    <t>Vervolg 7.9.6 Deeltijdbehandelingen</t>
  </si>
  <si>
    <t>7.10 Overige GGZ-prestaties gekoppeld aan andere functies</t>
  </si>
  <si>
    <t>7.11 Vervoerskosten t.b.v. cliënten (let op: medische indicatie is vereist)</t>
  </si>
  <si>
    <t>7.12 Reiskosten zorgverlener</t>
  </si>
  <si>
    <t xml:space="preserve">Hieronder dient u aan te geven voor welke functie(s) de instelling in 2006 is toegelaten. </t>
  </si>
  <si>
    <t>Aantal dagen t.b.v. Verpleeghuiscliënten met een Verstandelijk handicap</t>
  </si>
  <si>
    <t>Aantal dagen t.b.v. (Jongere) Verpleeghuiscliënten met complexe NAH</t>
  </si>
  <si>
    <t xml:space="preserve">Aantal dagen t.b.v. Patiënten met Chorea van Huntington </t>
  </si>
  <si>
    <t>Aantal dagen t.b.v. Verpleeghuiscl. met een Geronto-psychiatrische aandoening</t>
  </si>
  <si>
    <t>BUDGET 2006</t>
  </si>
  <si>
    <t xml:space="preserve">Partijen verzoeken door middel van dit formulier "Budget 2006", de in dit verzoek overeengekomen vaste tarieven en bijbehorende prestaties (volume- en prijsafspraken) goed te keuren. Eveneens verzoeken partijen het vaste tarief per jaar, dat de resultante is van de aanvaardbare kosten onder aftrek van de opbrengst van de overeengekomen vaste tarieven, goed te keuren. Dit naar aanleiding van de in de productieafspraken overeengekomen capaciteiten en volumeafspraken. Voormelde tarieven kunnen door de instelling aan alle ziektekostenverzekeraars en alle (niet-) verzekerden in rekening worden gebracht, met inachtneming van eventueel geldende declaratievoorschriften. </t>
  </si>
  <si>
    <t>Deze functies bepalen voor welke prestaties de instelling in 2006 een volume- en prijsafspraak mag maken.</t>
  </si>
  <si>
    <t>Budget 2006 AWBZ-instellingen sector V&amp;V</t>
  </si>
  <si>
    <t>Index</t>
  </si>
  <si>
    <t>ultimo 2005</t>
  </si>
  <si>
    <t>bedden 2006</t>
  </si>
  <si>
    <r>
      <t xml:space="preserve">1) Voor een juiste berekening van het aantal bedden op kasbasis dient u hier het aantal bedden </t>
    </r>
    <r>
      <rPr>
        <b/>
        <sz val="8"/>
        <rFont val="Arial"/>
        <family val="2"/>
      </rPr>
      <t>excl. wijzigingen in de capaciteit als gevolg van nieuwe toelating(en) 2006</t>
    </r>
    <r>
      <rPr>
        <sz val="8"/>
        <rFont val="Arial"/>
        <family val="0"/>
      </rPr>
      <t xml:space="preserve"> in te vullen.</t>
    </r>
  </si>
  <si>
    <t>Totaal capaciteit huur - geïndiceerd 2006</t>
  </si>
  <si>
    <t>Totaal capaciteit somatisch ultimo 2006</t>
  </si>
  <si>
    <t>Totaal capaciteit psychogeriatrisch ultimo 2006</t>
  </si>
  <si>
    <t>Totaal capaciteit voorzieningencentrum ultimo 2006</t>
  </si>
  <si>
    <t>Totaal capaciteit huur - niet geïndiceerde partner 2006</t>
  </si>
  <si>
    <t>Totaal capaciteit eigendom - geïndiceerd 2006</t>
  </si>
  <si>
    <t>Totaal capaciteit eigendom - niet geïndiceerde partner 2006</t>
  </si>
  <si>
    <t>plaatsen 2006</t>
  </si>
  <si>
    <t>H120</t>
  </si>
  <si>
    <t>Persoonlijke verzorging speciaal</t>
  </si>
  <si>
    <t>H142</t>
  </si>
  <si>
    <t>H143</t>
  </si>
  <si>
    <t>Activerende begeleiding speciaal 1</t>
  </si>
  <si>
    <t>Activerende begeleiding speciaal 2</t>
  </si>
  <si>
    <t>Activerende begeleiding speciaal 3</t>
  </si>
  <si>
    <t>H328</t>
  </si>
  <si>
    <t>H329</t>
  </si>
  <si>
    <t>H330</t>
  </si>
  <si>
    <t>Behandeling basis som, pg, vg, lg</t>
  </si>
  <si>
    <t>Behandeling gedragswetenschapper</t>
  </si>
  <si>
    <t>Behandeling paramedisch</t>
  </si>
  <si>
    <t>Dagactiviteit vg kind emg</t>
  </si>
  <si>
    <t>Dagactiviteit vg kind gedrag</t>
  </si>
  <si>
    <t>H526</t>
  </si>
  <si>
    <t>H527</t>
  </si>
  <si>
    <t>H628</t>
  </si>
  <si>
    <t>Begeleiding speciaal 1</t>
  </si>
  <si>
    <t>Begeleiding speciaal 2</t>
  </si>
  <si>
    <t xml:space="preserve">Vervoer zg (H523) </t>
  </si>
  <si>
    <t>Reiskosten prestaties behandeling (H324 t/m H330)</t>
  </si>
  <si>
    <t>8. Berekening beslag contracteerruimte 2006 exclusief geoormerkte gelden</t>
  </si>
  <si>
    <t>Totaal prestaties Face-to-face-contacten kinderen/jeugdigen</t>
  </si>
  <si>
    <t>n.v.t.</t>
  </si>
  <si>
    <t>Afspraken ten laste van de contracteerruimte  Zorgzwaarte in AWBZ-instellingen (gehandicaptenzorg)</t>
  </si>
  <si>
    <t>Loonkosten normatief / (Erkende) bedden som + pg</t>
  </si>
  <si>
    <t>Loonkosten normatief / (Erkende) bedden voorheen voorz. centrum</t>
  </si>
  <si>
    <t>Loonkosten normatief / Totaal verpleegdagen som + pg niet geïndiceerde partner</t>
  </si>
  <si>
    <t>Loonkosten normatief / Totaal verpleegdagen som + pg geïndiceerd</t>
  </si>
  <si>
    <t>Loonkosten normatief / Totaal verpleegdagen voorheen voorz. centrum</t>
  </si>
  <si>
    <t>Materiële kosten / (Erkende) bedden som + pg</t>
  </si>
  <si>
    <t>Materiële kosten / (Erkende) bedden voorheen voorz. centrum</t>
  </si>
  <si>
    <t>Materiële kosten / Totaal verpleegdagen voorheen voorz. centrum</t>
  </si>
  <si>
    <t>Korting intramurale zorg in verband met prijsafspraak</t>
  </si>
  <si>
    <t>Materiële kosten / Totaal verpleegdagen geïndiceerd en niet geïndiceerde partner</t>
  </si>
  <si>
    <t>Structurerende deeltijd volwassenen (4-6 uur)</t>
  </si>
  <si>
    <t>Structurerende deeltijd volwassenen (6-8 uur)</t>
  </si>
  <si>
    <t>Structurerende deeltijd volw. met beperkte begeleiding (4-6 uur)</t>
  </si>
  <si>
    <t>Structurerende deeltijd volw. met beperkte begeleiding (6-8 uur)</t>
  </si>
  <si>
    <t>2) (De wijziging van) het aantal bedden dient binnen de toelating(en) ingevolge de AWBZ te passen.</t>
  </si>
  <si>
    <r>
      <t xml:space="preserve">Te bezetten capaciteit </t>
    </r>
    <r>
      <rPr>
        <b/>
        <sz val="10"/>
        <rFont val="Arial"/>
        <family val="2"/>
      </rPr>
      <t>somatisch</t>
    </r>
    <r>
      <rPr>
        <sz val="10"/>
        <rFont val="Arial"/>
        <family val="0"/>
      </rPr>
      <t xml:space="preserve"> exclusief toelatingswijzigingen </t>
    </r>
    <r>
      <rPr>
        <vertAlign val="superscript"/>
        <sz val="10"/>
        <rFont val="Arial"/>
        <family val="2"/>
      </rPr>
      <t xml:space="preserve">1) &amp; 2) </t>
    </r>
  </si>
  <si>
    <r>
      <t xml:space="preserve">Te bezetten capaciteit </t>
    </r>
    <r>
      <rPr>
        <b/>
        <sz val="10"/>
        <rFont val="Arial"/>
        <family val="2"/>
      </rPr>
      <t>psychogeriatrisch</t>
    </r>
    <r>
      <rPr>
        <sz val="10"/>
        <rFont val="Arial"/>
        <family val="0"/>
      </rPr>
      <t xml:space="preserve"> excl. toelatingswijzigingen </t>
    </r>
    <r>
      <rPr>
        <vertAlign val="superscript"/>
        <sz val="10"/>
        <rFont val="Arial"/>
        <family val="2"/>
      </rPr>
      <t>1) &amp; 2)</t>
    </r>
  </si>
  <si>
    <r>
      <t xml:space="preserve">Te bezetten capaciteit </t>
    </r>
    <r>
      <rPr>
        <b/>
        <sz val="10"/>
        <rFont val="Arial"/>
        <family val="2"/>
      </rPr>
      <t>voorzieningencentrum</t>
    </r>
    <r>
      <rPr>
        <sz val="10"/>
        <rFont val="Arial"/>
        <family val="0"/>
      </rPr>
      <t xml:space="preserve"> excl. toelatingswijzigingen </t>
    </r>
    <r>
      <rPr>
        <vertAlign val="superscript"/>
        <sz val="10"/>
        <rFont val="Arial"/>
        <family val="2"/>
      </rPr>
      <t>1) &amp; 2)</t>
    </r>
  </si>
  <si>
    <r>
      <t xml:space="preserve">Te bezetten capaciteit </t>
    </r>
    <r>
      <rPr>
        <b/>
        <sz val="10"/>
        <rFont val="Arial"/>
        <family val="2"/>
      </rPr>
      <t>huur - geïndiceerd</t>
    </r>
    <r>
      <rPr>
        <sz val="10"/>
        <rFont val="Arial"/>
        <family val="0"/>
      </rPr>
      <t xml:space="preserve"> excl. toelatingswijzigingen </t>
    </r>
    <r>
      <rPr>
        <vertAlign val="superscript"/>
        <sz val="10"/>
        <rFont val="Arial"/>
        <family val="2"/>
      </rPr>
      <t>1) &amp; 2)</t>
    </r>
  </si>
  <si>
    <r>
      <t xml:space="preserve">Te bezetten capaciteit </t>
    </r>
    <r>
      <rPr>
        <b/>
        <sz val="10"/>
        <rFont val="Arial"/>
        <family val="2"/>
      </rPr>
      <t>huur - niet geïndiceerde partner</t>
    </r>
    <r>
      <rPr>
        <sz val="10"/>
        <rFont val="Arial"/>
        <family val="0"/>
      </rPr>
      <t xml:space="preserve"> (excl. toel.wijz.) </t>
    </r>
    <r>
      <rPr>
        <vertAlign val="superscript"/>
        <sz val="10"/>
        <rFont val="Arial"/>
        <family val="2"/>
      </rPr>
      <t>1) &amp; 2)</t>
    </r>
  </si>
  <si>
    <r>
      <t xml:space="preserve">Te bezetten capaciteit </t>
    </r>
    <r>
      <rPr>
        <b/>
        <sz val="10"/>
        <rFont val="Arial"/>
        <family val="2"/>
      </rPr>
      <t>eigendom - geïndiceerd</t>
    </r>
    <r>
      <rPr>
        <sz val="10"/>
        <rFont val="Arial"/>
        <family val="0"/>
      </rPr>
      <t xml:space="preserve"> (excl. toel.wijz.) </t>
    </r>
    <r>
      <rPr>
        <vertAlign val="superscript"/>
        <sz val="10"/>
        <rFont val="Arial"/>
        <family val="2"/>
      </rPr>
      <t>1) &amp; 2)</t>
    </r>
  </si>
  <si>
    <r>
      <t xml:space="preserve">Te bezetten cap. </t>
    </r>
    <r>
      <rPr>
        <b/>
        <sz val="10"/>
        <rFont val="Arial"/>
        <family val="2"/>
      </rPr>
      <t>eigendom - niet geïndiceerde partner</t>
    </r>
    <r>
      <rPr>
        <sz val="10"/>
        <rFont val="Arial"/>
        <family val="0"/>
      </rPr>
      <t xml:space="preserve"> (excl. toel.wijz.) </t>
    </r>
    <r>
      <rPr>
        <vertAlign val="superscript"/>
        <sz val="10"/>
        <rFont val="Arial"/>
        <family val="2"/>
      </rPr>
      <t>1) &amp; 2)</t>
    </r>
  </si>
  <si>
    <t>2) (De mutatie van) het aantal plaatsen dient binnen de toelating(en) ingevolge de AWBZ te passen.</t>
  </si>
  <si>
    <r>
      <t xml:space="preserve">Mutatie capaciteit huur - niet geïndiceerde partner a.g.v. nieuwe toelating </t>
    </r>
    <r>
      <rPr>
        <vertAlign val="superscript"/>
        <sz val="10"/>
        <rFont val="Arial"/>
        <family val="2"/>
      </rPr>
      <t>2)</t>
    </r>
  </si>
  <si>
    <t>1) In de kolom "Afgesproken prijs" dient het tarief exclusief de index 2006 te worden ingevuld. De index 2006 wordt automatisch berekend in de kolom "Totaal financieel".</t>
  </si>
  <si>
    <r>
      <t xml:space="preserve">Mutatie capaciteit eigendom - niet geïndiceerde partner a.g.v. nieuwe toelating </t>
    </r>
    <r>
      <rPr>
        <vertAlign val="superscript"/>
        <sz val="10"/>
        <rFont val="Arial"/>
        <family val="2"/>
      </rPr>
      <t>2)</t>
    </r>
  </si>
  <si>
    <t>Bedden jaarbasis</t>
  </si>
  <si>
    <r>
      <t xml:space="preserve">1) Voor een juiste berekening van het aantal plaatsen op kasbasis dient u hier het aantal plaatsen </t>
    </r>
    <r>
      <rPr>
        <b/>
        <sz val="8"/>
        <rFont val="Arial"/>
        <family val="2"/>
      </rPr>
      <t>excl. wijzigingen in de capaciteit als gevolg van nieuwe toelating(en) 2006</t>
    </r>
    <r>
      <rPr>
        <sz val="8"/>
        <rFont val="Arial"/>
        <family val="0"/>
      </rPr>
      <t xml:space="preserve"> in te vullen.</t>
    </r>
  </si>
  <si>
    <t>Aantal leerlingen dat opgeleid wordt via de beroepsbegeleidende leerweg per 1 oktober 2005</t>
  </si>
  <si>
    <t>Dagactiviteit jlvg</t>
  </si>
  <si>
    <t>Aantal dagen ten behoeve van Doven, blinden of slechtzienden</t>
  </si>
  <si>
    <t>Totaal beslag ten laste van de contracteerruimten 2006</t>
  </si>
  <si>
    <r>
      <t xml:space="preserve">Aantal verpleegdagen </t>
    </r>
    <r>
      <rPr>
        <b/>
        <sz val="10"/>
        <rFont val="Arial"/>
        <family val="2"/>
      </rPr>
      <t>niet geïndiceerde partner</t>
    </r>
    <r>
      <rPr>
        <sz val="10"/>
        <rFont val="Arial"/>
        <family val="0"/>
      </rPr>
      <t xml:space="preserve"> 2006 dat deel uit maakt van de productieafspraken op de regels 211 en 218</t>
    </r>
  </si>
  <si>
    <t>Het CTG/ZAio wil een bijdrage leveren aan het verminderen van de administratieve lasten bij instellingen. Het CTG/ZAio streeft tevens naar een zo efficiënt mogelijke aanwending van middelen om ontwikkelingen in de gezondheidszorg in kaart te brengen. Daarom heeft het CTG/ZAio met onder andere het CBS afspraken gemaakt over het niet vaker dan één keer stellen van dezelfde vragen aan instellingen. Genoemde partijen zijn in dat kader overeengekomen de door instellingen aangeleverde gegevens uit te wisselen. Daarbij is bepaald dat deze gegevens bij publicatie niet herleidbaar zijn op het niveau van de individuele instelling en dat de uitgewisselde gegevens niet verder aan andere personen of organisaties zullen worden doorgeleverd.
Het CTG/ZAio wil de door u op dit formulier ingevulde gegevens betrekken bij de hierboven genoemde gegevensuitwisseling. Bij toestemming levert u een bijdrage aan het verminderen van uw eigen administratieve lasten en ondersteunt u de lange termijn doelstellingen van de overheid.</t>
  </si>
  <si>
    <t>Bij bezwaar tegen genoemde gegevensuitwisseling verzoeken wij u in het vakje hiernaast "NEE" aan te geven.</t>
  </si>
  <si>
    <t>H144</t>
  </si>
  <si>
    <t>TOELICHTING ONDERDEEL "BUDGET 2006"</t>
  </si>
  <si>
    <t>De beheersing van de groei van de uitgaven wordt onder meer bereikt door per zorgkantoor maximale contracteerruimten 2006 vast te stellen.</t>
  </si>
  <si>
    <t>De bedoeling is dat het zorgkantoor productieafspraken 2006 met zorgaanbieders maakt die binnen deze contracteerruimten blijven.</t>
  </si>
  <si>
    <t>In het formulier wordt berekend welk beslag de instelling op de diverse contracteerruimten heeft.</t>
  </si>
  <si>
    <t>Te bezetten bedden/plaatsen</t>
  </si>
  <si>
    <t>Crisisbedden</t>
  </si>
  <si>
    <t>Niet geïndiceerde partner</t>
  </si>
  <si>
    <t>3.2 Toeslagen dagen ten behoeve van Cliënten met een (zeer) hoge zorgvraag</t>
  </si>
  <si>
    <t>Aantal dagen t.b.v. Reumapatiënten</t>
  </si>
  <si>
    <t>Aantal dagen t.b.v. Comapatiënten</t>
  </si>
  <si>
    <t>Aantal dagen t.b.v. Patiënten met Korsakov</t>
  </si>
  <si>
    <t>Aantal dagen t.b.v. Jong dementerenden met ernstig regieverlies</t>
  </si>
  <si>
    <t>De financiële afspraak, voorzover betrekking hebbend op de mutatie, wordt niet ten laste gebracht van de contracteerruimte 2006 excl. geoormerkte gelden.</t>
  </si>
  <si>
    <t xml:space="preserve">Deze capaciteitswijziging wordt meegenomen in de berekening van het beslag op de contracteerruimte 2006 van het zorgkantoor. </t>
  </si>
  <si>
    <t>CTG/ZAio zal zorg dragen voor de ophoging van de contracteerruimte 2006 van uw zorgkantoor.</t>
  </si>
  <si>
    <t>Bij de afspraken voor de niet geïndiceerde partner in het verzorgingshuis wordt er onderscheid gemaakt in huur (regel 310 t/m 314) en eigendom (regel 322 t/m 326).</t>
  </si>
  <si>
    <r>
      <t>-</t>
    </r>
    <r>
      <rPr>
        <sz val="7"/>
        <color indexed="8"/>
        <rFont val="Times New Roman"/>
        <family val="1"/>
      </rPr>
      <t xml:space="preserve">                 </t>
    </r>
    <r>
      <rPr>
        <sz val="9.5"/>
        <color indexed="8"/>
        <rFont val="Arial"/>
        <family val="2"/>
      </rPr>
      <t>Korsakov B cliënten;</t>
    </r>
  </si>
  <si>
    <r>
      <t>-</t>
    </r>
    <r>
      <rPr>
        <sz val="7"/>
        <color indexed="8"/>
        <rFont val="Times New Roman"/>
        <family val="1"/>
      </rPr>
      <t xml:space="preserve">                 </t>
    </r>
    <r>
      <rPr>
        <sz val="9.5"/>
        <color indexed="8"/>
        <rFont val="Arial"/>
        <family val="2"/>
      </rPr>
      <t>Geronto-psychiatrische cliënten;</t>
    </r>
  </si>
  <si>
    <r>
      <t>-</t>
    </r>
    <r>
      <rPr>
        <sz val="7"/>
        <color indexed="8"/>
        <rFont val="Times New Roman"/>
        <family val="1"/>
      </rPr>
      <t xml:space="preserve">                 </t>
    </r>
    <r>
      <rPr>
        <sz val="9.5"/>
        <color indexed="8"/>
        <rFont val="Arial"/>
        <family val="2"/>
      </rPr>
      <t>Jong dementerenden met ernstig regieverlies;</t>
    </r>
  </si>
  <si>
    <r>
      <t>-</t>
    </r>
    <r>
      <rPr>
        <sz val="7"/>
        <color indexed="8"/>
        <rFont val="Times New Roman"/>
        <family val="1"/>
      </rPr>
      <t xml:space="preserve">                 </t>
    </r>
    <r>
      <rPr>
        <sz val="9.5"/>
        <color indexed="8"/>
        <rFont val="Arial"/>
        <family val="2"/>
      </rPr>
      <t>Verstandelijk gehandicapten.</t>
    </r>
  </si>
  <si>
    <r>
      <t xml:space="preserve">In dit onderdeel wordt het beslag op de contracteerruimte 2006 exclusief geoormerkte gelden berekend. Daarnaast wordt </t>
    </r>
    <r>
      <rPr>
        <sz val="10"/>
        <color indexed="8"/>
        <rFont val="Arial"/>
        <family val="2"/>
      </rPr>
      <t xml:space="preserve">u gevraagd gegevens uit de rekenstaat over te nemen. </t>
    </r>
  </si>
  <si>
    <t xml:space="preserve">Bij dit onderdeel vult u alleen de functies in waarvoor u bent toegelaten in 2006. U kunt alleen afspraken maken over prestaties behorende bij een functie </t>
  </si>
  <si>
    <t>waarvoor u bent toegelaten. Afspraken die hier niet aan voldoen kunnen door CTG/ZAio niet worden verwerkt.</t>
  </si>
  <si>
    <t xml:space="preserve">Indien instelling en zorgkantoor een hoger aantal bedden/plaatsen overeenkomen dan het berekende aantal te bezetten bedden/plaatsen 2006, </t>
  </si>
  <si>
    <t>dient hiervoor altijd een motivering meegestuurd te worden.</t>
  </si>
  <si>
    <r>
      <t>Op de regels 'Te bezetten capaciteit exclusief toelatingswijzigingen' (</t>
    </r>
    <r>
      <rPr>
        <sz val="10"/>
        <rFont val="Arial"/>
        <family val="2"/>
      </rPr>
      <t xml:space="preserve">regels 205, 212, 221, 303, 310, 315 en 322) </t>
    </r>
    <r>
      <rPr>
        <sz val="10"/>
        <color indexed="8"/>
        <rFont val="Arial"/>
        <family val="2"/>
      </rPr>
      <t>kunt u de capaciteit per 1 januari 2006 in</t>
    </r>
  </si>
  <si>
    <t>vullen welke past binnen de toelating ultimo 2005. De financiële afspraak hiervan wordt ten laste gebracht van de contracteerruimte 2006 excl. geoormerkte gelden.</t>
  </si>
  <si>
    <t xml:space="preserve">Partijen kunnen bij het budget 2006 afspraken maken over het aantal crisisbedden (regel 219). Partijen dienen dan wel afspraken te maken over de registratie </t>
  </si>
  <si>
    <t>De definitie van een crisisbed is opgenomen in de Beleidsregel definities.</t>
  </si>
  <si>
    <t>Voor niet geïndiceerde partners in het verpleeghuis is vanaf 2006 een afzonderlijke budgetparameter ontwikkeld.</t>
  </si>
  <si>
    <t xml:space="preserve">Het aantal verpleegdagen 2006 van de niet geïndiceerde partner kunnen op regel 220 worden ingevuld. </t>
  </si>
  <si>
    <t xml:space="preserve">Wij wijzen u erop dat in de beleidsregels personeelskosten, zorgzwaarte toeslag en palliatief terminale zorg is opgenomen welke toeslagen niet gelijktijdig voor </t>
  </si>
  <si>
    <t>dezelfde patiënt in rekening mogen worden gebracht.</t>
  </si>
  <si>
    <r>
      <t xml:space="preserve">In 2006 is de Beleidsregel contracteerruimte 2006 van kracht </t>
    </r>
    <r>
      <rPr>
        <sz val="10"/>
        <rFont val="Arial"/>
        <family val="2"/>
      </rPr>
      <t>(zie onze circulaire met kenmerk CARE/AWBZ/05/13c</t>
    </r>
    <r>
      <rPr>
        <sz val="10"/>
        <color indexed="8"/>
        <rFont val="Arial"/>
        <family val="2"/>
      </rPr>
      <t>).</t>
    </r>
  </si>
  <si>
    <t xml:space="preserve">In 2006 kunnen ten opzichte van 2005 voor een uitgebreidere cliëntgroep afspraken gemaakt worden over toeslagen op dagen ten behoeve van een hoge zorgvraag. </t>
  </si>
  <si>
    <t>De volgende cliëntgroepen zijn toegevoegd:</t>
  </si>
  <si>
    <t xml:space="preserve">Tevens is het mogelijk op deze regel de kapitaalslasten op grond van de Beleidsregel overgangsregeling kapitaalslasten extramurale zorgverlening en de </t>
  </si>
  <si>
    <t>Hiermee wordt bedoeld de meest recente rekenstaat 2006. Voor 2006 is het mogelijk om een korting ten laste van de intramurale zorg overeen te komen.</t>
  </si>
  <si>
    <t>Deze korting kan opgenomen worden op regel 1030.</t>
  </si>
  <si>
    <t>Beleidsregel zorginfrastructuur op te nemen. CTG/ZAio zal de wijziging van de totale kapitaalslasten ten opzichte van de in de rekenstaat opgenomen nacalculeerbare</t>
  </si>
  <si>
    <t>kapitaalslasten als 'voorlopige budgetmutatie' in de rekenstaat verwerken.</t>
  </si>
  <si>
    <t xml:space="preserve">Wij stemmen in met bovenstaande: </t>
  </si>
  <si>
    <t>Keuzelijst</t>
  </si>
  <si>
    <t>Aantal dagen t.b.v. Patiënten met chronische ademhalingsondersteuning</t>
  </si>
  <si>
    <t>Eenheid</t>
  </si>
  <si>
    <t>H 131</t>
  </si>
  <si>
    <t>Kortdurend verblijf</t>
  </si>
  <si>
    <t>per dag</t>
  </si>
  <si>
    <t>H 132</t>
  </si>
  <si>
    <t>Nachtverzorging</t>
  </si>
  <si>
    <t>per nacht</t>
  </si>
  <si>
    <t>H 135</t>
  </si>
  <si>
    <t xml:space="preserve">Aanvullende dagen instellingen met verblijf </t>
  </si>
  <si>
    <t>H 186</t>
  </si>
  <si>
    <t>Aanvullende zorg somatisch</t>
  </si>
  <si>
    <t>H 187</t>
  </si>
  <si>
    <t>Aanvullende zorg psychogeriatrisch</t>
  </si>
  <si>
    <t>H 188</t>
  </si>
  <si>
    <t>Combinatie individuele en groepsgerichte aanvullende zorg</t>
  </si>
  <si>
    <t>H 190</t>
  </si>
  <si>
    <t>Aanvullende zorg accent psychiatrische problematiek</t>
  </si>
  <si>
    <t>H 180</t>
  </si>
  <si>
    <t>Nachtverpleging</t>
  </si>
  <si>
    <t>H 189</t>
  </si>
  <si>
    <t>mogelijk ?</t>
  </si>
  <si>
    <t>Totaal</t>
  </si>
  <si>
    <t>aantal</t>
  </si>
  <si>
    <t>Afgesproken</t>
  </si>
  <si>
    <t>prijs</t>
  </si>
  <si>
    <t xml:space="preserve">Totaal </t>
  </si>
  <si>
    <t>financieel</t>
  </si>
  <si>
    <t>rekenstaat</t>
  </si>
  <si>
    <t>ja</t>
  </si>
  <si>
    <t>nee</t>
  </si>
  <si>
    <t>max</t>
  </si>
  <si>
    <t>min</t>
  </si>
  <si>
    <t>Beleidsregelwaarden</t>
  </si>
  <si>
    <t>Afspraak</t>
  </si>
  <si>
    <t>Aantal</t>
  </si>
  <si>
    <t>Rekenstaat</t>
  </si>
  <si>
    <t>Artikel</t>
  </si>
  <si>
    <t>Omschrijving</t>
  </si>
  <si>
    <t>Huishoudelijke verzorging</t>
  </si>
  <si>
    <t>Persoonlijke verzorging</t>
  </si>
  <si>
    <t>Verpleging</t>
  </si>
  <si>
    <t>Ondersteunende begeleiding</t>
  </si>
  <si>
    <t>Activerende begeleiding</t>
  </si>
  <si>
    <t>Behandeling</t>
  </si>
  <si>
    <t>Uitleen van verpleegartikelen</t>
  </si>
  <si>
    <t>Prenatale zorg</t>
  </si>
  <si>
    <t>Toegelaten</t>
  </si>
  <si>
    <t>Toevoegen?</t>
  </si>
  <si>
    <t>1. Toelating voor functies</t>
  </si>
  <si>
    <t>Verblijf</t>
  </si>
  <si>
    <t>kasbasis</t>
  </si>
  <si>
    <t>Afspraak mogelijk?</t>
  </si>
  <si>
    <t>VERBERGEN</t>
  </si>
  <si>
    <t>Totaal aantal</t>
  </si>
  <si>
    <t>Aantal dagen ten behoeve van Aids-patiënten</t>
  </si>
  <si>
    <t>H125</t>
  </si>
  <si>
    <t>Huishoudelijke hulp:alpha</t>
  </si>
  <si>
    <t>per uur</t>
  </si>
  <si>
    <t>H102</t>
  </si>
  <si>
    <t>H126</t>
  </si>
  <si>
    <t>H127</t>
  </si>
  <si>
    <t>Persoonlijke verzorging extra</t>
  </si>
  <si>
    <t>H104</t>
  </si>
  <si>
    <t>H128</t>
  </si>
  <si>
    <t>H106</t>
  </si>
  <si>
    <t>H114</t>
  </si>
  <si>
    <t>Verpleging extra</t>
  </si>
  <si>
    <t>Gespecialiseerde verpleging</t>
  </si>
  <si>
    <t>Verpleging: AIV</t>
  </si>
  <si>
    <t>H121</t>
  </si>
  <si>
    <t>H129</t>
  </si>
  <si>
    <t>H140</t>
  </si>
  <si>
    <t>Begeleiding</t>
  </si>
  <si>
    <t>Begeleiding extra</t>
  </si>
  <si>
    <t>H130</t>
  </si>
  <si>
    <t>Activerende thuiszorg</t>
  </si>
  <si>
    <t>H324</t>
  </si>
  <si>
    <t>H325</t>
  </si>
  <si>
    <t>H326</t>
  </si>
  <si>
    <t>H327</t>
  </si>
  <si>
    <t>Behandeling basis zg</t>
  </si>
  <si>
    <t>Behandeling basis jlvg</t>
  </si>
  <si>
    <t>Behandeling basis sglvg-traject</t>
  </si>
  <si>
    <t>Behandeling basis sglvg deeltijd</t>
  </si>
  <si>
    <t>H113</t>
  </si>
  <si>
    <t>H172</t>
  </si>
  <si>
    <t>H173</t>
  </si>
  <si>
    <t>H518</t>
  </si>
  <si>
    <t>H519</t>
  </si>
  <si>
    <t>H520</t>
  </si>
  <si>
    <t>H521</t>
  </si>
  <si>
    <t>H523</t>
  </si>
  <si>
    <t>H525</t>
  </si>
  <si>
    <t>Dagactiviteit lg</t>
  </si>
  <si>
    <t>Dagactiviteit vg basis</t>
  </si>
  <si>
    <t>Dagactiviteit vg extra</t>
  </si>
  <si>
    <t>Dagactiviteit zg</t>
  </si>
  <si>
    <t>Dagactiviteit ouderen basis</t>
  </si>
  <si>
    <t>Dagactiviteit ouderen som</t>
  </si>
  <si>
    <t>Dagactiviteit ouderen pg</t>
  </si>
  <si>
    <t>per dagdeel</t>
  </si>
  <si>
    <t>H109</t>
  </si>
  <si>
    <t>per uitlening</t>
  </si>
  <si>
    <t>per matras p/w</t>
  </si>
  <si>
    <t>per transport</t>
  </si>
  <si>
    <t>H701</t>
  </si>
  <si>
    <t>H702</t>
  </si>
  <si>
    <t>H703</t>
  </si>
  <si>
    <t>H110</t>
  </si>
  <si>
    <t>Uitleen</t>
  </si>
  <si>
    <t>Uitleen anti-decubitus matrassen, statisch</t>
  </si>
  <si>
    <t>Uitleen anti-decubitus matrassen, licht dynamisch</t>
  </si>
  <si>
    <t>Uitleen anti-decubitus matrassen, sterk dynamisch</t>
  </si>
  <si>
    <t>Transport</t>
  </si>
  <si>
    <t>H151</t>
  </si>
  <si>
    <t>per mw per uur</t>
  </si>
  <si>
    <t>H115</t>
  </si>
  <si>
    <t>H116</t>
  </si>
  <si>
    <t>Advies, instructie en voorlichting (preventie)</t>
  </si>
  <si>
    <t>Voedingsvoorlichting</t>
  </si>
  <si>
    <t>Nieuwe inschrijving</t>
  </si>
  <si>
    <t>Intakecontact</t>
  </si>
  <si>
    <t>Onderzoekscontact</t>
  </si>
  <si>
    <t>Psychotherapiecontact</t>
  </si>
  <si>
    <t>Groepscontact psychotherapie</t>
  </si>
  <si>
    <t>Behandeling/begeleidingscontact</t>
  </si>
  <si>
    <t>Telefonische behand./begel. contact</t>
  </si>
  <si>
    <t>Groepscontact behandeling/begeleiding</t>
  </si>
  <si>
    <t>Crisiscontacten binnen kantooruren</t>
  </si>
  <si>
    <t>Crisiscontacten buiten kantooruren</t>
  </si>
  <si>
    <t>Toeslag contact buiten de instelling</t>
  </si>
  <si>
    <t>per contact</t>
  </si>
  <si>
    <t>per cliënt</t>
  </si>
  <si>
    <t>F151</t>
  </si>
  <si>
    <t>F152</t>
  </si>
  <si>
    <t>F153</t>
  </si>
  <si>
    <t>F154</t>
  </si>
  <si>
    <t>F155</t>
  </si>
  <si>
    <t>F156</t>
  </si>
  <si>
    <t>F157</t>
  </si>
  <si>
    <t>F158</t>
  </si>
  <si>
    <t>F159</t>
  </si>
  <si>
    <t>F160</t>
  </si>
  <si>
    <t>F224</t>
  </si>
  <si>
    <t>F201</t>
  </si>
  <si>
    <t>F202</t>
  </si>
  <si>
    <t>F204</t>
  </si>
  <si>
    <t>F205</t>
  </si>
  <si>
    <t>F206</t>
  </si>
  <si>
    <t>F207</t>
  </si>
  <si>
    <t>F208</t>
  </si>
  <si>
    <t>F451</t>
  </si>
  <si>
    <t>F452</t>
  </si>
  <si>
    <t>F453</t>
  </si>
  <si>
    <t>F454</t>
  </si>
  <si>
    <t>F461</t>
  </si>
  <si>
    <t>F462</t>
  </si>
  <si>
    <t>F463</t>
  </si>
  <si>
    <t>F464</t>
  </si>
  <si>
    <t>F465</t>
  </si>
  <si>
    <t>F466</t>
  </si>
  <si>
    <t>F471</t>
  </si>
  <si>
    <t>F472</t>
  </si>
  <si>
    <t>F473</t>
  </si>
  <si>
    <t>F474</t>
  </si>
  <si>
    <t>F475</t>
  </si>
  <si>
    <t>F476</t>
  </si>
  <si>
    <t>F477</t>
  </si>
  <si>
    <t>F478</t>
  </si>
  <si>
    <t>F481</t>
  </si>
  <si>
    <t>F482</t>
  </si>
  <si>
    <t>F483</t>
  </si>
  <si>
    <t>F484</t>
  </si>
  <si>
    <t>F491</t>
  </si>
  <si>
    <t>Deeltijd verslavingszorg (4-6 uur)</t>
  </si>
  <si>
    <t>Deeltijd verslavingszorg (6-8 uur)</t>
  </si>
  <si>
    <t>Deeltijd met beperkte begeleiding verslavingszorg (4-6 uur)</t>
  </si>
  <si>
    <t>Deeltijd met beperkte begeleiding verslavingszorg (6-8 uur)</t>
  </si>
  <si>
    <t>Deeltijd k/j opname en observatie (4-6 uur)</t>
  </si>
  <si>
    <t>Deeltijd k/j opname en observatie (6-8 uur)</t>
  </si>
  <si>
    <t>Deeltijd k/j alg. en gezin met geringe begeleiding (4-6 uur)</t>
  </si>
  <si>
    <t>Deeltijd k/j alg. en gezin met geringe begeleiding (6-8 uur)</t>
  </si>
  <si>
    <t>Deeltijd k/j alg. en gezin met begeleiding op afstand (4-6 uur)</t>
  </si>
  <si>
    <t>Deeltijd k/j alg. en gezin met begeleiding op afstand (6-8 uur)</t>
  </si>
  <si>
    <t>Psychotherapeutische deeltijdbehandeling volw. (4-6 uur)</t>
  </si>
  <si>
    <t>Deeltijd stabilisatie volwassenen (4-6 uur)</t>
  </si>
  <si>
    <t>Deeltijd stabilisatie volwassenen (6-8 uur)</t>
  </si>
  <si>
    <t>Bedden/plaatsen ten laste van de contracteerruimte</t>
  </si>
  <si>
    <t>Mutatie capaciteit als gevolg van een nieuwe toelating</t>
  </si>
  <si>
    <t xml:space="preserve">Op de regels 'Mutatie capaciteit als gevolg van een nieuwe toelating' kan de wijziging ten opzichte van de toelating ultimo 2005 worden ingevuld. </t>
  </si>
  <si>
    <t xml:space="preserve">Indien de capaciteitswijziging al in gaat in het jaar 2005, kunt u dit in een separate toelichting aangeven. </t>
  </si>
  <si>
    <t xml:space="preserve">van de bezetting van deze bedden. Op het afgesproken aantal crisisbedden kan in de loop van het jaar niet meer worden teruggekomen. </t>
  </si>
  <si>
    <t>Deeltijd rehabilitatie volwassenen (4-6 uur)</t>
  </si>
  <si>
    <t>Deeltijd rehabilitatie volwassenen (6-8 uur)</t>
  </si>
  <si>
    <t>Forensische deeltijdbehandeling (6-8 uur)</t>
  </si>
  <si>
    <t>Psychotherap. deeltijdbeh. met beperkte begeleiding volw. (4-6 uur)</t>
  </si>
  <si>
    <t>Psychotherap. deeltijdbeh. met beperkte begeleiding volw. (6-8 uur)</t>
  </si>
  <si>
    <t>p/cliënt p/cont.</t>
  </si>
  <si>
    <t>F121</t>
  </si>
  <si>
    <t>F122</t>
  </si>
  <si>
    <t>F123</t>
  </si>
  <si>
    <t>Psychiatrische crisisinterventie thuis</t>
  </si>
  <si>
    <t>Psychiatrische intensieve thuiszorg / activerende psych.thuiszorg</t>
  </si>
  <si>
    <t>Gespecialiseerde begeleiding</t>
  </si>
  <si>
    <t>Dagactiviteit ggz-lza</t>
  </si>
  <si>
    <t>H620</t>
  </si>
  <si>
    <t>H621</t>
  </si>
  <si>
    <t>H622</t>
  </si>
  <si>
    <t>H624</t>
  </si>
  <si>
    <t>H625</t>
  </si>
  <si>
    <t>F126</t>
  </si>
  <si>
    <t>H607</t>
  </si>
  <si>
    <t>Vervoer dagactiviteit ouderen (H113, H172 en H173)</t>
  </si>
  <si>
    <t xml:space="preserve">Vervoer dagactiviteit vg (H519) </t>
  </si>
  <si>
    <t xml:space="preserve">Vervoer dagactiviteit vg extra (H520) </t>
  </si>
  <si>
    <t xml:space="preserve">Vervoer dagactiviteit vg kind basis (H521) </t>
  </si>
  <si>
    <t xml:space="preserve">Vervoer dagactiviteit lg (H518) </t>
  </si>
  <si>
    <t>H321</t>
  </si>
  <si>
    <t>per aanw. dag</t>
  </si>
  <si>
    <t>F125</t>
  </si>
  <si>
    <t>De functies zijn opgenomen volgens de artikelen 3 tot en met 9, 11 en 16 van het Besluit Zorgaanspraken.</t>
  </si>
  <si>
    <t>Vervoer dagact. GGZ (F125) / deelt.beh. GGZ (F451 t/m F491)</t>
  </si>
  <si>
    <t>Totaal prestaties Dagactiviteit</t>
  </si>
  <si>
    <t>Totaal prestaties overig</t>
  </si>
  <si>
    <t>Totaal prestaties Face-to-face-contacten forensische psychiatrie</t>
  </si>
  <si>
    <t>Totaal prestaties Vervoerskosten ten behoeve van cliënten</t>
  </si>
  <si>
    <t>Genormeerde loonkosten</t>
  </si>
  <si>
    <t>Genormeerde materiële kosten</t>
  </si>
  <si>
    <t>Scholingsmiddelen / Aantal leerlingen per 1 oktober jaar t-1</t>
  </si>
  <si>
    <t>Personeelskosten / Aantal toelatingen</t>
  </si>
  <si>
    <t>Materiële kosten / Aantal toelatingen</t>
  </si>
  <si>
    <t>Materiële kosten / Aantal plaatsen huur</t>
  </si>
  <si>
    <t>Materiële kosten / Aantal plaatsen eigendom</t>
  </si>
  <si>
    <t>Materiële kosten / Totaal aantal verzorgingsdagen</t>
  </si>
  <si>
    <t>Bedrag</t>
  </si>
  <si>
    <t>Totaal genormeerde loonkosten</t>
  </si>
  <si>
    <t>Totaal genormeerde materiële kosten</t>
  </si>
  <si>
    <t>NIET INVULLEN</t>
  </si>
  <si>
    <t>Aanvraag</t>
  </si>
  <si>
    <t>Datum</t>
  </si>
  <si>
    <t>cat.</t>
  </si>
  <si>
    <t>nr.</t>
  </si>
  <si>
    <t>Medewerker</t>
  </si>
  <si>
    <t>Versie</t>
  </si>
  <si>
    <t>Toelichting bij elektronisch formulier:</t>
  </si>
  <si>
    <t>De in te vullen velden zijn gearceerd. Deze arcering kunt u in- en uitschakelen. Voor het maken van een duidelijke afdruk wordt aanbevolen eerst de arcering van de velden uit te zetten.</t>
  </si>
  <si>
    <t>Instelling</t>
  </si>
  <si>
    <t>Zorgkantoor</t>
  </si>
  <si>
    <t>Naam</t>
  </si>
  <si>
    <t>Plaats</t>
  </si>
  <si>
    <t>Contactpersoon</t>
  </si>
  <si>
    <t>Telefoon</t>
  </si>
  <si>
    <t>Fax</t>
  </si>
  <si>
    <t>E-mail</t>
  </si>
  <si>
    <t>Ondertekening namens het bestuur van het orgaan voor gezondheidszorg:</t>
  </si>
  <si>
    <t>Ondertekening namens het zorgkantoor:</t>
  </si>
  <si>
    <t>(handtekening)</t>
  </si>
  <si>
    <t>(datum)</t>
  </si>
  <si>
    <t>(naam)</t>
  </si>
  <si>
    <t>Het aantal bijlagen dat bij dit formulier is gevoegd:</t>
  </si>
  <si>
    <t>F101</t>
  </si>
  <si>
    <t>F102</t>
  </si>
  <si>
    <t>F103</t>
  </si>
  <si>
    <t>F104</t>
  </si>
  <si>
    <t>F105</t>
  </si>
  <si>
    <t>F106</t>
  </si>
  <si>
    <t>F107</t>
  </si>
  <si>
    <t>F108</t>
  </si>
  <si>
    <t>F109</t>
  </si>
  <si>
    <t>F110</t>
  </si>
  <si>
    <t>F221</t>
  </si>
  <si>
    <t>Totaal prestaties Face-to-face-contacten volwassenen</t>
  </si>
  <si>
    <t>F131</t>
  </si>
  <si>
    <t>F132</t>
  </si>
  <si>
    <t>F133</t>
  </si>
  <si>
    <t>F134</t>
  </si>
  <si>
    <t>F135</t>
  </si>
  <si>
    <t>F136</t>
  </si>
  <si>
    <t>F137</t>
  </si>
  <si>
    <t>F138</t>
  </si>
  <si>
    <t>F139</t>
  </si>
  <si>
    <t>F140</t>
  </si>
  <si>
    <t>F141</t>
  </si>
  <si>
    <t>F222</t>
  </si>
  <si>
    <t>Totaal prestaties Face-to-face-contacten verslaafden</t>
  </si>
  <si>
    <t>Totaal prestaties Face-to-face-contacten ouderen</t>
  </si>
  <si>
    <t>F142</t>
  </si>
  <si>
    <t>F143</t>
  </si>
  <si>
    <t>F144</t>
  </si>
  <si>
    <t>F145</t>
  </si>
  <si>
    <t>F146</t>
  </si>
  <si>
    <t>F147</t>
  </si>
  <si>
    <t>F148</t>
  </si>
  <si>
    <t>F149</t>
  </si>
  <si>
    <t>F150</t>
  </si>
  <si>
    <t>F223</t>
  </si>
  <si>
    <t>F225</t>
  </si>
  <si>
    <t>Totaal prestaties Deeltijdbehandelingen</t>
  </si>
  <si>
    <r>
      <t>1)</t>
    </r>
    <r>
      <rPr>
        <sz val="8"/>
        <rFont val="Arial"/>
        <family val="2"/>
      </rPr>
      <t xml:space="preserve"> Op basis van Regeling algemene bepalingen informatieverstrekking op grond van artikel 30a WTG.</t>
    </r>
  </si>
  <si>
    <t>Aantal dagen ten behoeve van CVA-patiënten</t>
  </si>
  <si>
    <t>Aantal dagen ten behoeve van Palliatief terminale zorg</t>
  </si>
  <si>
    <t>max aantal</t>
  </si>
  <si>
    <t>min aantal</t>
  </si>
  <si>
    <t>per zitting</t>
  </si>
  <si>
    <t>Paramedische zorg</t>
  </si>
  <si>
    <t>H 191</t>
  </si>
  <si>
    <t>6-11</t>
  </si>
  <si>
    <t>12-17</t>
  </si>
  <si>
    <t>18-23</t>
  </si>
  <si>
    <t>bedrag</t>
  </si>
  <si>
    <t>Jongeren NAH</t>
  </si>
  <si>
    <t>Aantal dagen ten behoeve van Indische Nederlanders</t>
  </si>
  <si>
    <t>Zintuiglijk</t>
  </si>
  <si>
    <t>Indische NL</t>
  </si>
  <si>
    <t xml:space="preserve">Instellingen </t>
  </si>
  <si>
    <t>Huidige instelling:</t>
  </si>
  <si>
    <t>Regiotoeslag / Te bezetten bedden</t>
  </si>
  <si>
    <t>Categorie regio:</t>
  </si>
  <si>
    <t>Separate regiotoeslag / Te bezetten bedden                     Recht op:</t>
  </si>
  <si>
    <t>Aids</t>
  </si>
  <si>
    <t>Jongeren niet aangeboren hersenletsel                                Aantal:</t>
  </si>
  <si>
    <t>Personeelskosten / Aantal plaatsen huur - niet-geïndiceerde partner</t>
  </si>
  <si>
    <t>Personeelskosten / Aantal plaatsen eigendom - niet-geïndiceerde partner</t>
  </si>
  <si>
    <t>Personeelskosten / Aantal plaatsen eigendom - geïndiceerd</t>
  </si>
  <si>
    <t>Personeelskosten / Aantal plaatsen huur - geïndiceerd</t>
  </si>
  <si>
    <t>Personeelskosten / Totaal aantal verzorgingsdagen - geïndiceerd</t>
  </si>
  <si>
    <t>Personeelskosten / Totaal aantal verzorgingsdagen - niet geïndiceerde partner</t>
  </si>
  <si>
    <t>JA</t>
  </si>
  <si>
    <t>Psychotherapeutische deeltijdbehandeling volw. (6-8 uur)</t>
  </si>
  <si>
    <t>Categorie regiotoeslag</t>
  </si>
  <si>
    <t>max. aantal</t>
  </si>
  <si>
    <t>VKN</t>
  </si>
  <si>
    <t>NEE</t>
  </si>
  <si>
    <t>datum min</t>
  </si>
  <si>
    <t>datum max</t>
  </si>
  <si>
    <t>Dagactiviteit vg kind</t>
  </si>
  <si>
    <t>AWBZ-instellingen sector V&amp;V</t>
  </si>
  <si>
    <t>Aanvullende dagen instellingen met behandeling en verblijf</t>
  </si>
  <si>
    <t>H147</t>
  </si>
  <si>
    <t>prijs / norm</t>
  </si>
  <si>
    <t>Totaal prestaties Overige GGZ-prestaties</t>
  </si>
  <si>
    <r>
      <t xml:space="preserve">Registratienummer </t>
    </r>
    <r>
      <rPr>
        <b/>
        <sz val="9"/>
        <rFont val="Arial"/>
        <family val="2"/>
      </rPr>
      <t>2006</t>
    </r>
    <r>
      <rPr>
        <sz val="9"/>
        <rFont val="Arial"/>
        <family val="2"/>
      </rPr>
      <t xml:space="preserve"> CTG/ZAio</t>
    </r>
  </si>
  <si>
    <t>2006-2</t>
  </si>
  <si>
    <t>Instelling:</t>
  </si>
  <si>
    <t>A</t>
  </si>
  <si>
    <t>B</t>
  </si>
  <si>
    <t>C</t>
  </si>
  <si>
    <t>D</t>
  </si>
  <si>
    <t>E</t>
  </si>
  <si>
    <t>2. Capaciteit</t>
  </si>
  <si>
    <t>Aantal conf.</t>
  </si>
  <si>
    <t>toelating</t>
  </si>
  <si>
    <t>Toelating</t>
  </si>
  <si>
    <t>Aantal bedden somatisch en psychoger. zoals genoemd in de toelating(en) ingevolge de AWBZ</t>
  </si>
  <si>
    <t>Aantal bedden voorzieningencentrum zoals genoemd in de toelating(en) ingevolge de AWBZ</t>
  </si>
  <si>
    <t>Gem. aantal</t>
  </si>
  <si>
    <t>Te bezetten</t>
  </si>
  <si>
    <t>Realisatie verpleegdagen jaar t-2 en jaar t-1</t>
  </si>
  <si>
    <t>bezetten bedden</t>
  </si>
  <si>
    <t>Aantal gerealiseerde verpleegdagen somatisch en psychogeriatrisch</t>
  </si>
  <si>
    <t>Aantal gerealiseerde verpleegdagen voorheen voorzieningencentrum</t>
  </si>
  <si>
    <t>Ingangs-</t>
  </si>
  <si>
    <t xml:space="preserve">Aantal </t>
  </si>
  <si>
    <t>datum</t>
  </si>
  <si>
    <t>bedden</t>
  </si>
  <si>
    <t>verpleegdgn</t>
  </si>
  <si>
    <t>verpleegdagen</t>
  </si>
  <si>
    <t>jaarbasis</t>
  </si>
  <si>
    <t>plst jaarbasis</t>
  </si>
  <si>
    <t>min dgn</t>
  </si>
  <si>
    <t>max dgn</t>
  </si>
  <si>
    <t>Aantal dagen</t>
  </si>
  <si>
    <t>min. datum</t>
  </si>
  <si>
    <t>max. datum</t>
  </si>
  <si>
    <t>ingangsdatum</t>
  </si>
  <si>
    <t>Tevens is op landelijke niveau de contracteerruimte voor Zorgzwaarte in AWBZ-instellingen, die zijn toegelaten voor verblijf en behandeling, (verpleeghuizen) bepaald.</t>
  </si>
  <si>
    <t>Bij dit onderdeel kunnen de totale verwachte kosten voor rente, afschrijving, huur, kapitaalslasten bij uitbesteding en doorberekende kapitaalslasten worden ingevuld.</t>
  </si>
  <si>
    <r>
      <t>3. Toeslagen</t>
    </r>
    <r>
      <rPr>
        <b/>
        <vertAlign val="superscript"/>
        <sz val="12"/>
        <rFont val="Arial"/>
        <family val="2"/>
      </rPr>
      <t>1)</t>
    </r>
  </si>
  <si>
    <t>Totaal nacalculeerbare kapitaalslasten</t>
  </si>
  <si>
    <t>Vervoer dagactiviteit vg kind emg/gedrag (H526 en H527)</t>
  </si>
  <si>
    <r>
      <t xml:space="preserve">Mutatie capaciteit somatisch a.g.v. nieuwe toelating </t>
    </r>
    <r>
      <rPr>
        <vertAlign val="superscript"/>
        <sz val="10"/>
        <rFont val="Arial"/>
        <family val="2"/>
      </rPr>
      <t>2)</t>
    </r>
  </si>
  <si>
    <r>
      <t xml:space="preserve">Mutatie capaciteit psychogeriatrisch a.g.v. nieuwe toelating </t>
    </r>
    <r>
      <rPr>
        <vertAlign val="superscript"/>
        <sz val="10"/>
        <rFont val="Arial"/>
        <family val="2"/>
      </rPr>
      <t>2)</t>
    </r>
  </si>
  <si>
    <r>
      <t xml:space="preserve">Mutatie capaciteit voorzieningencentrum a.g.v. nieuwe toelating </t>
    </r>
    <r>
      <rPr>
        <vertAlign val="superscript"/>
        <sz val="10"/>
        <rFont val="Arial"/>
        <family val="2"/>
      </rPr>
      <t>2)</t>
    </r>
  </si>
  <si>
    <t>Aantal plaatsen zoals genoemd in de toelating(en) ingevolge de AWBZ</t>
  </si>
  <si>
    <t>Realisatie verzorgingsdagen jaar t-2 en jaar t-1</t>
  </si>
  <si>
    <t>bezetten plts</t>
  </si>
  <si>
    <t>Aantal gerealiseerde verzorgingsdagen</t>
  </si>
  <si>
    <t>plaatsen</t>
  </si>
  <si>
    <t>verz.dagen</t>
  </si>
  <si>
    <t>min aantal dgn</t>
  </si>
  <si>
    <t>max aantal dgn</t>
  </si>
  <si>
    <r>
      <t xml:space="preserve">Mutatie capaciteit huur - geïndiceerd a.g.v. nieuwe toelating </t>
    </r>
    <r>
      <rPr>
        <vertAlign val="superscript"/>
        <sz val="10"/>
        <rFont val="Arial"/>
        <family val="2"/>
      </rPr>
      <t>2)</t>
    </r>
  </si>
  <si>
    <r>
      <t xml:space="preserve">Mutatie capaciteit eigendom - geïndiceerd a.g.v. nieuwe toelating </t>
    </r>
    <r>
      <rPr>
        <vertAlign val="superscript"/>
        <sz val="10"/>
        <rFont val="Arial"/>
        <family val="2"/>
      </rPr>
      <t>2)</t>
    </r>
  </si>
  <si>
    <t>3.1 Toeslagen dagen</t>
  </si>
  <si>
    <t>De werkbladen zijn beveiligd. Indien u een onjuistheid ontdekt, dan verzoeken wij u dit te melden via e-mail (care@ctg-zaio.nl). Het formulier dient door partijen te worden ondertekend en via de post opgestuurd te worden naar het CTG/ZAio.</t>
  </si>
  <si>
    <t>Kleinschalig wonen</t>
  </si>
  <si>
    <t>2.1 Bedden en verpleegdagen toegelaten voor verblijf en behandeling (excl. Kleinschalig wonen)</t>
  </si>
  <si>
    <t>2.2 Plaatsen en verzorgingsdagen toegelaten voor verblijf, zonder behandeling (excl. Kleinschalig wonen)</t>
  </si>
  <si>
    <t>9. Capaciteit kleinschalig wonen</t>
  </si>
  <si>
    <t>dagen</t>
  </si>
  <si>
    <t>Individueel verblijf licht</t>
  </si>
  <si>
    <t>Cat.</t>
  </si>
  <si>
    <t>Aantal plaatsen toeslag</t>
  </si>
  <si>
    <t>conform</t>
  </si>
  <si>
    <t>Plaatsen jaarbasis</t>
  </si>
  <si>
    <t>Groepsverblijf licht</t>
  </si>
  <si>
    <t>Groepsverblijf zwaar</t>
  </si>
  <si>
    <t>Individueel verblijf licht (eigendom)</t>
  </si>
  <si>
    <r>
      <t xml:space="preserve">Te bezetten capaciteit </t>
    </r>
    <r>
      <rPr>
        <b/>
        <sz val="10"/>
        <rFont val="Arial"/>
        <family val="2"/>
      </rPr>
      <t>geïndiceerd</t>
    </r>
    <r>
      <rPr>
        <sz val="10"/>
        <rFont val="Arial"/>
        <family val="0"/>
      </rPr>
      <t xml:space="preserve"> </t>
    </r>
    <r>
      <rPr>
        <sz val="10"/>
        <rFont val="Arial"/>
        <family val="0"/>
      </rPr>
      <t xml:space="preserve">excl. toelatingswijzigingen </t>
    </r>
    <r>
      <rPr>
        <vertAlign val="superscript"/>
        <sz val="10"/>
        <rFont val="Arial"/>
        <family val="2"/>
      </rPr>
      <t xml:space="preserve">1) &amp; 2) </t>
    </r>
  </si>
  <si>
    <t>Totaal capaciteit geïndiceerd ultimo 2006</t>
  </si>
  <si>
    <r>
      <t xml:space="preserve">Mutatie capaciteit geïndiceerd a.g.v. nieuwe toelating </t>
    </r>
    <r>
      <rPr>
        <vertAlign val="superscript"/>
        <sz val="10"/>
        <rFont val="Arial"/>
        <family val="2"/>
      </rPr>
      <t>2)</t>
    </r>
  </si>
  <si>
    <t>Totaal capaciteit niet geïndiceerd ultimo 2006</t>
  </si>
  <si>
    <r>
      <t xml:space="preserve">Te bezetten capaciteit </t>
    </r>
    <r>
      <rPr>
        <b/>
        <sz val="10"/>
        <rFont val="Arial"/>
        <family val="2"/>
      </rPr>
      <t xml:space="preserve">niet geïndiceerd </t>
    </r>
    <r>
      <rPr>
        <sz val="10"/>
        <rFont val="Arial"/>
        <family val="0"/>
      </rPr>
      <t xml:space="preserve">excl. toelatingswijzigingen </t>
    </r>
    <r>
      <rPr>
        <vertAlign val="superscript"/>
        <sz val="10"/>
        <rFont val="Arial"/>
        <family val="2"/>
      </rPr>
      <t>1) &amp; 2)</t>
    </r>
  </si>
  <si>
    <r>
      <t xml:space="preserve">Mutatie capaciteit niet geïndiceerd a.g.v. nieuwe toelating </t>
    </r>
    <r>
      <rPr>
        <vertAlign val="superscript"/>
        <sz val="10"/>
        <rFont val="Arial"/>
        <family val="2"/>
      </rPr>
      <t>2)</t>
    </r>
  </si>
  <si>
    <t>Individueel verblijf licht (huur)</t>
  </si>
  <si>
    <t>Groepsverblijf licht (eigendom)</t>
  </si>
  <si>
    <t>Groepsverblijf licht (huur)</t>
  </si>
  <si>
    <t>Groepsverblijf zwaar (eigendom)</t>
  </si>
  <si>
    <t>Groepsverblijf zwaar (huur)</t>
  </si>
  <si>
    <t>10. Berekening beslag contracteerruimte 2006 (kleinschalig wonen)</t>
  </si>
  <si>
    <t>Kleinschalig groepsverblijf licht</t>
  </si>
  <si>
    <t>Kleinschalig groepsverblijf zwaar</t>
  </si>
  <si>
    <t>Loonkosten normatief / Aantal plaatsen som + pg</t>
  </si>
  <si>
    <t>Materiële kosten / Aantal plaatsen som + pg</t>
  </si>
  <si>
    <t>Aantal plaatsen kleinschalig wonen zoals genoemd in de toelating(en) ingevolge de AWBZ</t>
  </si>
  <si>
    <t>Onderhoud</t>
  </si>
  <si>
    <t>F</t>
  </si>
  <si>
    <t>G</t>
  </si>
  <si>
    <t>Afspraken ten laste van 1e tranche plan van aanpak MO-gelden</t>
  </si>
  <si>
    <t>Afspraken ten laste van 2e tranche plan van aanpak MO-gelden</t>
  </si>
  <si>
    <t xml:space="preserve">Per zorgkantoor is de contracteerruimte 2006 exclusief geoormerkte gelden èn de geoormerkte gelden: AIV preventie en voedingsvoorlichting bepaald. </t>
  </si>
  <si>
    <t xml:space="preserve">Middels onze circulaire CMAE/Ybas/CARE/AWBZ/06/07c van 24 februari 2006 bent u geïnformeerd over het (overgangs)formulier kleinschalig wonen. </t>
  </si>
  <si>
    <t xml:space="preserve">Indien u een toelating voor plaatsen kleinschalig wonen heeft, kunt u de overeengekomen te bezetten plaatsen/dagen Iinvullen in het werkblad "Kleinschalig wonen" </t>
  </si>
  <si>
    <t>Dit geldt voor geheel nieuwe instellingen vanaf 2006 als bestaande instellingen die (deels) omgezet zijn naar een kleinschlige woonvoorziening.</t>
  </si>
  <si>
    <t>De afspraken in het werkblad "Budget 2006" moeten zonder de plaatsen voor kleinschalig wonen worden gemaakt.</t>
  </si>
  <si>
    <t>Beslag op de contracteerruimte 2006 van het zorgkantoor</t>
  </si>
  <si>
    <t>WERKBLAD "BUDGET 2006" (exclusief plaatsen kleinschalig wonen)</t>
  </si>
  <si>
    <t>Onderdeel 1: Toelating voor functies</t>
  </si>
  <si>
    <t>Onderdeel 2: Capaciteit</t>
  </si>
  <si>
    <t>Onderdeel 3: Toeslagen</t>
  </si>
  <si>
    <t>Onderdeel 5: Voorlopige budgetaanpassing</t>
  </si>
  <si>
    <t>Onderdeel 8: Beslag contracteerruimte 2006 exclusief geoormerkte gelden</t>
  </si>
  <si>
    <t>WERKBLAD "Kleinschalig wonen"</t>
  </si>
  <si>
    <t>Onderdeel 9: Kleinschalig wonen</t>
  </si>
  <si>
    <t>Patiënten met Korsakov</t>
  </si>
  <si>
    <t>Verpleeghuiscliënten met een Geronto-psychiatrische aandoening</t>
  </si>
  <si>
    <t>Jong dementerenden met ernstig regieverlies</t>
  </si>
  <si>
    <t>Verpleeghuiscliënten met een Verstandelijk handicap</t>
  </si>
  <si>
    <t>(Jongere) Verpleeghuiscliënten met complexe NAH</t>
  </si>
  <si>
    <t>-</t>
  </si>
  <si>
    <t>Totaal onderhoud</t>
  </si>
  <si>
    <r>
      <t xml:space="preserve">Te bezetten capaciteit </t>
    </r>
    <r>
      <rPr>
        <b/>
        <sz val="10"/>
        <rFont val="Arial"/>
        <family val="2"/>
      </rPr>
      <t>niet geïndiceerd</t>
    </r>
    <r>
      <rPr>
        <sz val="10"/>
        <rFont val="Arial"/>
        <family val="0"/>
      </rPr>
      <t xml:space="preserve"> excl. toelatingswijzigingen </t>
    </r>
    <r>
      <rPr>
        <vertAlign val="superscript"/>
        <sz val="10"/>
        <rFont val="Arial"/>
        <family val="2"/>
      </rPr>
      <t>1) &amp; 2)</t>
    </r>
  </si>
  <si>
    <r>
      <t xml:space="preserve">9.1 Plaatsen en dagen toegelaten voor </t>
    </r>
    <r>
      <rPr>
        <b/>
        <u val="single"/>
        <sz val="11"/>
        <rFont val="Arial"/>
        <family val="2"/>
      </rPr>
      <t>verblijf en behandeling</t>
    </r>
  </si>
  <si>
    <r>
      <t xml:space="preserve">9.2 Plaatsen en dagen toegelaten voor </t>
    </r>
    <r>
      <rPr>
        <b/>
        <u val="single"/>
        <sz val="11"/>
        <rFont val="Arial"/>
        <family val="2"/>
      </rPr>
      <t>verblijf zonder behandeling</t>
    </r>
  </si>
  <si>
    <t>Afspraken ten laste van de contracteerruimte jeugd-GGZ</t>
  </si>
  <si>
    <t>H</t>
  </si>
  <si>
    <t>Tenslotte is er op landelijk niveau de contracteerruimte voor jeugd-GGZ bepaald.</t>
  </si>
  <si>
    <t>Totaal beslag op de contracteerruimten 2006</t>
  </si>
  <si>
    <t>Daarnaast is er voor de zorgkantoren Amsterdam, Rotterdam, Den Haag en Utrecht ten behoeve van het plan van aanpak Maatsch. Opvang de contracteerruimte opgehoogd.</t>
  </si>
  <si>
    <r>
      <t>Inzenden vóór 15 oktober 2006</t>
    </r>
    <r>
      <rPr>
        <b/>
        <vertAlign val="superscript"/>
        <sz val="9"/>
        <rFont val="Arial"/>
        <family val="2"/>
      </rPr>
      <t xml:space="preserve">  1)</t>
    </r>
  </si>
</sst>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dd/mm/yyyy"/>
    <numFmt numFmtId="166" formatCode=";;;"/>
    <numFmt numFmtId="167" formatCode="#,##0_ ;\(#,##0\);"/>
    <numFmt numFmtId="168" formatCode="#,##0.00_-"/>
    <numFmt numFmtId="169" formatCode="\ \ƒ* #,##0_ \ ;\ \ƒ* ;\ \ƒ* "/>
    <numFmt numFmtId="170" formatCode="&quot;F&quot;\ #,##0_-;&quot;F&quot;\ #,##0\-"/>
    <numFmt numFmtId="171" formatCode="#,##0_ \ ;\(#,##0\)_ ;"/>
    <numFmt numFmtId="172" formatCode="dd/mm/yy"/>
    <numFmt numFmtId="173" formatCode="0_ ;\-0\ "/>
    <numFmt numFmtId="174" formatCode="#,##0.0000"/>
    <numFmt numFmtId="175" formatCode="_-&quot;€&quot;\ * ##,#0_;_-&quot;€&quot;\ * #,##0\-;_-&quot;€&quot;\ * &quot;-&quot;_-;_-@_-"/>
    <numFmt numFmtId="176" formatCode="_-&quot;€&quot;\ * #,##0_-;_-&quot;€&quot;\ * #,##0\-;_-&quot;€&quot;\ * &quot;-&quot;_-"/>
    <numFmt numFmtId="177" formatCode="_-&quot;€&quot;\ * ##,#0_;_-&quot;€&quot;\ * #,##0\-;_-&quot;€&quot;\ * &quot;-&quot;_-"/>
    <numFmt numFmtId="178" formatCode="_-&quot;€&quot;\ * #,##0\-;_-&quot;€&quot;\ * #,##0\-;_-&quot;€&quot;\ * &quot;-&quot;_-;_-@_-"/>
    <numFmt numFmtId="179" formatCode="_-&quot;€&quot;\ * #,##0_-;_-&quot;€&quot;\ * #,##0\-;_-@_-"/>
    <numFmt numFmtId="180" formatCode="#,##0_ ;\-#,##0\ "/>
    <numFmt numFmtId="181" formatCode="#,##0.00_ ;\-#,##0.00\ "/>
    <numFmt numFmtId="182" formatCode="#,##0.0000_ ;\-#,##0.0000\ "/>
    <numFmt numFmtId="183" formatCode="_-&quot;€&quot;\ * #,##0.00_-;_-&quot;€&quot;\ * #,##0.00\-;_-@_-"/>
    <numFmt numFmtId="184" formatCode="0.0000000"/>
    <numFmt numFmtId="185" formatCode="0.000000"/>
    <numFmt numFmtId="186" formatCode="0.00000"/>
    <numFmt numFmtId="187" formatCode="0.0000"/>
    <numFmt numFmtId="188" formatCode="0.000"/>
    <numFmt numFmtId="189" formatCode="mmm/yyyy"/>
    <numFmt numFmtId="190" formatCode="#,##0.0"/>
    <numFmt numFmtId="191" formatCode="#,##0.000"/>
    <numFmt numFmtId="192" formatCode="_-&quot;€&quot;\ * #,##0.0_-;_-&quot;€&quot;\ * #,##0.0\-;_-&quot;€&quot;\ * &quot;-&quot;_-;_-@_-"/>
    <numFmt numFmtId="193" formatCode="_-&quot;€&quot;\ * #,##0.00_-;_-&quot;€&quot;\ * #,##0.00\-;_-&quot;€&quot;\ * &quot;-&quot;_-;_-@_-"/>
    <numFmt numFmtId="194" formatCode="_-&quot;€&quot;\ * #,###_-;_-&quot;€&quot;\ * #,###\-;_-@_-"/>
    <numFmt numFmtId="195" formatCode="_-&quot;€&quot;\ * ##,##_;_-&quot;€&quot;\ * #,###;_-@_-"/>
    <numFmt numFmtId="196" formatCode="_-&quot;€&quot;\ * #,###_-;_-&quot;€&quot;\ * #,###;_-@_-"/>
    <numFmt numFmtId="197" formatCode="&quot;€&quot;\ * #,###_-;_-&quot;€&quot;\ * #,###;_-@_-"/>
    <numFmt numFmtId="198" formatCode="_-\ * #,###_-;_-&quot;€&quot;\ * #,###;_-@_-"/>
    <numFmt numFmtId="199" formatCode="_-&quot;€&quot;\ * #,##0.00_-;_-&quot;€&quot;\ * #,##0.00\-;_-&quot;€&quot;\ * &quot;0&quot;??_-;_-@_-"/>
    <numFmt numFmtId="200" formatCode="_-&quot;€&quot;\ * #,##0.00_-;_-&quot;€&quot;\ * #,##0.00\-;_-&quot;€&quot;\ * &quot;0&quot;_-;_-@_-"/>
    <numFmt numFmtId="201" formatCode="_-* #,##0.0000_-;_-* #,##0.0000\-;_-* &quot;-&quot;????_-;_-@_-"/>
    <numFmt numFmtId="202" formatCode="_-&quot;€&quot;\ * #,##0.000_-;_-&quot;€&quot;\ * #,##0.000\-;_-&quot;€&quot;\ * &quot;-&quot;??_-;_-@_-"/>
    <numFmt numFmtId="203" formatCode="_-&quot;€&quot;\ * #,##0.0000_-;_-&quot;€&quot;\ * #,##0.0000\-;_-&quot;€&quot;\ * &quot;-&quot;??_-;_-@_-"/>
    <numFmt numFmtId="204" formatCode="[$-413]dddd\ d\ mmmm\ yyyy"/>
    <numFmt numFmtId="205" formatCode="d/mm/yy;@"/>
    <numFmt numFmtId="206" formatCode="_-&quot;€&quot;\ * #,##0.000_-;_-&quot;€&quot;\ * #,##0.000\-;_-&quot;€&quot;\ * &quot;-&quot;_-;_-@_-"/>
    <numFmt numFmtId="207" formatCode="0.0"/>
    <numFmt numFmtId="208" formatCode="d\ mmmm\ yyyy"/>
    <numFmt numFmtId="209" formatCode="&quot;Ja&quot;;&quot;Ja&quot;;&quot;Nee&quot;"/>
    <numFmt numFmtId="210" formatCode="&quot;Waar&quot;;&quot;Waar&quot;;&quot;Niet waar&quot;"/>
    <numFmt numFmtId="211" formatCode="&quot;Aan&quot;;&quot;Aan&quot;;&quot;Uit&quot;"/>
    <numFmt numFmtId="212" formatCode="[$€-2]\ #.##000_);[Red]\([$€-2]\ #.##000\)"/>
    <numFmt numFmtId="213" formatCode="_-&quot;€&quot;\ * #,##0.0_-;_-&quot;€&quot;\ * #,##0.0\-;_-&quot;€&quot;\ * &quot;-&quot;??_-;_-@_-"/>
    <numFmt numFmtId="214" formatCode="_-&quot;€&quot;\ * #,##0_-;_-&quot;€&quot;\ * #,##0\-;_-&quot;€&quot;\ * &quot;-&quot;??_-;_-@_-"/>
  </numFmts>
  <fonts count="39">
    <font>
      <sz val="10"/>
      <name val="Arial"/>
      <family val="0"/>
    </font>
    <font>
      <b/>
      <sz val="10"/>
      <name val="Arial"/>
      <family val="2"/>
    </font>
    <font>
      <sz val="8"/>
      <name val="Arial"/>
      <family val="0"/>
    </font>
    <font>
      <b/>
      <sz val="12"/>
      <name val="Arial"/>
      <family val="2"/>
    </font>
    <font>
      <vertAlign val="superscript"/>
      <sz val="10"/>
      <name val="Arial"/>
      <family val="2"/>
    </font>
    <font>
      <sz val="9"/>
      <name val="Arial"/>
      <family val="2"/>
    </font>
    <font>
      <b/>
      <sz val="9"/>
      <color indexed="9"/>
      <name val="Arial"/>
      <family val="2"/>
    </font>
    <font>
      <b/>
      <sz val="10"/>
      <color indexed="9"/>
      <name val="Arial"/>
      <family val="2"/>
    </font>
    <font>
      <sz val="10"/>
      <color indexed="9"/>
      <name val="Arial"/>
      <family val="2"/>
    </font>
    <font>
      <b/>
      <sz val="11"/>
      <name val="Arial"/>
      <family val="2"/>
    </font>
    <font>
      <sz val="8"/>
      <name val="Tahoma"/>
      <family val="2"/>
    </font>
    <font>
      <sz val="8"/>
      <name val="Helv"/>
      <family val="0"/>
    </font>
    <font>
      <u val="single"/>
      <sz val="10"/>
      <color indexed="36"/>
      <name val="Arial"/>
      <family val="0"/>
    </font>
    <font>
      <u val="single"/>
      <sz val="10"/>
      <color indexed="12"/>
      <name val="Arial"/>
      <family val="0"/>
    </font>
    <font>
      <b/>
      <sz val="14"/>
      <name val="Helv"/>
      <family val="0"/>
    </font>
    <font>
      <sz val="9"/>
      <name val="Helv"/>
      <family val="0"/>
    </font>
    <font>
      <b/>
      <sz val="9"/>
      <name val="Arial"/>
      <family val="2"/>
    </font>
    <font>
      <sz val="24"/>
      <color indexed="13"/>
      <name val="Helv"/>
      <family val="0"/>
    </font>
    <font>
      <b/>
      <sz val="14"/>
      <name val="Arial"/>
      <family val="2"/>
    </font>
    <font>
      <sz val="6"/>
      <color indexed="9"/>
      <name val="Arial"/>
      <family val="2"/>
    </font>
    <font>
      <b/>
      <vertAlign val="superscript"/>
      <sz val="9"/>
      <name val="Arial"/>
      <family val="2"/>
    </font>
    <font>
      <vertAlign val="superscript"/>
      <sz val="9"/>
      <name val="Arial"/>
      <family val="2"/>
    </font>
    <font>
      <vertAlign val="superscript"/>
      <sz val="8"/>
      <name val="Arial"/>
      <family val="2"/>
    </font>
    <font>
      <sz val="11"/>
      <name val="Arial"/>
      <family val="2"/>
    </font>
    <font>
      <sz val="10"/>
      <color indexed="10"/>
      <name val="Arial"/>
      <family val="2"/>
    </font>
    <font>
      <b/>
      <sz val="10"/>
      <color indexed="10"/>
      <name val="Arial"/>
      <family val="2"/>
    </font>
    <font>
      <b/>
      <sz val="9"/>
      <color indexed="10"/>
      <name val="Arial"/>
      <family val="2"/>
    </font>
    <font>
      <b/>
      <sz val="8"/>
      <name val="Arial"/>
      <family val="2"/>
    </font>
    <font>
      <sz val="11"/>
      <color indexed="10"/>
      <name val="Arial"/>
      <family val="2"/>
    </font>
    <font>
      <b/>
      <sz val="9.5"/>
      <color indexed="8"/>
      <name val="Arial"/>
      <family val="2"/>
    </font>
    <font>
      <b/>
      <sz val="9.5"/>
      <name val="Arial"/>
      <family val="2"/>
    </font>
    <font>
      <sz val="10"/>
      <color indexed="8"/>
      <name val="Arial"/>
      <family val="2"/>
    </font>
    <font>
      <sz val="10"/>
      <color indexed="8"/>
      <name val="Symbol"/>
      <family val="1"/>
    </font>
    <font>
      <sz val="7"/>
      <color indexed="8"/>
      <name val="Times New Roman"/>
      <family val="1"/>
    </font>
    <font>
      <i/>
      <sz val="10"/>
      <color indexed="8"/>
      <name val="Arial"/>
      <family val="2"/>
    </font>
    <font>
      <sz val="9.5"/>
      <color indexed="8"/>
      <name val="Arial"/>
      <family val="2"/>
    </font>
    <font>
      <sz val="9.5"/>
      <color indexed="8"/>
      <name val="Symbol"/>
      <family val="1"/>
    </font>
    <font>
      <b/>
      <vertAlign val="superscript"/>
      <sz val="12"/>
      <name val="Arial"/>
      <family val="2"/>
    </font>
    <font>
      <b/>
      <u val="single"/>
      <sz val="11"/>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46"/>
        <bgColor indexed="64"/>
      </patternFill>
    </fill>
    <fill>
      <patternFill patternType="solid">
        <fgColor indexed="9"/>
        <bgColor indexed="64"/>
      </patternFill>
    </fill>
  </fills>
  <borders count="47">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thin"/>
      <right>
        <color indexed="63"/>
      </right>
      <top style="thin"/>
      <bottom>
        <color indexed="63"/>
      </bottom>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hair"/>
      <bottom style="hair"/>
    </border>
    <border>
      <left style="thin"/>
      <right>
        <color indexed="63"/>
      </right>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hair"/>
      <top style="thin"/>
      <bottom style="thin"/>
    </border>
    <border>
      <left style="hair"/>
      <right>
        <color indexed="63"/>
      </right>
      <top style="thin"/>
      <bottom style="thin"/>
    </border>
    <border>
      <left>
        <color indexed="63"/>
      </left>
      <right>
        <color indexed="63"/>
      </right>
      <top>
        <color indexed="63"/>
      </top>
      <bottom style="thin"/>
    </border>
    <border>
      <left style="hair"/>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1">
      <alignment/>
      <protection/>
    </xf>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 borderId="1">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0" fillId="0" borderId="0" applyFont="0" applyFill="0" applyBorder="0" applyAlignment="0" applyProtection="0"/>
    <xf numFmtId="0" fontId="11" fillId="0" borderId="0">
      <alignment/>
      <protection/>
    </xf>
    <xf numFmtId="0" fontId="5" fillId="0" borderId="2" applyFill="0" applyBorder="0">
      <alignment/>
      <protection/>
    </xf>
    <xf numFmtId="169" fontId="5" fillId="0" borderId="2" applyFill="0" applyBorder="0">
      <alignment/>
      <protection/>
    </xf>
    <xf numFmtId="0" fontId="5" fillId="0" borderId="2" applyFill="0" applyBorder="0">
      <alignment/>
      <protection/>
    </xf>
    <xf numFmtId="0" fontId="16" fillId="3" borderId="3">
      <alignment/>
      <protection/>
    </xf>
    <xf numFmtId="170" fontId="0" fillId="3" borderId="3">
      <alignment/>
      <protection/>
    </xf>
    <xf numFmtId="171" fontId="16" fillId="3" borderId="3">
      <alignment/>
      <protection/>
    </xf>
    <xf numFmtId="171" fontId="5" fillId="0" borderId="2" applyFill="0" applyBorder="0">
      <alignment/>
      <protection/>
    </xf>
    <xf numFmtId="0" fontId="11" fillId="0" borderId="1">
      <alignment/>
      <protection/>
    </xf>
    <xf numFmtId="0" fontId="17" fillId="4" borderId="0">
      <alignment/>
      <protection/>
    </xf>
    <xf numFmtId="0" fontId="14" fillId="0" borderId="4">
      <alignment/>
      <protection/>
    </xf>
    <xf numFmtId="0" fontId="14"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372">
    <xf numFmtId="0" fontId="0" fillId="0" borderId="0" xfId="0" applyAlignment="1">
      <alignment/>
    </xf>
    <xf numFmtId="164" fontId="5" fillId="0" borderId="0"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center" vertical="center"/>
      <protection/>
    </xf>
    <xf numFmtId="164" fontId="6" fillId="5" borderId="5" xfId="0" applyNumberFormat="1"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3" fontId="5" fillId="0" borderId="0" xfId="0" applyNumberFormat="1" applyFont="1" applyBorder="1" applyAlignment="1" applyProtection="1">
      <alignment horizontal="center" vertical="center"/>
      <protection/>
    </xf>
    <xf numFmtId="4" fontId="5" fillId="0" borderId="0" xfId="0" applyNumberFormat="1" applyFont="1" applyBorder="1" applyAlignment="1" applyProtection="1">
      <alignment horizontal="center" vertical="center"/>
      <protection/>
    </xf>
    <xf numFmtId="164" fontId="5" fillId="0" borderId="0" xfId="0" applyNumberFormat="1" applyFont="1" applyBorder="1" applyAlignment="1" applyProtection="1">
      <alignment horizontal="center" vertical="center"/>
      <protection/>
    </xf>
    <xf numFmtId="0" fontId="5" fillId="0" borderId="6"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0" xfId="0" applyNumberFormat="1" applyFont="1" applyBorder="1" applyAlignment="1" applyProtection="1">
      <alignment horizontal="right" vertical="center"/>
      <protection/>
    </xf>
    <xf numFmtId="1" fontId="5" fillId="0" borderId="0" xfId="0" applyNumberFormat="1"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protection/>
    </xf>
    <xf numFmtId="0" fontId="5" fillId="0" borderId="6"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6" fillId="0" borderId="7" xfId="0" applyFont="1" applyFill="1" applyBorder="1" applyAlignment="1" applyProtection="1">
      <alignment vertical="center"/>
      <protection/>
    </xf>
    <xf numFmtId="0" fontId="16" fillId="0" borderId="8" xfId="0" applyFont="1" applyFill="1" applyBorder="1" applyAlignment="1" applyProtection="1">
      <alignment vertical="center"/>
      <protection/>
    </xf>
    <xf numFmtId="0" fontId="16" fillId="0" borderId="9" xfId="0" applyFont="1" applyFill="1" applyBorder="1" applyAlignment="1" applyProtection="1">
      <alignment vertical="center"/>
      <protection/>
    </xf>
    <xf numFmtId="0" fontId="16" fillId="0" borderId="10" xfId="0" applyFont="1" applyFill="1" applyBorder="1" applyAlignment="1" applyProtection="1">
      <alignment horizontal="center" vertical="center"/>
      <protection/>
    </xf>
    <xf numFmtId="0" fontId="5" fillId="0" borderId="7" xfId="0" applyFont="1" applyFill="1" applyBorder="1" applyAlignment="1" applyProtection="1">
      <alignment vertical="center"/>
      <protection/>
    </xf>
    <xf numFmtId="0" fontId="5" fillId="0" borderId="8" xfId="0" applyFont="1" applyFill="1" applyBorder="1" applyAlignment="1" applyProtection="1">
      <alignment vertical="center"/>
      <protection/>
    </xf>
    <xf numFmtId="0" fontId="5" fillId="0" borderId="9"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173" fontId="5" fillId="0" borderId="10" xfId="0" applyNumberFormat="1" applyFont="1" applyFill="1" applyBorder="1" applyAlignment="1" applyProtection="1">
      <alignment horizontal="center" vertical="center"/>
      <protection locked="0"/>
    </xf>
    <xf numFmtId="0" fontId="0" fillId="0" borderId="0" xfId="0"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2"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horizontal="left" vertical="top" wrapText="1"/>
      <protection/>
    </xf>
    <xf numFmtId="0" fontId="13" fillId="0" borderId="0" xfId="18" applyBorder="1" applyAlignment="1" applyProtection="1">
      <alignment/>
      <protection/>
    </xf>
    <xf numFmtId="0" fontId="13" fillId="0" borderId="0" xfId="18" applyAlignment="1" applyProtection="1">
      <alignment/>
      <protection/>
    </xf>
    <xf numFmtId="0" fontId="0" fillId="0" borderId="15" xfId="0" applyBorder="1"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7" xfId="0" applyFill="1" applyBorder="1" applyAlignment="1" applyProtection="1">
      <alignment vertical="top" wrapText="1"/>
      <protection/>
    </xf>
    <xf numFmtId="0" fontId="8" fillId="0" borderId="17" xfId="0" applyFont="1" applyBorder="1" applyAlignment="1" applyProtection="1">
      <alignment vertical="top" wrapText="1"/>
      <protection/>
    </xf>
    <xf numFmtId="0" fontId="0" fillId="0" borderId="18" xfId="0" applyFill="1" applyBorder="1" applyAlignment="1" applyProtection="1">
      <alignment/>
      <protection/>
    </xf>
    <xf numFmtId="0" fontId="5" fillId="0" borderId="19" xfId="0" applyNumberFormat="1" applyFont="1" applyFill="1" applyBorder="1" applyAlignment="1" applyProtection="1">
      <alignment vertical="center"/>
      <protection/>
    </xf>
    <xf numFmtId="0" fontId="5" fillId="0" borderId="20" xfId="0" applyNumberFormat="1" applyFont="1" applyFill="1" applyBorder="1" applyAlignment="1" applyProtection="1">
      <alignment vertical="center"/>
      <protection/>
    </xf>
    <xf numFmtId="0" fontId="5" fillId="0" borderId="21"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22" xfId="0" applyNumberFormat="1" applyFont="1" applyFill="1" applyBorder="1" applyAlignment="1" applyProtection="1">
      <alignment vertical="center"/>
      <protection/>
    </xf>
    <xf numFmtId="0" fontId="5" fillId="0" borderId="23" xfId="0" applyNumberFormat="1" applyFont="1" applyFill="1" applyBorder="1" applyAlignment="1" applyProtection="1">
      <alignment vertical="center"/>
      <protection/>
    </xf>
    <xf numFmtId="0" fontId="5" fillId="0" borderId="24" xfId="0" applyNumberFormat="1" applyFont="1" applyFill="1" applyBorder="1" applyAlignment="1" applyProtection="1">
      <alignment vertical="center"/>
      <protection/>
    </xf>
    <xf numFmtId="0" fontId="5" fillId="0" borderId="25" xfId="0" applyNumberFormat="1" applyFont="1" applyFill="1" applyBorder="1" applyAlignment="1" applyProtection="1" quotePrefix="1">
      <alignment horizontal="right" vertical="center"/>
      <protection/>
    </xf>
    <xf numFmtId="0" fontId="5" fillId="0" borderId="9" xfId="0" applyNumberFormat="1" applyFont="1" applyFill="1" applyBorder="1" applyAlignment="1" applyProtection="1" quotePrefix="1">
      <alignment horizontal="right" vertical="center"/>
      <protection/>
    </xf>
    <xf numFmtId="0" fontId="5" fillId="0" borderId="1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9" fillId="0" borderId="0" xfId="0" applyFont="1" applyFill="1" applyAlignment="1" applyProtection="1">
      <alignment vertical="center"/>
      <protection locked="0"/>
    </xf>
    <xf numFmtId="0" fontId="18" fillId="0" borderId="6" xfId="0" applyFont="1" applyFill="1" applyBorder="1" applyAlignment="1" applyProtection="1">
      <alignment vertical="center"/>
      <protection/>
    </xf>
    <xf numFmtId="0" fontId="5"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8" xfId="0" applyFont="1" applyFill="1" applyBorder="1" applyAlignment="1" applyProtection="1">
      <alignment horizontal="left"/>
      <protection/>
    </xf>
    <xf numFmtId="3" fontId="0" fillId="0" borderId="3" xfId="0" applyNumberFormat="1" applyFont="1" applyFill="1" applyBorder="1" applyAlignment="1" applyProtection="1">
      <alignment/>
      <protection/>
    </xf>
    <xf numFmtId="0" fontId="1" fillId="0" borderId="10" xfId="0" applyFont="1" applyFill="1" applyBorder="1" applyAlignment="1" applyProtection="1">
      <alignment horizontal="center"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0" fillId="0" borderId="10" xfId="0" applyFill="1" applyBorder="1" applyAlignment="1" applyProtection="1">
      <alignment horizontal="center"/>
      <protection locked="0"/>
    </xf>
    <xf numFmtId="3" fontId="0" fillId="0" borderId="10" xfId="0" applyNumberFormat="1" applyFill="1" applyBorder="1" applyAlignment="1" applyProtection="1">
      <alignment/>
      <protection locked="0"/>
    </xf>
    <xf numFmtId="44" fontId="0" fillId="0" borderId="10" xfId="0" applyNumberFormat="1" applyFill="1" applyBorder="1" applyAlignment="1" applyProtection="1">
      <alignment/>
      <protection locked="0"/>
    </xf>
    <xf numFmtId="44" fontId="0" fillId="6" borderId="10" xfId="0" applyNumberFormat="1" applyFill="1" applyBorder="1" applyAlignment="1" applyProtection="1">
      <alignment/>
      <protection locked="0"/>
    </xf>
    <xf numFmtId="0" fontId="8" fillId="0" borderId="0" xfId="0" applyFont="1" applyAlignment="1" applyProtection="1">
      <alignment horizontal="center"/>
      <protection/>
    </xf>
    <xf numFmtId="0" fontId="1" fillId="6" borderId="0" xfId="0" applyFont="1" applyFill="1" applyAlignment="1" applyProtection="1">
      <alignment horizontal="center"/>
      <protection/>
    </xf>
    <xf numFmtId="0" fontId="5" fillId="0" borderId="8" xfId="0" applyFont="1" applyBorder="1" applyAlignment="1" applyProtection="1">
      <alignment vertical="center"/>
      <protection/>
    </xf>
    <xf numFmtId="0" fontId="5" fillId="0" borderId="8" xfId="0" applyNumberFormat="1" applyFont="1" applyBorder="1" applyAlignment="1" applyProtection="1">
      <alignment horizontal="right" vertical="center"/>
      <protection/>
    </xf>
    <xf numFmtId="0" fontId="0" fillId="6" borderId="0" xfId="0" applyFill="1" applyAlignment="1" applyProtection="1">
      <alignment/>
      <protection/>
    </xf>
    <xf numFmtId="0" fontId="0" fillId="0" borderId="8" xfId="0" applyBorder="1" applyAlignment="1" applyProtection="1">
      <alignment/>
      <protection/>
    </xf>
    <xf numFmtId="0" fontId="5" fillId="0" borderId="0" xfId="0" applyFont="1" applyAlignment="1" applyProtection="1">
      <alignment horizontal="right" vertical="center"/>
      <protection/>
    </xf>
    <xf numFmtId="0" fontId="0" fillId="0" borderId="0" xfId="0" applyAlignment="1" applyProtection="1">
      <alignment horizontal="center"/>
      <protection/>
    </xf>
    <xf numFmtId="0" fontId="3" fillId="0" borderId="0" xfId="0" applyFont="1" applyAlignment="1" applyProtection="1">
      <alignment horizontal="left"/>
      <protection/>
    </xf>
    <xf numFmtId="0" fontId="0" fillId="0" borderId="0" xfId="0" applyAlignment="1" applyProtection="1">
      <alignment horizontal="left"/>
      <protection/>
    </xf>
    <xf numFmtId="0" fontId="1" fillId="0" borderId="10" xfId="0" applyFont="1" applyBorder="1" applyAlignment="1" applyProtection="1">
      <alignment horizontal="center"/>
      <protection/>
    </xf>
    <xf numFmtId="0" fontId="1" fillId="0" borderId="7" xfId="0" applyFont="1" applyBorder="1" applyAlignment="1" applyProtection="1">
      <alignment/>
      <protection/>
    </xf>
    <xf numFmtId="0" fontId="1" fillId="6" borderId="10" xfId="0" applyFont="1" applyFill="1" applyBorder="1" applyAlignment="1" applyProtection="1">
      <alignment horizontal="center"/>
      <protection/>
    </xf>
    <xf numFmtId="0" fontId="0" fillId="0" borderId="10" xfId="0" applyBorder="1" applyAlignment="1" applyProtection="1">
      <alignment horizontal="center"/>
      <protection/>
    </xf>
    <xf numFmtId="0" fontId="0" fillId="0" borderId="7" xfId="0" applyBorder="1" applyAlignment="1" applyProtection="1">
      <alignment/>
      <protection/>
    </xf>
    <xf numFmtId="0" fontId="0" fillId="6" borderId="10" xfId="0" applyFill="1" applyBorder="1" applyAlignment="1" applyProtection="1">
      <alignment horizontal="center"/>
      <protection/>
    </xf>
    <xf numFmtId="0" fontId="5" fillId="0" borderId="8" xfId="0" applyNumberFormat="1" applyFont="1" applyBorder="1" applyAlignment="1" applyProtection="1">
      <alignment horizontal="center" vertical="center"/>
      <protection/>
    </xf>
    <xf numFmtId="0" fontId="9" fillId="0" borderId="0" xfId="0" applyFont="1" applyAlignment="1" applyProtection="1">
      <alignment horizontal="left"/>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7" fillId="5" borderId="28" xfId="0" applyFont="1" applyFill="1" applyBorder="1" applyAlignment="1" applyProtection="1">
      <alignment/>
      <protection/>
    </xf>
    <xf numFmtId="0" fontId="8" fillId="5" borderId="29" xfId="0" applyFont="1" applyFill="1" applyBorder="1" applyAlignment="1" applyProtection="1">
      <alignment/>
      <protection/>
    </xf>
    <xf numFmtId="0" fontId="7" fillId="5" borderId="28" xfId="0" applyFont="1" applyFill="1" applyBorder="1" applyAlignment="1" applyProtection="1">
      <alignment horizontal="center"/>
      <protection/>
    </xf>
    <xf numFmtId="0" fontId="7" fillId="5" borderId="29" xfId="0" applyFont="1" applyFill="1" applyBorder="1" applyAlignment="1" applyProtection="1">
      <alignment horizontal="center"/>
      <protection/>
    </xf>
    <xf numFmtId="44" fontId="0" fillId="0" borderId="3" xfId="0" applyNumberFormat="1" applyBorder="1" applyAlignment="1" applyProtection="1">
      <alignment/>
      <protection/>
    </xf>
    <xf numFmtId="0" fontId="0" fillId="0" borderId="9" xfId="0" applyBorder="1" applyAlignment="1" applyProtection="1">
      <alignment/>
      <protection/>
    </xf>
    <xf numFmtId="0" fontId="1" fillId="6" borderId="26" xfId="0" applyFont="1" applyFill="1" applyBorder="1" applyAlignment="1" applyProtection="1">
      <alignment horizontal="center"/>
      <protection/>
    </xf>
    <xf numFmtId="0" fontId="1" fillId="0" borderId="24" xfId="0" applyFont="1" applyBorder="1" applyAlignment="1" applyProtection="1">
      <alignment/>
      <protection/>
    </xf>
    <xf numFmtId="0" fontId="0" fillId="0" borderId="24" xfId="0" applyBorder="1" applyAlignment="1" applyProtection="1">
      <alignment/>
      <protection/>
    </xf>
    <xf numFmtId="0" fontId="1" fillId="6" borderId="27" xfId="0" applyFont="1" applyFill="1" applyBorder="1" applyAlignment="1" applyProtection="1">
      <alignment horizontal="center"/>
      <protection/>
    </xf>
    <xf numFmtId="3" fontId="0" fillId="6" borderId="10" xfId="0" applyNumberFormat="1" applyFill="1" applyBorder="1" applyAlignment="1" applyProtection="1">
      <alignment/>
      <protection/>
    </xf>
    <xf numFmtId="44" fontId="0" fillId="0" borderId="30" xfId="0" applyNumberFormat="1" applyBorder="1" applyAlignment="1" applyProtection="1">
      <alignment/>
      <protection/>
    </xf>
    <xf numFmtId="44" fontId="0" fillId="0" borderId="2" xfId="0" applyNumberFormat="1" applyBorder="1" applyAlignment="1" applyProtection="1">
      <alignment/>
      <protection/>
    </xf>
    <xf numFmtId="44" fontId="0" fillId="0" borderId="31" xfId="0" applyNumberFormat="1" applyBorder="1" applyAlignment="1" applyProtection="1">
      <alignment/>
      <protection/>
    </xf>
    <xf numFmtId="179" fontId="1" fillId="0" borderId="32" xfId="0" applyNumberFormat="1" applyFont="1" applyFill="1" applyBorder="1" applyAlignment="1" applyProtection="1">
      <alignment/>
      <protection/>
    </xf>
    <xf numFmtId="0" fontId="0" fillId="0" borderId="33" xfId="0" applyBorder="1" applyAlignment="1" applyProtection="1">
      <alignment/>
      <protection/>
    </xf>
    <xf numFmtId="0" fontId="0" fillId="0" borderId="10" xfId="0" applyFont="1" applyBorder="1" applyAlignment="1" applyProtection="1">
      <alignment horizontal="center"/>
      <protection/>
    </xf>
    <xf numFmtId="0" fontId="2" fillId="0" borderId="0" xfId="0" applyFont="1" applyFill="1" applyBorder="1" applyAlignment="1" applyProtection="1">
      <alignment/>
      <protection/>
    </xf>
    <xf numFmtId="44" fontId="0" fillId="0" borderId="0" xfId="0" applyNumberFormat="1" applyAlignment="1" applyProtection="1">
      <alignment/>
      <protection/>
    </xf>
    <xf numFmtId="0" fontId="0" fillId="0" borderId="30" xfId="0" applyFont="1" applyFill="1" applyBorder="1" applyAlignment="1" applyProtection="1">
      <alignment/>
      <protection/>
    </xf>
    <xf numFmtId="3" fontId="0" fillId="0" borderId="30" xfId="0" applyNumberFormat="1" applyFont="1" applyFill="1" applyBorder="1" applyAlignment="1" applyProtection="1">
      <alignment/>
      <protection/>
    </xf>
    <xf numFmtId="0" fontId="0" fillId="0" borderId="2" xfId="0" applyFont="1" applyFill="1" applyBorder="1" applyAlignment="1" applyProtection="1">
      <alignment/>
      <protection/>
    </xf>
    <xf numFmtId="3" fontId="0" fillId="0" borderId="2" xfId="0" applyNumberFormat="1" applyFont="1" applyFill="1" applyBorder="1" applyAlignment="1" applyProtection="1">
      <alignment/>
      <protection/>
    </xf>
    <xf numFmtId="0" fontId="0" fillId="0" borderId="31" xfId="0" applyFont="1" applyFill="1" applyBorder="1" applyAlignment="1" applyProtection="1">
      <alignment/>
      <protection/>
    </xf>
    <xf numFmtId="3" fontId="0" fillId="0" borderId="31" xfId="0" applyNumberFormat="1" applyFont="1" applyFill="1" applyBorder="1" applyAlignment="1" applyProtection="1">
      <alignment/>
      <protection/>
    </xf>
    <xf numFmtId="0" fontId="5" fillId="0" borderId="0" xfId="0" applyFont="1" applyAlignment="1" applyProtection="1">
      <alignment/>
      <protection/>
    </xf>
    <xf numFmtId="0" fontId="0" fillId="0" borderId="0" xfId="0" applyAlignment="1" applyProtection="1">
      <alignment wrapText="1"/>
      <protection/>
    </xf>
    <xf numFmtId="0" fontId="5" fillId="7" borderId="0" xfId="0" applyNumberFormat="1" applyFont="1" applyFill="1" applyAlignment="1" applyProtection="1">
      <alignment horizontal="right"/>
      <protection/>
    </xf>
    <xf numFmtId="194" fontId="0" fillId="0" borderId="10" xfId="0" applyNumberFormat="1" applyFill="1" applyBorder="1" applyAlignment="1" applyProtection="1">
      <alignment/>
      <protection/>
    </xf>
    <xf numFmtId="194" fontId="1" fillId="0" borderId="32" xfId="0" applyNumberFormat="1" applyFont="1" applyFill="1" applyBorder="1" applyAlignment="1" applyProtection="1">
      <alignment/>
      <protection/>
    </xf>
    <xf numFmtId="0" fontId="5" fillId="0" borderId="8" xfId="0" applyNumberFormat="1" applyFont="1" applyBorder="1" applyAlignment="1" applyProtection="1">
      <alignment horizontal="left" vertical="center"/>
      <protection/>
    </xf>
    <xf numFmtId="0" fontId="0" fillId="0" borderId="0" xfId="0" applyAlignment="1" applyProtection="1">
      <alignment vertical="center"/>
      <protection/>
    </xf>
    <xf numFmtId="0" fontId="1" fillId="0" borderId="10" xfId="0" applyFont="1" applyBorder="1" applyAlignment="1" applyProtection="1">
      <alignment horizontal="center" vertical="center"/>
      <protection/>
    </xf>
    <xf numFmtId="0" fontId="23" fillId="0" borderId="8" xfId="0" applyFont="1" applyBorder="1" applyAlignment="1" applyProtection="1">
      <alignment vertical="center"/>
      <protection/>
    </xf>
    <xf numFmtId="0" fontId="0" fillId="0" borderId="9" xfId="0" applyBorder="1" applyAlignment="1" applyProtection="1">
      <alignment vertical="center"/>
      <protection/>
    </xf>
    <xf numFmtId="0" fontId="0" fillId="0" borderId="0" xfId="0" applyAlignment="1" applyProtection="1">
      <alignment horizontal="center" vertical="center"/>
      <protection/>
    </xf>
    <xf numFmtId="0" fontId="0" fillId="0" borderId="8" xfId="0" applyBorder="1" applyAlignment="1" applyProtection="1">
      <alignment vertic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1" fillId="0" borderId="0" xfId="0" applyFont="1" applyBorder="1" applyAlignment="1" applyProtection="1">
      <alignment/>
      <protection/>
    </xf>
    <xf numFmtId="0" fontId="0" fillId="0" borderId="26" xfId="0" applyBorder="1" applyAlignment="1" applyProtection="1">
      <alignment horizontal="center"/>
      <protection/>
    </xf>
    <xf numFmtId="0" fontId="2" fillId="0" borderId="0" xfId="0" applyFont="1" applyAlignment="1" applyProtection="1">
      <alignment horizontal="left"/>
      <protection/>
    </xf>
    <xf numFmtId="0" fontId="0" fillId="0" borderId="7" xfId="0" applyBorder="1" applyAlignment="1" applyProtection="1">
      <alignment vertical="center"/>
      <protection/>
    </xf>
    <xf numFmtId="0" fontId="0" fillId="0" borderId="10" xfId="0" applyBorder="1" applyAlignment="1" applyProtection="1" quotePrefix="1">
      <alignment horizontal="center"/>
      <protection/>
    </xf>
    <xf numFmtId="0" fontId="7" fillId="5" borderId="34" xfId="0" applyFont="1" applyFill="1" applyBorder="1" applyAlignment="1" applyProtection="1">
      <alignment horizontal="left"/>
      <protection/>
    </xf>
    <xf numFmtId="0" fontId="0" fillId="0" borderId="0" xfId="0" applyBorder="1" applyAlignment="1" applyProtection="1">
      <alignment horizontal="center"/>
      <protection/>
    </xf>
    <xf numFmtId="0" fontId="1" fillId="0" borderId="28" xfId="0" applyFont="1" applyBorder="1" applyAlignment="1" applyProtection="1">
      <alignment horizontal="center"/>
      <protection/>
    </xf>
    <xf numFmtId="0" fontId="1" fillId="0" borderId="3" xfId="0" applyFont="1" applyBorder="1" applyAlignment="1" applyProtection="1">
      <alignment horizontal="center"/>
      <protection/>
    </xf>
    <xf numFmtId="0" fontId="0" fillId="0" borderId="2" xfId="0" applyBorder="1" applyAlignment="1" applyProtection="1">
      <alignment horizontal="center"/>
      <protection/>
    </xf>
    <xf numFmtId="0" fontId="1" fillId="0" borderId="25" xfId="0" applyFont="1" applyBorder="1" applyAlignment="1" applyProtection="1">
      <alignment/>
      <protection/>
    </xf>
    <xf numFmtId="0" fontId="0" fillId="0" borderId="35" xfId="0" applyFill="1" applyBorder="1" applyAlignment="1" applyProtection="1">
      <alignment horizontal="center"/>
      <protection/>
    </xf>
    <xf numFmtId="0" fontId="0" fillId="0" borderId="7" xfId="0" applyFill="1" applyBorder="1" applyAlignment="1" applyProtection="1">
      <alignment/>
      <protection/>
    </xf>
    <xf numFmtId="0" fontId="5" fillId="0" borderId="10" xfId="0" applyFont="1" applyBorder="1" applyAlignment="1" applyProtection="1">
      <alignment horizontal="center"/>
      <protection/>
    </xf>
    <xf numFmtId="0" fontId="0" fillId="0" borderId="0" xfId="0" applyFill="1" applyBorder="1" applyAlignment="1" applyProtection="1">
      <alignment horizontal="center"/>
      <protection/>
    </xf>
    <xf numFmtId="0" fontId="0" fillId="0" borderId="7" xfId="0" applyFont="1" applyBorder="1" applyAlignment="1" applyProtection="1">
      <alignment/>
      <protection/>
    </xf>
    <xf numFmtId="0" fontId="1" fillId="0" borderId="0" xfId="0" applyFont="1" applyAlignment="1" applyProtection="1">
      <alignment horizontal="left"/>
      <protection/>
    </xf>
    <xf numFmtId="0" fontId="0" fillId="0" borderId="7" xfId="0" applyFont="1" applyBorder="1" applyAlignment="1" applyProtection="1">
      <alignment/>
      <protection/>
    </xf>
    <xf numFmtId="0" fontId="3" fillId="0" borderId="0" xfId="0" applyFont="1" applyAlignment="1" applyProtection="1">
      <alignment horizontal="left" vertical="center"/>
      <protection/>
    </xf>
    <xf numFmtId="0" fontId="0" fillId="0" borderId="0" xfId="0" applyFill="1" applyAlignment="1" applyProtection="1">
      <alignment vertical="center"/>
      <protection/>
    </xf>
    <xf numFmtId="0" fontId="1" fillId="0" borderId="0" xfId="0" applyFont="1" applyAlignment="1" applyProtection="1">
      <alignment horizontal="lef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1" fillId="0" borderId="21"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0" fillId="0" borderId="10" xfId="0" applyBorder="1" applyAlignment="1" applyProtection="1">
      <alignment horizontal="center" vertical="center"/>
      <protection/>
    </xf>
    <xf numFmtId="44" fontId="0" fillId="0" borderId="10" xfId="0" applyNumberFormat="1" applyBorder="1" applyAlignment="1" applyProtection="1">
      <alignment vertical="center"/>
      <protection/>
    </xf>
    <xf numFmtId="3" fontId="0" fillId="0" borderId="10" xfId="0" applyNumberFormat="1" applyBorder="1" applyAlignment="1" applyProtection="1">
      <alignment vertical="center"/>
      <protection/>
    </xf>
    <xf numFmtId="0" fontId="0" fillId="0" borderId="7" xfId="0" applyFill="1" applyBorder="1" applyAlignment="1" applyProtection="1">
      <alignment vertical="center"/>
      <protection/>
    </xf>
    <xf numFmtId="0" fontId="0" fillId="0" borderId="8" xfId="0" applyBorder="1" applyAlignment="1" applyProtection="1">
      <alignment horizontal="right" vertical="center"/>
      <protection/>
    </xf>
    <xf numFmtId="0" fontId="0" fillId="0" borderId="10" xfId="0" applyBorder="1" applyAlignment="1" applyProtection="1" quotePrefix="1">
      <alignment horizontal="center" vertical="center"/>
      <protection/>
    </xf>
    <xf numFmtId="0" fontId="0" fillId="0" borderId="7" xfId="0" applyFont="1" applyFill="1" applyBorder="1" applyAlignment="1" applyProtection="1">
      <alignment vertical="center"/>
      <protection/>
    </xf>
    <xf numFmtId="3" fontId="0" fillId="0" borderId="10" xfId="0" applyNumberFormat="1" applyBorder="1" applyAlignment="1" applyProtection="1">
      <alignment horizontal="center" vertical="center"/>
      <protection/>
    </xf>
    <xf numFmtId="0" fontId="0" fillId="0" borderId="35" xfId="0" applyFill="1" applyBorder="1" applyAlignment="1" applyProtection="1">
      <alignment vertical="center"/>
      <protection/>
    </xf>
    <xf numFmtId="0" fontId="0" fillId="0" borderId="26" xfId="0" applyBorder="1" applyAlignment="1" applyProtection="1">
      <alignment horizontal="center" vertical="center"/>
      <protection/>
    </xf>
    <xf numFmtId="3" fontId="0" fillId="0" borderId="26" xfId="0" applyNumberFormat="1" applyBorder="1" applyAlignment="1" applyProtection="1">
      <alignment vertical="center"/>
      <protection/>
    </xf>
    <xf numFmtId="44" fontId="0" fillId="0" borderId="26" xfId="0" applyNumberFormat="1" applyBorder="1" applyAlignment="1" applyProtection="1">
      <alignment vertical="center"/>
      <protection/>
    </xf>
    <xf numFmtId="0" fontId="1" fillId="0" borderId="7" xfId="0" applyFont="1" applyFill="1" applyBorder="1" applyAlignment="1" applyProtection="1">
      <alignment vertical="center"/>
      <protection/>
    </xf>
    <xf numFmtId="0" fontId="0" fillId="0" borderId="10" xfId="0"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vertical="center"/>
      <protection/>
    </xf>
    <xf numFmtId="179" fontId="0" fillId="0" borderId="0" xfId="0" applyNumberFormat="1" applyFont="1" applyFill="1" applyBorder="1" applyAlignment="1" applyProtection="1">
      <alignment vertical="center"/>
      <protection/>
    </xf>
    <xf numFmtId="0" fontId="9" fillId="0" borderId="10" xfId="0" applyFont="1" applyBorder="1" applyAlignment="1" applyProtection="1">
      <alignment horizontal="center" vertical="center"/>
      <protection/>
    </xf>
    <xf numFmtId="0" fontId="9" fillId="0" borderId="7" xfId="0" applyFont="1" applyFill="1" applyBorder="1" applyAlignment="1" applyProtection="1">
      <alignment vertical="center"/>
      <protection/>
    </xf>
    <xf numFmtId="0" fontId="23" fillId="0" borderId="9" xfId="0" applyFont="1" applyBorder="1" applyAlignment="1" applyProtection="1">
      <alignment vertical="center"/>
      <protection/>
    </xf>
    <xf numFmtId="42" fontId="0" fillId="0" borderId="10" xfId="0" applyNumberFormat="1" applyFill="1" applyBorder="1" applyAlignment="1" applyProtection="1">
      <alignment/>
      <protection locked="0"/>
    </xf>
    <xf numFmtId="0" fontId="6" fillId="5" borderId="34" xfId="0" applyFont="1" applyFill="1" applyBorder="1" applyAlignment="1" applyProtection="1">
      <alignment horizontal="left"/>
      <protection/>
    </xf>
    <xf numFmtId="0" fontId="7" fillId="5" borderId="34" xfId="0" applyFont="1" applyFill="1" applyBorder="1" applyAlignment="1" applyProtection="1">
      <alignment horizontal="right"/>
      <protection/>
    </xf>
    <xf numFmtId="0" fontId="7" fillId="5" borderId="7" xfId="0" applyFont="1" applyFill="1" applyBorder="1" applyAlignment="1" applyProtection="1">
      <alignment vertical="center"/>
      <protection/>
    </xf>
    <xf numFmtId="0" fontId="7" fillId="5" borderId="9" xfId="0" applyFont="1" applyFill="1" applyBorder="1" applyAlignment="1" applyProtection="1">
      <alignment vertical="center"/>
      <protection/>
    </xf>
    <xf numFmtId="44" fontId="0" fillId="0" borderId="36" xfId="0" applyNumberFormat="1" applyBorder="1" applyAlignment="1" applyProtection="1">
      <alignment/>
      <protection/>
    </xf>
    <xf numFmtId="44" fontId="0" fillId="0" borderId="0" xfId="0" applyNumberFormat="1" applyBorder="1" applyAlignment="1" applyProtection="1">
      <alignment/>
      <protection/>
    </xf>
    <xf numFmtId="0" fontId="1" fillId="0" borderId="0" xfId="0" applyFont="1" applyFill="1" applyAlignment="1" applyProtection="1">
      <alignment horizontal="center"/>
      <protection/>
    </xf>
    <xf numFmtId="0" fontId="0" fillId="0" borderId="8" xfId="0" applyFill="1" applyBorder="1" applyAlignment="1" applyProtection="1">
      <alignment vertical="center"/>
      <protection/>
    </xf>
    <xf numFmtId="0" fontId="7" fillId="5" borderId="34" xfId="0" applyFont="1" applyFill="1" applyBorder="1" applyAlignment="1" applyProtection="1">
      <alignment horizontal="center"/>
      <protection/>
    </xf>
    <xf numFmtId="16" fontId="0" fillId="0" borderId="10" xfId="0" applyNumberFormat="1" applyBorder="1" applyAlignment="1" applyProtection="1" quotePrefix="1">
      <alignment horizontal="center" vertical="center"/>
      <protection/>
    </xf>
    <xf numFmtId="0" fontId="7" fillId="5" borderId="9" xfId="0" applyFont="1" applyFill="1" applyBorder="1" applyAlignment="1" applyProtection="1">
      <alignment horizontal="center" vertical="center"/>
      <protection/>
    </xf>
    <xf numFmtId="200" fontId="0" fillId="0" borderId="10" xfId="0" applyNumberFormat="1" applyBorder="1" applyAlignment="1" applyProtection="1">
      <alignment vertical="center"/>
      <protection/>
    </xf>
    <xf numFmtId="0" fontId="7" fillId="5" borderId="0" xfId="0"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protection/>
    </xf>
    <xf numFmtId="3" fontId="0" fillId="0" borderId="34" xfId="0" applyNumberFormat="1" applyFont="1" applyFill="1" applyBorder="1" applyAlignment="1" applyProtection="1">
      <alignment/>
      <protection/>
    </xf>
    <xf numFmtId="164" fontId="5" fillId="0" borderId="37" xfId="0" applyNumberFormat="1" applyFont="1" applyFill="1" applyBorder="1" applyAlignment="1" applyProtection="1">
      <alignment horizontal="center" vertical="center"/>
      <protection/>
    </xf>
    <xf numFmtId="164" fontId="5" fillId="0" borderId="38" xfId="0" applyNumberFormat="1" applyFont="1" applyFill="1" applyBorder="1" applyAlignment="1" applyProtection="1">
      <alignment horizontal="center" vertical="center"/>
      <protection/>
    </xf>
    <xf numFmtId="3" fontId="6" fillId="5" borderId="5" xfId="0" applyNumberFormat="1" applyFont="1" applyFill="1" applyBorder="1" applyAlignment="1" applyProtection="1">
      <alignment horizontal="center" vertical="center"/>
      <protection/>
    </xf>
    <xf numFmtId="4" fontId="6" fillId="5" borderId="39" xfId="0" applyNumberFormat="1" applyFont="1" applyFill="1" applyBorder="1" applyAlignment="1" applyProtection="1">
      <alignment horizontal="center" vertical="center"/>
      <protection/>
    </xf>
    <xf numFmtId="0" fontId="5" fillId="0" borderId="0" xfId="0" applyFont="1" applyBorder="1" applyAlignment="1" applyProtection="1">
      <alignment vertical="top" wrapText="1"/>
      <protection/>
    </xf>
    <xf numFmtId="0" fontId="0" fillId="0" borderId="0" xfId="0" applyFont="1" applyBorder="1" applyAlignment="1" applyProtection="1">
      <alignment/>
      <protection/>
    </xf>
    <xf numFmtId="44" fontId="0" fillId="0" borderId="40" xfId="0" applyNumberFormat="1" applyFont="1" applyBorder="1" applyAlignment="1" applyProtection="1">
      <alignment/>
      <protection/>
    </xf>
    <xf numFmtId="0" fontId="5" fillId="0" borderId="10" xfId="0" applyFont="1" applyFill="1" applyBorder="1" applyAlignment="1" applyProtection="1">
      <alignment vertical="center"/>
      <protection/>
    </xf>
    <xf numFmtId="0" fontId="0" fillId="0" borderId="7" xfId="0" applyFont="1" applyFill="1" applyBorder="1" applyAlignment="1" applyProtection="1">
      <alignment vertical="center"/>
      <protection/>
    </xf>
    <xf numFmtId="0" fontId="0" fillId="0" borderId="8" xfId="0" applyFont="1" applyFill="1" applyBorder="1" applyAlignment="1" applyProtection="1">
      <alignment vertical="center"/>
      <protection/>
    </xf>
    <xf numFmtId="0" fontId="18" fillId="0" borderId="6" xfId="0" applyFont="1" applyFill="1" applyBorder="1" applyAlignment="1" applyProtection="1">
      <alignment horizontal="right" vertical="center"/>
      <protection/>
    </xf>
    <xf numFmtId="0" fontId="2" fillId="0" borderId="0" xfId="0" applyFont="1" applyAlignment="1" applyProtection="1">
      <alignment horizontal="left"/>
      <protection/>
    </xf>
    <xf numFmtId="194" fontId="0" fillId="0" borderId="0" xfId="0" applyNumberFormat="1" applyFill="1" applyBorder="1" applyAlignment="1" applyProtection="1">
      <alignment/>
      <protection/>
    </xf>
    <xf numFmtId="0" fontId="24" fillId="0" borderId="8" xfId="0" applyFont="1" applyFill="1" applyBorder="1" applyAlignment="1" applyProtection="1">
      <alignment vertical="center"/>
      <protection/>
    </xf>
    <xf numFmtId="0" fontId="23" fillId="0" borderId="0" xfId="0" applyFont="1" applyAlignment="1" applyProtection="1">
      <alignment horizontal="left"/>
      <protection/>
    </xf>
    <xf numFmtId="0" fontId="9" fillId="0" borderId="7" xfId="0" applyFont="1" applyBorder="1" applyAlignment="1" applyProtection="1">
      <alignment vertical="center"/>
      <protection/>
    </xf>
    <xf numFmtId="179" fontId="1" fillId="0" borderId="10" xfId="0" applyNumberFormat="1" applyFont="1" applyFill="1" applyBorder="1" applyAlignment="1" applyProtection="1">
      <alignment vertical="center"/>
      <protection/>
    </xf>
    <xf numFmtId="179" fontId="1" fillId="0" borderId="32" xfId="0" applyNumberFormat="1" applyFont="1" applyFill="1" applyBorder="1" applyAlignment="1" applyProtection="1">
      <alignment vertical="center"/>
      <protection/>
    </xf>
    <xf numFmtId="0" fontId="1" fillId="0" borderId="35" xfId="0" applyFont="1" applyBorder="1" applyAlignment="1" applyProtection="1">
      <alignment horizontal="center"/>
      <protection/>
    </xf>
    <xf numFmtId="0" fontId="16" fillId="0" borderId="7" xfId="0" applyFont="1" applyBorder="1" applyAlignment="1" applyProtection="1">
      <alignment horizontal="left"/>
      <protection/>
    </xf>
    <xf numFmtId="3" fontId="0" fillId="0" borderId="10" xfId="0" applyNumberFormat="1" applyFill="1" applyBorder="1" applyAlignment="1" applyProtection="1">
      <alignment horizontal="right"/>
      <protection locked="0"/>
    </xf>
    <xf numFmtId="3" fontId="0" fillId="0" borderId="3" xfId="0" applyNumberFormat="1" applyBorder="1" applyAlignment="1" applyProtection="1">
      <alignment/>
      <protection/>
    </xf>
    <xf numFmtId="0" fontId="16" fillId="0" borderId="26" xfId="0" applyFont="1" applyBorder="1" applyAlignment="1" applyProtection="1">
      <alignment horizontal="center"/>
      <protection/>
    </xf>
    <xf numFmtId="0" fontId="1" fillId="0" borderId="0" xfId="0" applyFont="1" applyAlignment="1" applyProtection="1">
      <alignment/>
      <protection/>
    </xf>
    <xf numFmtId="0" fontId="16" fillId="0" borderId="27" xfId="0" applyFont="1" applyBorder="1" applyAlignment="1" applyProtection="1">
      <alignment horizontal="center"/>
      <protection/>
    </xf>
    <xf numFmtId="0" fontId="16" fillId="0" borderId="35" xfId="0" applyFont="1" applyBorder="1" applyAlignment="1" applyProtection="1">
      <alignment horizontal="center"/>
      <protection/>
    </xf>
    <xf numFmtId="0" fontId="0" fillId="0" borderId="10" xfId="0" applyBorder="1" applyAlignment="1" applyProtection="1">
      <alignment/>
      <protection/>
    </xf>
    <xf numFmtId="0" fontId="0" fillId="0" borderId="35" xfId="0" applyBorder="1" applyAlignment="1" applyProtection="1">
      <alignment/>
      <protection/>
    </xf>
    <xf numFmtId="0" fontId="1" fillId="0" borderId="10" xfId="0" applyFont="1" applyBorder="1" applyAlignment="1" applyProtection="1">
      <alignment/>
      <protection/>
    </xf>
    <xf numFmtId="0" fontId="25" fillId="0" borderId="0" xfId="0" applyFont="1" applyAlignment="1" applyProtection="1">
      <alignment horizontal="left"/>
      <protection/>
    </xf>
    <xf numFmtId="0" fontId="0" fillId="0" borderId="27" xfId="0" applyBorder="1" applyAlignment="1" applyProtection="1">
      <alignment/>
      <protection/>
    </xf>
    <xf numFmtId="164" fontId="6" fillId="5" borderId="36"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center" vertical="center"/>
      <protection/>
    </xf>
    <xf numFmtId="165" fontId="0" fillId="0" borderId="10" xfId="0" applyNumberFormat="1" applyBorder="1" applyAlignment="1" applyProtection="1">
      <alignment horizontal="center"/>
      <protection/>
    </xf>
    <xf numFmtId="0" fontId="0" fillId="0" borderId="0" xfId="0" applyAlignment="1" applyProtection="1">
      <alignment horizontal="right"/>
      <protection locked="0"/>
    </xf>
    <xf numFmtId="0" fontId="0" fillId="0" borderId="0" xfId="0" applyAlignment="1" applyProtection="1">
      <alignment horizontal="right"/>
      <protection/>
    </xf>
    <xf numFmtId="4" fontId="0" fillId="0" borderId="10" xfId="0" applyNumberFormat="1" applyBorder="1" applyAlignment="1" applyProtection="1">
      <alignment horizontal="right"/>
      <protection/>
    </xf>
    <xf numFmtId="3" fontId="0" fillId="0" borderId="10" xfId="0" applyNumberFormat="1" applyBorder="1" applyAlignment="1" applyProtection="1">
      <alignment horizontal="right"/>
      <protection/>
    </xf>
    <xf numFmtId="3" fontId="0" fillId="0" borderId="30" xfId="0" applyNumberFormat="1" applyBorder="1" applyAlignment="1" applyProtection="1">
      <alignment/>
      <protection/>
    </xf>
    <xf numFmtId="165" fontId="16" fillId="0" borderId="30" xfId="0" applyNumberFormat="1" applyFont="1" applyFill="1" applyBorder="1" applyAlignment="1" applyProtection="1">
      <alignment horizontal="center" vertical="center"/>
      <protection/>
    </xf>
    <xf numFmtId="164" fontId="16" fillId="0" borderId="30" xfId="0" applyNumberFormat="1" applyFont="1" applyFill="1" applyBorder="1" applyAlignment="1" applyProtection="1">
      <alignment horizontal="center" vertical="center"/>
      <protection/>
    </xf>
    <xf numFmtId="3" fontId="0" fillId="0" borderId="2" xfId="0" applyNumberFormat="1" applyBorder="1" applyAlignment="1" applyProtection="1">
      <alignment/>
      <protection/>
    </xf>
    <xf numFmtId="165" fontId="5" fillId="0" borderId="2" xfId="0" applyNumberFormat="1" applyFont="1" applyFill="1" applyBorder="1" applyAlignment="1" applyProtection="1">
      <alignment horizontal="center" vertical="center"/>
      <protection/>
    </xf>
    <xf numFmtId="164" fontId="5" fillId="0" borderId="2" xfId="0" applyNumberFormat="1" applyFont="1" applyFill="1" applyBorder="1" applyAlignment="1" applyProtection="1">
      <alignment horizontal="center" vertical="center"/>
      <protection/>
    </xf>
    <xf numFmtId="164" fontId="5" fillId="0" borderId="2" xfId="0" applyNumberFormat="1" applyFont="1" applyFill="1" applyBorder="1" applyAlignment="1" applyProtection="1" quotePrefix="1">
      <alignment horizontal="center" vertical="center"/>
      <protection/>
    </xf>
    <xf numFmtId="0" fontId="0" fillId="0" borderId="20" xfId="0" applyBorder="1" applyAlignment="1" applyProtection="1">
      <alignment/>
      <protection/>
    </xf>
    <xf numFmtId="0" fontId="0" fillId="0" borderId="21" xfId="0" applyBorder="1" applyAlignment="1" applyProtection="1">
      <alignment/>
      <protection/>
    </xf>
    <xf numFmtId="4" fontId="0" fillId="0" borderId="26" xfId="0" applyNumberFormat="1" applyBorder="1" applyAlignment="1" applyProtection="1">
      <alignment horizontal="right"/>
      <protection/>
    </xf>
    <xf numFmtId="3" fontId="0" fillId="0" borderId="26" xfId="0" applyNumberFormat="1" applyBorder="1" applyAlignment="1" applyProtection="1">
      <alignment horizontal="right"/>
      <protection/>
    </xf>
    <xf numFmtId="3" fontId="0" fillId="0" borderId="31" xfId="0" applyNumberFormat="1" applyBorder="1" applyAlignment="1" applyProtection="1">
      <alignment/>
      <protection/>
    </xf>
    <xf numFmtId="165" fontId="5" fillId="0" borderId="31" xfId="0" applyNumberFormat="1" applyFont="1" applyFill="1" applyBorder="1" applyAlignment="1" applyProtection="1">
      <alignment horizontal="center" vertical="center"/>
      <protection/>
    </xf>
    <xf numFmtId="165" fontId="16" fillId="0" borderId="31" xfId="0" applyNumberFormat="1" applyFont="1" applyFill="1" applyBorder="1" applyAlignment="1" applyProtection="1">
      <alignment horizontal="center" vertical="center"/>
      <protection/>
    </xf>
    <xf numFmtId="164" fontId="5" fillId="0" borderId="31" xfId="0" applyNumberFormat="1" applyFont="1" applyFill="1" applyBorder="1" applyAlignment="1" applyProtection="1" quotePrefix="1">
      <alignment horizontal="center" vertical="center"/>
      <protection/>
    </xf>
    <xf numFmtId="164" fontId="5" fillId="0" borderId="31" xfId="0" applyNumberFormat="1" applyFont="1" applyFill="1" applyBorder="1" applyAlignment="1" applyProtection="1">
      <alignment horizontal="center" vertical="center"/>
      <protection/>
    </xf>
    <xf numFmtId="0" fontId="1" fillId="0" borderId="41" xfId="0" applyFont="1" applyBorder="1" applyAlignment="1" applyProtection="1">
      <alignment horizontal="center"/>
      <protection/>
    </xf>
    <xf numFmtId="0" fontId="1" fillId="0" borderId="42" xfId="0" applyFont="1" applyBorder="1" applyAlignment="1" applyProtection="1">
      <alignment/>
      <protection/>
    </xf>
    <xf numFmtId="0" fontId="0" fillId="0" borderId="6" xfId="0" applyBorder="1" applyAlignment="1" applyProtection="1">
      <alignment/>
      <protection/>
    </xf>
    <xf numFmtId="0" fontId="0" fillId="0" borderId="6" xfId="0" applyBorder="1" applyAlignment="1" applyProtection="1">
      <alignment horizontal="center"/>
      <protection/>
    </xf>
    <xf numFmtId="3" fontId="1" fillId="0" borderId="3" xfId="0" applyNumberFormat="1" applyFont="1" applyFill="1" applyBorder="1" applyAlignment="1" applyProtection="1">
      <alignment horizontal="right"/>
      <protection/>
    </xf>
    <xf numFmtId="4" fontId="1" fillId="0" borderId="2" xfId="0" applyNumberFormat="1" applyFont="1" applyFill="1" applyBorder="1" applyAlignment="1" applyProtection="1">
      <alignment horizontal="right"/>
      <protection/>
    </xf>
    <xf numFmtId="4" fontId="1" fillId="0" borderId="3" xfId="0" applyNumberFormat="1" applyFont="1" applyFill="1" applyBorder="1" applyAlignment="1" applyProtection="1">
      <alignment horizontal="right"/>
      <protection/>
    </xf>
    <xf numFmtId="0" fontId="0" fillId="0" borderId="36" xfId="0" applyBorder="1" applyAlignment="1" applyProtection="1">
      <alignment/>
      <protection/>
    </xf>
    <xf numFmtId="164" fontId="6" fillId="0" borderId="43" xfId="0" applyNumberFormat="1" applyFont="1" applyFill="1" applyBorder="1" applyAlignment="1" applyProtection="1">
      <alignment horizontal="center" vertical="center"/>
      <protection/>
    </xf>
    <xf numFmtId="3" fontId="0" fillId="0" borderId="40" xfId="0" applyNumberFormat="1" applyBorder="1" applyAlignment="1" applyProtection="1">
      <alignment/>
      <protection/>
    </xf>
    <xf numFmtId="0" fontId="0" fillId="0" borderId="2" xfId="0" applyBorder="1" applyAlignment="1" applyProtection="1">
      <alignment/>
      <protection/>
    </xf>
    <xf numFmtId="3" fontId="0" fillId="0" borderId="40" xfId="0" applyNumberFormat="1" applyFill="1" applyBorder="1" applyAlignment="1" applyProtection="1">
      <alignment/>
      <protection/>
    </xf>
    <xf numFmtId="0" fontId="0" fillId="0" borderId="31" xfId="0" applyBorder="1" applyAlignment="1" applyProtection="1">
      <alignment/>
      <protection/>
    </xf>
    <xf numFmtId="3" fontId="0" fillId="0" borderId="38" xfId="0" applyNumberFormat="1" applyFill="1" applyBorder="1" applyAlignment="1" applyProtection="1">
      <alignment/>
      <protection/>
    </xf>
    <xf numFmtId="3" fontId="0" fillId="0" borderId="0" xfId="0" applyNumberFormat="1" applyBorder="1" applyAlignment="1" applyProtection="1">
      <alignment/>
      <protection/>
    </xf>
    <xf numFmtId="3" fontId="0" fillId="0" borderId="43" xfId="0" applyNumberFormat="1" applyBorder="1" applyAlignment="1" applyProtection="1">
      <alignment/>
      <protection/>
    </xf>
    <xf numFmtId="0" fontId="28" fillId="0" borderId="8" xfId="0" applyFont="1" applyBorder="1" applyAlignment="1" applyProtection="1">
      <alignment vertical="center"/>
      <protection/>
    </xf>
    <xf numFmtId="0" fontId="24" fillId="0" borderId="9" xfId="0" applyFont="1" applyBorder="1" applyAlignment="1" applyProtection="1">
      <alignment vertical="center"/>
      <protection/>
    </xf>
    <xf numFmtId="187" fontId="0" fillId="0" borderId="10" xfId="0" applyNumberFormat="1" applyFill="1" applyBorder="1" applyAlignment="1" applyProtection="1">
      <alignment vertical="center"/>
      <protection/>
    </xf>
    <xf numFmtId="0" fontId="0" fillId="0" borderId="0" xfId="0" applyNumberFormat="1" applyAlignment="1" applyProtection="1">
      <alignment/>
      <protection/>
    </xf>
    <xf numFmtId="3" fontId="0" fillId="0" borderId="0" xfId="0" applyNumberFormat="1" applyFont="1" applyFill="1" applyBorder="1" applyAlignment="1" applyProtection="1">
      <alignment/>
      <protection/>
    </xf>
    <xf numFmtId="44" fontId="0" fillId="0" borderId="30" xfId="0" applyNumberFormat="1" applyFont="1" applyBorder="1" applyAlignment="1" applyProtection="1">
      <alignment/>
      <protection/>
    </xf>
    <xf numFmtId="44" fontId="0" fillId="0" borderId="31" xfId="0" applyNumberFormat="1" applyFont="1" applyBorder="1" applyAlignment="1" applyProtection="1">
      <alignment/>
      <protection/>
    </xf>
    <xf numFmtId="0" fontId="0" fillId="0" borderId="0" xfId="0" applyFont="1" applyAlignment="1" applyProtection="1">
      <alignment/>
      <protection/>
    </xf>
    <xf numFmtId="44" fontId="0" fillId="0" borderId="39" xfId="0" applyNumberFormat="1" applyFont="1" applyBorder="1" applyAlignment="1" applyProtection="1">
      <alignment/>
      <protection/>
    </xf>
    <xf numFmtId="44" fontId="0" fillId="0" borderId="38" xfId="0" applyNumberFormat="1" applyFont="1" applyBorder="1" applyAlignment="1" applyProtection="1">
      <alignment/>
      <protection/>
    </xf>
    <xf numFmtId="44" fontId="0" fillId="0" borderId="2" xfId="0" applyNumberFormat="1" applyFont="1" applyBorder="1" applyAlignment="1" applyProtection="1">
      <alignment/>
      <protection/>
    </xf>
    <xf numFmtId="44" fontId="0" fillId="0" borderId="29" xfId="0" applyNumberFormat="1" applyFont="1" applyBorder="1" applyAlignment="1" applyProtection="1">
      <alignment/>
      <protection/>
    </xf>
    <xf numFmtId="44" fontId="0" fillId="0" borderId="3" xfId="0" applyNumberFormat="1" applyFont="1" applyFill="1" applyBorder="1" applyAlignment="1" applyProtection="1">
      <alignment/>
      <protection/>
    </xf>
    <xf numFmtId="44" fontId="0" fillId="0" borderId="36" xfId="0" applyNumberFormat="1" applyFont="1" applyBorder="1" applyAlignment="1" applyProtection="1">
      <alignment/>
      <protection/>
    </xf>
    <xf numFmtId="44" fontId="0" fillId="0" borderId="0" xfId="0" applyNumberFormat="1" applyFont="1" applyBorder="1" applyAlignment="1" applyProtection="1">
      <alignment/>
      <protection/>
    </xf>
    <xf numFmtId="165" fontId="0" fillId="0" borderId="10" xfId="0" applyNumberFormat="1" applyFill="1" applyBorder="1" applyAlignment="1" applyProtection="1">
      <alignment horizontal="center"/>
      <protection locked="0"/>
    </xf>
    <xf numFmtId="0" fontId="0" fillId="0" borderId="0" xfId="0" applyAlignment="1" applyProtection="1">
      <alignment/>
      <protection locked="0"/>
    </xf>
    <xf numFmtId="179" fontId="1" fillId="0" borderId="10" xfId="0" applyNumberFormat="1" applyFont="1" applyFill="1" applyBorder="1" applyAlignment="1" applyProtection="1">
      <alignment horizontal="center" vertical="center"/>
      <protection/>
    </xf>
    <xf numFmtId="193" fontId="0" fillId="0" borderId="10" xfId="0" applyNumberFormat="1" applyFont="1" applyBorder="1" applyAlignment="1" applyProtection="1">
      <alignment vertical="center"/>
      <protection/>
    </xf>
    <xf numFmtId="42" fontId="0" fillId="0" borderId="10" xfId="0" applyNumberFormat="1" applyFont="1" applyBorder="1" applyAlignment="1" applyProtection="1">
      <alignment vertical="center"/>
      <protection/>
    </xf>
    <xf numFmtId="0" fontId="0" fillId="0" borderId="10" xfId="0" applyFill="1" applyBorder="1" applyAlignment="1" applyProtection="1">
      <alignment horizontal="center" vertical="center"/>
      <protection locked="0"/>
    </xf>
    <xf numFmtId="180" fontId="0" fillId="0" borderId="10" xfId="0" applyNumberFormat="1" applyFill="1" applyBorder="1" applyAlignment="1" applyProtection="1">
      <alignment horizontal="right" vertical="center"/>
      <protection locked="0"/>
    </xf>
    <xf numFmtId="0" fontId="0" fillId="0" borderId="0" xfId="0" applyFont="1" applyBorder="1" applyAlignment="1" applyProtection="1">
      <alignment horizontal="center"/>
      <protection/>
    </xf>
    <xf numFmtId="3" fontId="0" fillId="6" borderId="0" xfId="0" applyNumberFormat="1" applyFill="1" applyBorder="1" applyAlignment="1" applyProtection="1">
      <alignment/>
      <protection/>
    </xf>
    <xf numFmtId="3" fontId="0" fillId="0" borderId="0" xfId="0" applyNumberFormat="1" applyFill="1" applyBorder="1" applyAlignment="1" applyProtection="1">
      <alignment/>
      <protection locked="0"/>
    </xf>
    <xf numFmtId="44" fontId="0" fillId="6" borderId="0" xfId="0" applyNumberFormat="1" applyFill="1" applyBorder="1" applyAlignment="1" applyProtection="1">
      <alignment/>
      <protection locked="0"/>
    </xf>
    <xf numFmtId="44" fontId="0" fillId="0" borderId="0" xfId="0" applyNumberFormat="1" applyFill="1" applyBorder="1" applyAlignment="1" applyProtection="1">
      <alignment/>
      <protection locked="0"/>
    </xf>
    <xf numFmtId="179" fontId="1" fillId="0" borderId="32" xfId="0" applyNumberFormat="1" applyFont="1" applyFill="1" applyBorder="1" applyAlignment="1" applyProtection="1">
      <alignment/>
      <protection locked="0"/>
    </xf>
    <xf numFmtId="0" fontId="1" fillId="0" borderId="26" xfId="0" applyFont="1" applyFill="1" applyBorder="1" applyAlignment="1" applyProtection="1">
      <alignment horizontal="center" vertical="center"/>
      <protection/>
    </xf>
    <xf numFmtId="187" fontId="0" fillId="0" borderId="10" xfId="0" applyNumberFormat="1" applyFill="1" applyBorder="1" applyAlignment="1" applyProtection="1">
      <alignment horizontal="right" vertical="center"/>
      <protection/>
    </xf>
    <xf numFmtId="0" fontId="1" fillId="0" borderId="28" xfId="0" applyFont="1" applyBorder="1" applyAlignment="1" applyProtection="1">
      <alignment vertical="top"/>
      <protection/>
    </xf>
    <xf numFmtId="0" fontId="5" fillId="0" borderId="29" xfId="0" applyFont="1" applyBorder="1" applyAlignment="1" applyProtection="1">
      <alignment vertical="top" wrapText="1"/>
      <protection/>
    </xf>
    <xf numFmtId="44" fontId="0" fillId="0" borderId="10" xfId="0" applyNumberFormat="1" applyFont="1" applyFill="1" applyBorder="1" applyAlignment="1" applyProtection="1">
      <alignment/>
      <protection/>
    </xf>
    <xf numFmtId="0" fontId="16" fillId="0" borderId="0" xfId="0" applyFont="1" applyAlignment="1">
      <alignment/>
    </xf>
    <xf numFmtId="0" fontId="29" fillId="0" borderId="0" xfId="0" applyFont="1" applyAlignment="1">
      <alignment/>
    </xf>
    <xf numFmtId="0" fontId="0"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horizontal="left" indent="3"/>
    </xf>
    <xf numFmtId="0" fontId="34" fillId="0" borderId="0" xfId="0" applyFont="1" applyAlignment="1">
      <alignment/>
    </xf>
    <xf numFmtId="0" fontId="36" fillId="0" borderId="0" xfId="0" applyFont="1" applyAlignment="1">
      <alignment horizontal="left" indent="3"/>
    </xf>
    <xf numFmtId="0" fontId="35" fillId="0" borderId="0" xfId="0" applyFont="1" applyAlignment="1">
      <alignment/>
    </xf>
    <xf numFmtId="0" fontId="0" fillId="0" borderId="0" xfId="0" applyNumberFormat="1" applyFont="1" applyAlignment="1">
      <alignment/>
    </xf>
    <xf numFmtId="0" fontId="26" fillId="0" borderId="44" xfId="0" applyNumberFormat="1" applyFont="1" applyFill="1" applyBorder="1" applyAlignment="1" applyProtection="1">
      <alignment vertical="center"/>
      <protection/>
    </xf>
    <xf numFmtId="3" fontId="0" fillId="6" borderId="8" xfId="0" applyNumberFormat="1" applyFill="1" applyBorder="1" applyAlignment="1" applyProtection="1">
      <alignment/>
      <protection/>
    </xf>
    <xf numFmtId="3" fontId="0" fillId="0" borderId="8" xfId="0" applyNumberFormat="1" applyFill="1" applyBorder="1" applyAlignment="1" applyProtection="1">
      <alignment/>
      <protection locked="0"/>
    </xf>
    <xf numFmtId="44" fontId="0" fillId="6" borderId="8" xfId="0" applyNumberFormat="1" applyFill="1" applyBorder="1" applyAlignment="1" applyProtection="1">
      <alignment/>
      <protection locked="0"/>
    </xf>
    <xf numFmtId="0" fontId="0" fillId="0" borderId="10" xfId="0" applyNumberFormat="1" applyFill="1" applyBorder="1" applyAlignment="1" applyProtection="1">
      <alignment vertical="center"/>
      <protection/>
    </xf>
    <xf numFmtId="165" fontId="5" fillId="0" borderId="10" xfId="0" applyNumberFormat="1" applyFont="1" applyFill="1" applyBorder="1" applyAlignment="1" applyProtection="1">
      <alignment horizontal="center" vertical="center"/>
      <protection/>
    </xf>
    <xf numFmtId="208" fontId="0" fillId="0" borderId="0" xfId="0" applyNumberFormat="1" applyBorder="1" applyAlignment="1">
      <alignment/>
    </xf>
    <xf numFmtId="3" fontId="6" fillId="0" borderId="0" xfId="0" applyNumberFormat="1" applyFont="1" applyFill="1" applyBorder="1" applyAlignment="1" applyProtection="1">
      <alignment horizontal="center" vertical="center"/>
      <protection/>
    </xf>
    <xf numFmtId="208" fontId="0" fillId="0" borderId="0" xfId="0" applyNumberFormat="1" applyFill="1" applyBorder="1" applyAlignment="1">
      <alignment/>
    </xf>
    <xf numFmtId="0" fontId="5" fillId="0" borderId="0" xfId="0" applyFont="1" applyFill="1" applyBorder="1" applyAlignment="1" applyProtection="1">
      <alignment horizontal="right" vertical="center"/>
      <protection/>
    </xf>
    <xf numFmtId="0" fontId="16" fillId="0" borderId="6" xfId="0" applyNumberFormat="1" applyFont="1" applyBorder="1" applyAlignment="1" applyProtection="1">
      <alignment vertical="center"/>
      <protection/>
    </xf>
    <xf numFmtId="3" fontId="0" fillId="0" borderId="8" xfId="0" applyNumberFormat="1" applyFill="1" applyBorder="1" applyAlignment="1" applyProtection="1">
      <alignment/>
      <protection/>
    </xf>
    <xf numFmtId="0" fontId="1" fillId="0" borderId="0" xfId="0" applyFont="1" applyBorder="1" applyAlignment="1" applyProtection="1">
      <alignment horizontal="center" wrapText="1"/>
      <protection/>
    </xf>
    <xf numFmtId="3" fontId="0" fillId="0" borderId="0" xfId="0" applyNumberFormat="1" applyFill="1" applyBorder="1" applyAlignment="1" applyProtection="1">
      <alignment/>
      <protection/>
    </xf>
    <xf numFmtId="3" fontId="0" fillId="0" borderId="0" xfId="0" applyNumberFormat="1" applyFill="1" applyBorder="1" applyAlignment="1" applyProtection="1">
      <alignment horizontal="right"/>
      <protection locked="0"/>
    </xf>
    <xf numFmtId="0" fontId="5" fillId="0" borderId="8" xfId="0" applyFont="1" applyBorder="1" applyAlignment="1" applyProtection="1">
      <alignment horizontal="right" vertical="center"/>
      <protection/>
    </xf>
    <xf numFmtId="0" fontId="5" fillId="0" borderId="0" xfId="0" applyFont="1" applyAlignment="1" applyProtection="1">
      <alignment/>
      <protection/>
    </xf>
    <xf numFmtId="0" fontId="9" fillId="0" borderId="0" xfId="0" applyFont="1" applyAlignment="1" applyProtection="1">
      <alignment/>
      <protection/>
    </xf>
    <xf numFmtId="0"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left" vertical="center"/>
      <protection/>
    </xf>
    <xf numFmtId="0" fontId="5" fillId="0" borderId="0" xfId="0" applyFont="1" applyBorder="1" applyAlignment="1" applyProtection="1">
      <alignment horizontal="right" vertical="center"/>
      <protection/>
    </xf>
    <xf numFmtId="0" fontId="1"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0" fillId="0" borderId="0" xfId="0" applyBorder="1" applyAlignment="1">
      <alignment/>
    </xf>
    <xf numFmtId="44" fontId="0" fillId="0" borderId="10" xfId="0" applyNumberFormat="1" applyFont="1" applyBorder="1" applyAlignment="1" applyProtection="1">
      <alignment vertical="center"/>
      <protection/>
    </xf>
    <xf numFmtId="44" fontId="0" fillId="0" borderId="26" xfId="0" applyNumberFormat="1" applyFont="1" applyBorder="1" applyAlignment="1" applyProtection="1">
      <alignment vertical="center"/>
      <protection/>
    </xf>
    <xf numFmtId="214" fontId="0" fillId="0" borderId="10" xfId="0" applyNumberFormat="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16" fontId="0" fillId="0" borderId="0" xfId="0" applyNumberFormat="1" applyFill="1" applyBorder="1" applyAlignment="1" applyProtection="1" quotePrefix="1">
      <alignment horizontal="center" vertical="center"/>
      <protection/>
    </xf>
    <xf numFmtId="42" fontId="0" fillId="0" borderId="0" xfId="0" applyNumberFormat="1" applyFont="1" applyFill="1" applyBorder="1" applyAlignment="1" applyProtection="1">
      <alignment vertical="center"/>
      <protection/>
    </xf>
    <xf numFmtId="0" fontId="0" fillId="0" borderId="0" xfId="0" applyFill="1" applyBorder="1" applyAlignment="1" applyProtection="1" quotePrefix="1">
      <alignment horizontal="center" vertical="center"/>
      <protection/>
    </xf>
    <xf numFmtId="0" fontId="0" fillId="0" borderId="10" xfId="0" applyBorder="1" applyAlignment="1" applyProtection="1">
      <alignment/>
      <protection locked="0"/>
    </xf>
    <xf numFmtId="0" fontId="1" fillId="0" borderId="0" xfId="0" applyFont="1" applyAlignment="1">
      <alignment/>
    </xf>
    <xf numFmtId="0" fontId="0" fillId="0" borderId="34" xfId="0" applyFont="1" applyFill="1" applyBorder="1" applyAlignment="1" applyProtection="1">
      <alignment/>
      <protection/>
    </xf>
    <xf numFmtId="179" fontId="1" fillId="0" borderId="10" xfId="0" applyNumberFormat="1" applyFont="1" applyFill="1" applyBorder="1" applyAlignment="1" applyProtection="1">
      <alignment vertical="center"/>
      <protection locked="0"/>
    </xf>
    <xf numFmtId="0" fontId="13" fillId="0" borderId="7" xfId="18" applyNumberFormat="1" applyFont="1" applyFill="1" applyBorder="1" applyAlignment="1" applyProtection="1">
      <alignment horizontal="left" vertical="center"/>
      <protection locked="0"/>
    </xf>
    <xf numFmtId="0" fontId="5" fillId="0" borderId="8" xfId="0" applyNumberFormat="1" applyFont="1" applyFill="1" applyBorder="1" applyAlignment="1" applyProtection="1">
      <alignment horizontal="left" vertical="center"/>
      <protection locked="0"/>
    </xf>
    <xf numFmtId="0" fontId="5" fillId="0" borderId="9" xfId="0" applyNumberFormat="1" applyFont="1" applyFill="1" applyBorder="1" applyAlignment="1" applyProtection="1">
      <alignment horizontal="left" vertical="center"/>
      <protection locked="0"/>
    </xf>
    <xf numFmtId="165" fontId="5" fillId="0" borderId="7" xfId="0" applyNumberFormat="1" applyFont="1" applyFill="1" applyBorder="1" applyAlignment="1" applyProtection="1">
      <alignment horizontal="right" vertical="center"/>
      <protection locked="0"/>
    </xf>
    <xf numFmtId="165" fontId="5" fillId="0" borderId="8" xfId="0" applyNumberFormat="1" applyFont="1" applyFill="1" applyBorder="1" applyAlignment="1" applyProtection="1">
      <alignment horizontal="right" vertical="center"/>
      <protection locked="0"/>
    </xf>
    <xf numFmtId="0" fontId="5" fillId="0" borderId="7" xfId="0" applyNumberFormat="1" applyFont="1" applyFill="1" applyBorder="1" applyAlignment="1" applyProtection="1">
      <alignment horizontal="left" vertical="center"/>
      <protection locked="0"/>
    </xf>
    <xf numFmtId="0" fontId="5" fillId="0" borderId="0" xfId="0" applyNumberFormat="1" applyFont="1" applyAlignment="1" applyProtection="1">
      <alignment vertical="top" wrapText="1"/>
      <protection/>
    </xf>
    <xf numFmtId="0" fontId="0" fillId="0" borderId="0" xfId="0" applyAlignment="1" applyProtection="1">
      <alignment wrapText="1"/>
      <protection/>
    </xf>
    <xf numFmtId="0" fontId="16" fillId="0" borderId="7" xfId="0" applyFont="1" applyFill="1" applyBorder="1" applyAlignment="1" applyProtection="1">
      <alignment horizontal="center" vertical="center"/>
      <protection/>
    </xf>
    <xf numFmtId="0" fontId="0" fillId="0" borderId="9" xfId="0" applyBorder="1" applyAlignment="1" applyProtection="1">
      <alignment horizontal="center" vertical="center"/>
      <protection/>
    </xf>
    <xf numFmtId="0" fontId="5" fillId="0" borderId="7" xfId="0" applyNumberFormat="1" applyFont="1" applyFill="1" applyBorder="1" applyAlignment="1" applyProtection="1">
      <alignment vertical="center"/>
      <protection/>
    </xf>
    <xf numFmtId="0" fontId="5" fillId="0" borderId="9" xfId="0" applyNumberFormat="1" applyFont="1" applyFill="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Border="1" applyAlignment="1" applyProtection="1">
      <alignment horizontal="justify" vertical="top" wrapText="1"/>
      <protection/>
    </xf>
    <xf numFmtId="0" fontId="1" fillId="0" borderId="7" xfId="0" applyNumberFormat="1" applyFont="1" applyFill="1" applyBorder="1" applyAlignment="1" applyProtection="1">
      <alignment horizontal="center" vertical="center"/>
      <protection locked="0"/>
    </xf>
    <xf numFmtId="0" fontId="1" fillId="0" borderId="9" xfId="0" applyFont="1" applyBorder="1" applyAlignment="1" applyProtection="1">
      <alignment vertical="center"/>
      <protection locked="0"/>
    </xf>
    <xf numFmtId="0" fontId="5" fillId="0" borderId="0" xfId="0" applyFont="1" applyFill="1" applyBorder="1" applyAlignment="1" applyProtection="1">
      <alignment vertical="center" wrapText="1"/>
      <protection/>
    </xf>
    <xf numFmtId="42" fontId="1" fillId="0" borderId="7" xfId="0" applyNumberFormat="1" applyFont="1" applyFill="1" applyBorder="1" applyAlignment="1" applyProtection="1">
      <alignment horizontal="center" vertical="center"/>
      <protection/>
    </xf>
    <xf numFmtId="42" fontId="0" fillId="0" borderId="9" xfId="0" applyNumberFormat="1" applyFont="1" applyBorder="1" applyAlignment="1" applyProtection="1">
      <alignment vertical="center"/>
      <protection/>
    </xf>
    <xf numFmtId="179" fontId="1" fillId="0" borderId="45" xfId="0" applyNumberFormat="1" applyFont="1" applyFill="1" applyBorder="1" applyAlignment="1" applyProtection="1">
      <alignment wrapText="1"/>
      <protection/>
    </xf>
    <xf numFmtId="0" fontId="0" fillId="0" borderId="46" xfId="0" applyBorder="1" applyAlignment="1">
      <alignment wrapText="1"/>
    </xf>
    <xf numFmtId="194" fontId="0" fillId="0" borderId="7" xfId="0" applyNumberFormat="1" applyFill="1" applyBorder="1" applyAlignment="1" applyProtection="1">
      <alignment wrapText="1"/>
      <protection/>
    </xf>
    <xf numFmtId="0" fontId="0" fillId="0" borderId="9" xfId="0" applyBorder="1" applyAlignment="1">
      <alignment wrapText="1"/>
    </xf>
    <xf numFmtId="0" fontId="1" fillId="0" borderId="7" xfId="0" applyFont="1" applyBorder="1" applyAlignment="1" applyProtection="1">
      <alignment horizontal="center" vertical="center" wrapText="1"/>
      <protection/>
    </xf>
    <xf numFmtId="0" fontId="0" fillId="0" borderId="9" xfId="0" applyBorder="1" applyAlignment="1">
      <alignment vertical="center" wrapText="1"/>
    </xf>
    <xf numFmtId="194" fontId="0" fillId="0" borderId="19" xfId="0" applyNumberFormat="1" applyFill="1" applyBorder="1" applyAlignment="1" applyProtection="1">
      <alignment wrapText="1"/>
      <protection/>
    </xf>
    <xf numFmtId="0" fontId="0" fillId="0" borderId="21" xfId="0" applyBorder="1" applyAlignment="1">
      <alignment wrapText="1"/>
    </xf>
    <xf numFmtId="0" fontId="1" fillId="0" borderId="7" xfId="0" applyFont="1" applyBorder="1" applyAlignment="1" applyProtection="1">
      <alignment horizontal="center" wrapText="1"/>
      <protection/>
    </xf>
    <xf numFmtId="0" fontId="1" fillId="0" borderId="8" xfId="0" applyFont="1" applyBorder="1" applyAlignment="1" applyProtection="1">
      <alignment horizontal="center" wrapText="1"/>
      <protection/>
    </xf>
    <xf numFmtId="0" fontId="1" fillId="0" borderId="9" xfId="0" applyFont="1" applyBorder="1" applyAlignment="1" applyProtection="1">
      <alignment horizontal="center" wrapText="1"/>
      <protection/>
    </xf>
  </cellXfs>
  <cellStyles count="31">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Tabelstandaard" xfId="32"/>
    <cellStyle name="Tabelstandaard financieel" xfId="33"/>
    <cellStyle name="Tabelstandaard negatief" xfId="34"/>
    <cellStyle name="Tabelstandaard Totaal" xfId="35"/>
    <cellStyle name="Tabelstandaard Totaal Negatief" xfId="36"/>
    <cellStyle name="Tabelstandaard Totaal_1077029755_GGZ-01c nacalculatieformulier ribw 2003 versie 040217(1)" xfId="37"/>
    <cellStyle name="Tabelstandaard_1077029755_GGZ-01c nacalculatieformulier ribw 2003 versie 040217(1)" xfId="38"/>
    <cellStyle name="Table  - Opmaakprofiel6" xfId="39"/>
    <cellStyle name="Title  - Opmaakprofiel1" xfId="40"/>
    <cellStyle name="TotCol - Opmaakprofiel5" xfId="41"/>
    <cellStyle name="TotRow - Opmaakprofiel4" xfId="42"/>
    <cellStyle name="Currency" xfId="43"/>
    <cellStyle name="Currency [0]" xfId="44"/>
  </cellStyles>
  <dxfs count="3">
    <dxf>
      <font>
        <color rgb="FFFFFFFF"/>
      </font>
      <fill>
        <patternFill>
          <bgColor rgb="FFFF0000"/>
        </patternFill>
      </fill>
      <border/>
    </dxf>
    <dxf>
      <fill>
        <patternFill>
          <bgColor rgb="FFCCFFCC"/>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171450</xdr:rowOff>
    </xdr:from>
    <xdr:to>
      <xdr:col>13</xdr:col>
      <xdr:colOff>0</xdr:colOff>
      <xdr:row>42</xdr:row>
      <xdr:rowOff>0</xdr:rowOff>
    </xdr:to>
    <xdr:sp>
      <xdr:nvSpPr>
        <xdr:cNvPr id="1" name="Rectangle 1"/>
        <xdr:cNvSpPr>
          <a:spLocks/>
        </xdr:cNvSpPr>
      </xdr:nvSpPr>
      <xdr:spPr>
        <a:xfrm>
          <a:off x="10668000" y="352425"/>
          <a:ext cx="0" cy="7581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2" name="Group 2"/>
        <xdr:cNvGrpSpPr>
          <a:grpSpLocks/>
        </xdr:cNvGrpSpPr>
      </xdr:nvGrpSpPr>
      <xdr:grpSpPr>
        <a:xfrm>
          <a:off x="10668000" y="8448675"/>
          <a:ext cx="0" cy="0"/>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7" name="Rectangle 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8" name="Group 8"/>
        <xdr:cNvGrpSpPr>
          <a:grpSpLocks/>
        </xdr:cNvGrpSpPr>
      </xdr:nvGrpSpPr>
      <xdr:grpSpPr>
        <a:xfrm>
          <a:off x="10668000" y="8448675"/>
          <a:ext cx="0" cy="0"/>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3" name="Rectangle 1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4" name="Rectangle 1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 name="Rectangle 1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6" name="Rectangle 1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171450</xdr:rowOff>
    </xdr:from>
    <xdr:to>
      <xdr:col>13</xdr:col>
      <xdr:colOff>0</xdr:colOff>
      <xdr:row>42</xdr:row>
      <xdr:rowOff>0</xdr:rowOff>
    </xdr:to>
    <xdr:sp>
      <xdr:nvSpPr>
        <xdr:cNvPr id="17" name="Rectangle 17"/>
        <xdr:cNvSpPr>
          <a:spLocks/>
        </xdr:cNvSpPr>
      </xdr:nvSpPr>
      <xdr:spPr>
        <a:xfrm>
          <a:off x="10668000" y="352425"/>
          <a:ext cx="0" cy="7581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8" name="Rectangle 1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9" name="Rectangle 1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0" name="Rectangle 2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1" name="Rectangle 2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2" name="Rectangle 2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3" name="Rectangle 2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4" name="Rectangle 2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 name="Rectangle 2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6" name="Rectangle 2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7" name="Rectangle 2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8" name="Rectangle 2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9" name="Rectangle 2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30" name="Group 30"/>
        <xdr:cNvGrpSpPr>
          <a:grpSpLocks/>
        </xdr:cNvGrpSpPr>
      </xdr:nvGrpSpPr>
      <xdr:grpSpPr>
        <a:xfrm>
          <a:off x="10668000" y="8448675"/>
          <a:ext cx="0" cy="0"/>
          <a:chOff x="769" y="35"/>
          <a:chExt cx="110" cy="41"/>
        </a:xfrm>
        <a:solidFill>
          <a:srgbClr val="FFFFFF"/>
        </a:solidFill>
      </xdr:grpSpPr>
      <xdr:sp>
        <xdr:nvSpPr>
          <xdr:cNvPr id="31" name="Rectangle 3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 name="Rectangle 3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3" name="Picture 3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4" name="Rectangle 3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35" name="Rectangle 3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36" name="Rectangle 3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37" name="Rectangle 3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38" name="Rectangle 3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39" name="Rectangle 3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0" name="Rectangle 4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1" name="Rectangle 4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2" name="Rectangle 4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3" name="Rectangle 4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4" name="Rectangle 4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5" name="Rectangle 4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6" name="Rectangle 4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 name="Rectangle 4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8" name="Rectangle 4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 name="Rectangle 4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0" name="Rectangle 5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 name="Rectangle 5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 name="Rectangle 5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 name="Rectangle 5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 name="Rectangle 5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55" name="Group 55"/>
        <xdr:cNvGrpSpPr>
          <a:grpSpLocks/>
        </xdr:cNvGrpSpPr>
      </xdr:nvGrpSpPr>
      <xdr:grpSpPr>
        <a:xfrm>
          <a:off x="10668000" y="8448675"/>
          <a:ext cx="0" cy="0"/>
          <a:chOff x="769" y="35"/>
          <a:chExt cx="110" cy="41"/>
        </a:xfrm>
        <a:solidFill>
          <a:srgbClr val="FFFFFF"/>
        </a:solidFill>
      </xdr:grpSpPr>
      <xdr:sp>
        <xdr:nvSpPr>
          <xdr:cNvPr id="56" name="Rectangle 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8" name="Picture 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 name="Rectangle 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60" name="Rectangle 6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61" name="Group 61"/>
        <xdr:cNvGrpSpPr>
          <a:grpSpLocks/>
        </xdr:cNvGrpSpPr>
      </xdr:nvGrpSpPr>
      <xdr:grpSpPr>
        <a:xfrm>
          <a:off x="10668000" y="8448675"/>
          <a:ext cx="0" cy="0"/>
          <a:chOff x="769" y="35"/>
          <a:chExt cx="110" cy="41"/>
        </a:xfrm>
        <a:solidFill>
          <a:srgbClr val="FFFFFF"/>
        </a:solidFill>
      </xdr:grpSpPr>
      <xdr:sp>
        <xdr:nvSpPr>
          <xdr:cNvPr id="6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66" name="Rectangle 6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67" name="Rectangle 6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68" name="Rectangle 6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69" name="Rectangle 6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70" name="Rectangle 7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71" name="Rectangle 7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72" name="Rectangle 7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73" name="Rectangle 7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74" name="Rectangle 7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75" name="Rectangle 7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76" name="Rectangle 7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77" name="Group 77"/>
        <xdr:cNvGrpSpPr>
          <a:grpSpLocks/>
        </xdr:cNvGrpSpPr>
      </xdr:nvGrpSpPr>
      <xdr:grpSpPr>
        <a:xfrm>
          <a:off x="10668000" y="8448675"/>
          <a:ext cx="0" cy="0"/>
          <a:chOff x="769" y="35"/>
          <a:chExt cx="110" cy="41"/>
        </a:xfrm>
        <a:solidFill>
          <a:srgbClr val="FFFFFF"/>
        </a:solidFill>
      </xdr:grpSpPr>
      <xdr:sp>
        <xdr:nvSpPr>
          <xdr:cNvPr id="7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82" name="Rectangle 8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83" name="Group 83"/>
        <xdr:cNvGrpSpPr>
          <a:grpSpLocks/>
        </xdr:cNvGrpSpPr>
      </xdr:nvGrpSpPr>
      <xdr:grpSpPr>
        <a:xfrm>
          <a:off x="10668000" y="8448675"/>
          <a:ext cx="0" cy="0"/>
          <a:chOff x="769" y="35"/>
          <a:chExt cx="110" cy="41"/>
        </a:xfrm>
        <a:solidFill>
          <a:srgbClr val="FFFFFF"/>
        </a:solidFill>
      </xdr:grpSpPr>
      <xdr:sp>
        <xdr:nvSpPr>
          <xdr:cNvPr id="84" name="Rectangle 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 name="Rectangle 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 name="Picture 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 name="Rectangle 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88" name="Rectangle 8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89" name="Rectangle 8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90" name="Rectangle 9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91" name="Rectangle 9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92" name="Rectangle 9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93" name="Rectangle 9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94" name="Rectangle 9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95" name="Rectangle 9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96" name="Rectangle 9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97" name="Rectangle 9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98" name="Group 98"/>
        <xdr:cNvGrpSpPr>
          <a:grpSpLocks/>
        </xdr:cNvGrpSpPr>
      </xdr:nvGrpSpPr>
      <xdr:grpSpPr>
        <a:xfrm>
          <a:off x="10668000" y="8448675"/>
          <a:ext cx="0" cy="0"/>
          <a:chOff x="769" y="35"/>
          <a:chExt cx="110" cy="41"/>
        </a:xfrm>
        <a:solidFill>
          <a:srgbClr val="FFFFFF"/>
        </a:solidFill>
      </xdr:grpSpPr>
      <xdr:sp>
        <xdr:nvSpPr>
          <xdr:cNvPr id="99" name="Rectangle 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 name="Rectangle 1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 name="Picture 1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2" name="Rectangle 1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03" name="Rectangle 10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104" name="Group 104"/>
        <xdr:cNvGrpSpPr>
          <a:grpSpLocks/>
        </xdr:cNvGrpSpPr>
      </xdr:nvGrpSpPr>
      <xdr:grpSpPr>
        <a:xfrm>
          <a:off x="10668000" y="8448675"/>
          <a:ext cx="0" cy="0"/>
          <a:chOff x="769" y="35"/>
          <a:chExt cx="110" cy="41"/>
        </a:xfrm>
        <a:solidFill>
          <a:srgbClr val="FFFFFF"/>
        </a:solidFill>
      </xdr:grpSpPr>
      <xdr:sp>
        <xdr:nvSpPr>
          <xdr:cNvPr id="105" name="Rectangle 1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 name="Rectangle 1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7" name="Picture 1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8" name="Rectangle 1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09" name="Rectangle 10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10" name="Rectangle 11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11" name="Rectangle 11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12" name="Rectangle 11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13" name="Rectangle 11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14" name="Rectangle 11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15" name="Rectangle 11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16" name="Rectangle 11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17" name="Rectangle 11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118" name="Group 118"/>
        <xdr:cNvGrpSpPr>
          <a:grpSpLocks/>
        </xdr:cNvGrpSpPr>
      </xdr:nvGrpSpPr>
      <xdr:grpSpPr>
        <a:xfrm>
          <a:off x="10668000" y="8448675"/>
          <a:ext cx="0" cy="0"/>
          <a:chOff x="769" y="35"/>
          <a:chExt cx="110" cy="41"/>
        </a:xfrm>
        <a:solidFill>
          <a:srgbClr val="FFFFFF"/>
        </a:solidFill>
      </xdr:grpSpPr>
      <xdr:sp>
        <xdr:nvSpPr>
          <xdr:cNvPr id="119" name="Rectangle 1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1" name="Picture 1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2" name="Rectangle 1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23" name="Rectangle 12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124" name="Group 124"/>
        <xdr:cNvGrpSpPr>
          <a:grpSpLocks/>
        </xdr:cNvGrpSpPr>
      </xdr:nvGrpSpPr>
      <xdr:grpSpPr>
        <a:xfrm>
          <a:off x="10668000" y="8448675"/>
          <a:ext cx="0" cy="0"/>
          <a:chOff x="769" y="35"/>
          <a:chExt cx="110" cy="41"/>
        </a:xfrm>
        <a:solidFill>
          <a:srgbClr val="FFFFFF"/>
        </a:solidFill>
      </xdr:grpSpPr>
      <xdr:sp>
        <xdr:nvSpPr>
          <xdr:cNvPr id="125" name="Rectangle 1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6" name="Rectangle 1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7" name="Picture 1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8" name="Rectangle 1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29" name="Rectangle 12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30" name="Rectangle 13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31" name="Rectangle 13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32" name="Rectangle 13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33" name="Rectangle 13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34" name="Rectangle 13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35" name="Rectangle 13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36" name="Rectangle 13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37" name="Rectangle 13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138" name="Group 138"/>
        <xdr:cNvGrpSpPr>
          <a:grpSpLocks/>
        </xdr:cNvGrpSpPr>
      </xdr:nvGrpSpPr>
      <xdr:grpSpPr>
        <a:xfrm>
          <a:off x="10668000" y="8448675"/>
          <a:ext cx="0" cy="0"/>
          <a:chOff x="769" y="35"/>
          <a:chExt cx="110" cy="41"/>
        </a:xfrm>
        <a:solidFill>
          <a:srgbClr val="FFFFFF"/>
        </a:solidFill>
      </xdr:grpSpPr>
      <xdr:sp>
        <xdr:nvSpPr>
          <xdr:cNvPr id="139" name="Rectangle 13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1" name="Picture 14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2" name="Rectangle 14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43" name="Rectangle 14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144" name="Group 144"/>
        <xdr:cNvGrpSpPr>
          <a:grpSpLocks/>
        </xdr:cNvGrpSpPr>
      </xdr:nvGrpSpPr>
      <xdr:grpSpPr>
        <a:xfrm>
          <a:off x="10668000" y="8448675"/>
          <a:ext cx="0" cy="0"/>
          <a:chOff x="769" y="35"/>
          <a:chExt cx="110" cy="41"/>
        </a:xfrm>
        <a:solidFill>
          <a:srgbClr val="FFFFFF"/>
        </a:solidFill>
      </xdr:grpSpPr>
      <xdr:sp>
        <xdr:nvSpPr>
          <xdr:cNvPr id="145" name="Rectangle 1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7" name="Picture 1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8" name="Rectangle 1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49" name="Rectangle 14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0" name="Rectangle 15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1" name="Rectangle 15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2" name="Rectangle 15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3" name="Rectangle 15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4" name="Rectangle 15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5" name="Rectangle 15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6" name="Rectangle 15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57" name="Rectangle 15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158" name="Group 158"/>
        <xdr:cNvGrpSpPr>
          <a:grpSpLocks/>
        </xdr:cNvGrpSpPr>
      </xdr:nvGrpSpPr>
      <xdr:grpSpPr>
        <a:xfrm>
          <a:off x="10668000" y="8448675"/>
          <a:ext cx="0" cy="0"/>
          <a:chOff x="769" y="35"/>
          <a:chExt cx="110" cy="41"/>
        </a:xfrm>
        <a:solidFill>
          <a:srgbClr val="FFFFFF"/>
        </a:solidFill>
      </xdr:grpSpPr>
      <xdr:sp>
        <xdr:nvSpPr>
          <xdr:cNvPr id="159" name="Rectangle 1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0" name="Rectangle 1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1" name="Picture 1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2" name="Rectangle 1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63" name="Rectangle 16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164" name="Group 164"/>
        <xdr:cNvGrpSpPr>
          <a:grpSpLocks/>
        </xdr:cNvGrpSpPr>
      </xdr:nvGrpSpPr>
      <xdr:grpSpPr>
        <a:xfrm>
          <a:off x="10668000" y="8448675"/>
          <a:ext cx="0" cy="0"/>
          <a:chOff x="769" y="35"/>
          <a:chExt cx="110" cy="41"/>
        </a:xfrm>
        <a:solidFill>
          <a:srgbClr val="FFFFFF"/>
        </a:solidFill>
      </xdr:grpSpPr>
      <xdr:sp>
        <xdr:nvSpPr>
          <xdr:cNvPr id="165" name="Rectangle 1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6" name="Rectangle 1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7" name="Picture 1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8" name="Rectangle 1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169" name="Rectangle 16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0" name="Rectangle 17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1" name="Rectangle 17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2" name="Rectangle 17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3" name="Rectangle 17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4" name="Rectangle 17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5" name="Rectangle 17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6" name="Rectangle 17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7" name="Rectangle 17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8" name="Rectangle 17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79" name="Rectangle 17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80" name="Rectangle 18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81" name="Rectangle 18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82" name="Rectangle 18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83" name="Rectangle 18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84" name="Rectangle 18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185" name="Rectangle 18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186" name="Group 186"/>
        <xdr:cNvGrpSpPr>
          <a:grpSpLocks/>
        </xdr:cNvGrpSpPr>
      </xdr:nvGrpSpPr>
      <xdr:grpSpPr>
        <a:xfrm>
          <a:off x="10668000" y="7934325"/>
          <a:ext cx="0" cy="0"/>
          <a:chOff x="769" y="35"/>
          <a:chExt cx="110" cy="41"/>
        </a:xfrm>
        <a:solidFill>
          <a:srgbClr val="FFFFFF"/>
        </a:solidFill>
      </xdr:grpSpPr>
      <xdr:sp>
        <xdr:nvSpPr>
          <xdr:cNvPr id="187" name="Rectangle 1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8" name="Rectangle 1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9" name="Picture 1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0" name="Rectangle 1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191" name="Rectangle 19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192" name="Group 192"/>
        <xdr:cNvGrpSpPr>
          <a:grpSpLocks/>
        </xdr:cNvGrpSpPr>
      </xdr:nvGrpSpPr>
      <xdr:grpSpPr>
        <a:xfrm>
          <a:off x="10668000" y="7934325"/>
          <a:ext cx="0" cy="0"/>
          <a:chOff x="769" y="35"/>
          <a:chExt cx="110" cy="41"/>
        </a:xfrm>
        <a:solidFill>
          <a:srgbClr val="FFFFFF"/>
        </a:solidFill>
      </xdr:grpSpPr>
      <xdr:sp>
        <xdr:nvSpPr>
          <xdr:cNvPr id="193" name="Rectangle 1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4" name="Rectangle 1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5" name="Picture 1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6" name="Rectangle 1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197" name="Rectangle 19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198" name="Rectangle 19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199" name="Rectangle 19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0" name="Rectangle 20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1" name="Rectangle 20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2" name="Rectangle 20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3" name="Rectangle 20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4" name="Rectangle 20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05" name="Rectangle 20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06" name="Rectangle 20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07" name="Rectangle 20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208" name="Group 208"/>
        <xdr:cNvGrpSpPr>
          <a:grpSpLocks/>
        </xdr:cNvGrpSpPr>
      </xdr:nvGrpSpPr>
      <xdr:grpSpPr>
        <a:xfrm>
          <a:off x="10668000" y="8448675"/>
          <a:ext cx="0" cy="0"/>
          <a:chOff x="769" y="35"/>
          <a:chExt cx="110" cy="41"/>
        </a:xfrm>
        <a:solidFill>
          <a:srgbClr val="FFFFFF"/>
        </a:solidFill>
      </xdr:grpSpPr>
      <xdr:sp>
        <xdr:nvSpPr>
          <xdr:cNvPr id="209" name="Rectangle 20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10" name="Rectangle 2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11" name="Picture 2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12" name="Rectangle 2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213" name="Rectangle 21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14" name="Rectangle 21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15" name="Rectangle 21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16" name="Rectangle 21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17" name="Rectangle 21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18" name="Rectangle 21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19" name="Rectangle 21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20" name="Rectangle 22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21" name="Rectangle 22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22" name="Group 222"/>
        <xdr:cNvGrpSpPr>
          <a:grpSpLocks/>
        </xdr:cNvGrpSpPr>
      </xdr:nvGrpSpPr>
      <xdr:grpSpPr>
        <a:xfrm>
          <a:off x="10668000" y="7934325"/>
          <a:ext cx="0" cy="0"/>
          <a:chOff x="769" y="35"/>
          <a:chExt cx="110" cy="41"/>
        </a:xfrm>
        <a:solidFill>
          <a:srgbClr val="FFFFFF"/>
        </a:solidFill>
      </xdr:grpSpPr>
      <xdr:sp>
        <xdr:nvSpPr>
          <xdr:cNvPr id="223" name="Rectangle 2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24" name="Rectangle 2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25" name="Picture 22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26" name="Rectangle 2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27" name="Rectangle 22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28" name="Group 228"/>
        <xdr:cNvGrpSpPr>
          <a:grpSpLocks/>
        </xdr:cNvGrpSpPr>
      </xdr:nvGrpSpPr>
      <xdr:grpSpPr>
        <a:xfrm>
          <a:off x="10668000" y="7934325"/>
          <a:ext cx="0" cy="0"/>
          <a:chOff x="769" y="35"/>
          <a:chExt cx="110" cy="41"/>
        </a:xfrm>
        <a:solidFill>
          <a:srgbClr val="FFFFFF"/>
        </a:solidFill>
      </xdr:grpSpPr>
      <xdr:sp>
        <xdr:nvSpPr>
          <xdr:cNvPr id="229" name="Rectangle 2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0" name="Rectangle 2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31" name="Picture 2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32" name="Rectangle 2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33" name="Rectangle 23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4" name="Rectangle 23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5" name="Rectangle 23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6" name="Rectangle 236"/>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7" name="Rectangle 23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8" name="Rectangle 23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39" name="Rectangle 23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40" name="Rectangle 24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41" name="Rectangle 24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42" name="Rectangle 24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43" name="Rectangle 24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244" name="Group 244"/>
        <xdr:cNvGrpSpPr>
          <a:grpSpLocks/>
        </xdr:cNvGrpSpPr>
      </xdr:nvGrpSpPr>
      <xdr:grpSpPr>
        <a:xfrm>
          <a:off x="10668000" y="8448675"/>
          <a:ext cx="0" cy="0"/>
          <a:chOff x="769" y="35"/>
          <a:chExt cx="110" cy="41"/>
        </a:xfrm>
        <a:solidFill>
          <a:srgbClr val="FFFFFF"/>
        </a:solidFill>
      </xdr:grpSpPr>
      <xdr:sp>
        <xdr:nvSpPr>
          <xdr:cNvPr id="245" name="Rectangle 2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6" name="Rectangle 2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7" name="Picture 2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48" name="Rectangle 2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249" name="Rectangle 24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0" name="Rectangle 25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1" name="Rectangle 25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2" name="Rectangle 25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3" name="Rectangle 25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4" name="Rectangle 25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5" name="Rectangle 25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6" name="Rectangle 25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257" name="Rectangle 25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58" name="Group 258"/>
        <xdr:cNvGrpSpPr>
          <a:grpSpLocks/>
        </xdr:cNvGrpSpPr>
      </xdr:nvGrpSpPr>
      <xdr:grpSpPr>
        <a:xfrm>
          <a:off x="10668000" y="7934325"/>
          <a:ext cx="0" cy="0"/>
          <a:chOff x="769" y="35"/>
          <a:chExt cx="110" cy="41"/>
        </a:xfrm>
        <a:solidFill>
          <a:srgbClr val="FFFFFF"/>
        </a:solidFill>
      </xdr:grpSpPr>
      <xdr:sp>
        <xdr:nvSpPr>
          <xdr:cNvPr id="259" name="Rectangle 2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0" name="Rectangle 2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1" name="Picture 2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2" name="Rectangle 2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63" name="Rectangle 26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64" name="Group 264"/>
        <xdr:cNvGrpSpPr>
          <a:grpSpLocks/>
        </xdr:cNvGrpSpPr>
      </xdr:nvGrpSpPr>
      <xdr:grpSpPr>
        <a:xfrm>
          <a:off x="10668000" y="7934325"/>
          <a:ext cx="0" cy="0"/>
          <a:chOff x="769" y="35"/>
          <a:chExt cx="110" cy="41"/>
        </a:xfrm>
        <a:solidFill>
          <a:srgbClr val="FFFFFF"/>
        </a:solidFill>
      </xdr:grpSpPr>
      <xdr:sp>
        <xdr:nvSpPr>
          <xdr:cNvPr id="265" name="Rectangle 2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6" name="Rectangle 2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7" name="Picture 2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8" name="Rectangle 2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69" name="Rectangle 26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0" name="Rectangle 27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1" name="Rectangle 27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2" name="Rectangle 27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3" name="Rectangle 27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4" name="Rectangle 27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5" name="Rectangle 27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6" name="Rectangle 276"/>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77" name="Rectangle 27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78" name="Group 278"/>
        <xdr:cNvGrpSpPr>
          <a:grpSpLocks/>
        </xdr:cNvGrpSpPr>
      </xdr:nvGrpSpPr>
      <xdr:grpSpPr>
        <a:xfrm>
          <a:off x="10668000" y="7934325"/>
          <a:ext cx="0" cy="0"/>
          <a:chOff x="769" y="35"/>
          <a:chExt cx="110" cy="41"/>
        </a:xfrm>
        <a:solidFill>
          <a:srgbClr val="FFFFFF"/>
        </a:solidFill>
      </xdr:grpSpPr>
      <xdr:sp>
        <xdr:nvSpPr>
          <xdr:cNvPr id="279" name="Rectangle 27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0" name="Rectangle 28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1" name="Picture 28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2" name="Rectangle 28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83" name="Rectangle 28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84" name="Group 284"/>
        <xdr:cNvGrpSpPr>
          <a:grpSpLocks/>
        </xdr:cNvGrpSpPr>
      </xdr:nvGrpSpPr>
      <xdr:grpSpPr>
        <a:xfrm>
          <a:off x="10668000" y="7934325"/>
          <a:ext cx="0" cy="0"/>
          <a:chOff x="769" y="35"/>
          <a:chExt cx="110" cy="41"/>
        </a:xfrm>
        <a:solidFill>
          <a:srgbClr val="FFFFFF"/>
        </a:solidFill>
      </xdr:grpSpPr>
      <xdr:sp>
        <xdr:nvSpPr>
          <xdr:cNvPr id="285" name="Rectangle 2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6" name="Rectangle 2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7" name="Picture 2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8" name="Rectangle 2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289" name="Rectangle 28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0" name="Rectangle 29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1" name="Rectangle 29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2" name="Rectangle 29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3" name="Rectangle 29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4" name="Rectangle 29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5" name="Rectangle 29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6" name="Rectangle 296"/>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297" name="Rectangle 29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298" name="Group 298"/>
        <xdr:cNvGrpSpPr>
          <a:grpSpLocks/>
        </xdr:cNvGrpSpPr>
      </xdr:nvGrpSpPr>
      <xdr:grpSpPr>
        <a:xfrm>
          <a:off x="10668000" y="7934325"/>
          <a:ext cx="0" cy="0"/>
          <a:chOff x="769" y="35"/>
          <a:chExt cx="110" cy="41"/>
        </a:xfrm>
        <a:solidFill>
          <a:srgbClr val="FFFFFF"/>
        </a:solidFill>
      </xdr:grpSpPr>
      <xdr:sp>
        <xdr:nvSpPr>
          <xdr:cNvPr id="299" name="Rectangle 2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0" name="Rectangle 3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1" name="Picture 3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2" name="Rectangle 3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03" name="Rectangle 30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04" name="Group 304"/>
        <xdr:cNvGrpSpPr>
          <a:grpSpLocks/>
        </xdr:cNvGrpSpPr>
      </xdr:nvGrpSpPr>
      <xdr:grpSpPr>
        <a:xfrm>
          <a:off x="10668000" y="7934325"/>
          <a:ext cx="0" cy="0"/>
          <a:chOff x="769" y="35"/>
          <a:chExt cx="110" cy="41"/>
        </a:xfrm>
        <a:solidFill>
          <a:srgbClr val="FFFFFF"/>
        </a:solidFill>
      </xdr:grpSpPr>
      <xdr:sp>
        <xdr:nvSpPr>
          <xdr:cNvPr id="305" name="Rectangle 3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6" name="Rectangle 3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7" name="Picture 3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8" name="Rectangle 3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09" name="Rectangle 30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0" name="Rectangle 31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1" name="Rectangle 31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2" name="Rectangle 31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3" name="Rectangle 31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4" name="Rectangle 31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5" name="Rectangle 31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6" name="Rectangle 316"/>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17" name="Rectangle 31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18" name="Group 318"/>
        <xdr:cNvGrpSpPr>
          <a:grpSpLocks/>
        </xdr:cNvGrpSpPr>
      </xdr:nvGrpSpPr>
      <xdr:grpSpPr>
        <a:xfrm>
          <a:off x="10668000" y="7934325"/>
          <a:ext cx="0" cy="0"/>
          <a:chOff x="769" y="35"/>
          <a:chExt cx="110" cy="41"/>
        </a:xfrm>
        <a:solidFill>
          <a:srgbClr val="FFFFFF"/>
        </a:solidFill>
      </xdr:grpSpPr>
      <xdr:sp>
        <xdr:nvSpPr>
          <xdr:cNvPr id="319" name="Rectangle 3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0" name="Rectangle 3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1" name="Picture 3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2" name="Rectangle 3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23" name="Rectangle 32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24" name="Group 324"/>
        <xdr:cNvGrpSpPr>
          <a:grpSpLocks/>
        </xdr:cNvGrpSpPr>
      </xdr:nvGrpSpPr>
      <xdr:grpSpPr>
        <a:xfrm>
          <a:off x="10668000" y="7934325"/>
          <a:ext cx="0" cy="0"/>
          <a:chOff x="769" y="35"/>
          <a:chExt cx="110" cy="41"/>
        </a:xfrm>
        <a:solidFill>
          <a:srgbClr val="FFFFFF"/>
        </a:solidFill>
      </xdr:grpSpPr>
      <xdr:sp>
        <xdr:nvSpPr>
          <xdr:cNvPr id="325" name="Rectangle 3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6" name="Rectangle 3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7" name="Picture 3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8" name="Rectangle 3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29" name="Rectangle 32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0" name="Rectangle 33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1" name="Rectangle 33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2" name="Rectangle 33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3" name="Rectangle 33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4" name="Rectangle 33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5" name="Rectangle 33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6" name="Rectangle 336"/>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7" name="Rectangle 33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8" name="Rectangle 33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39" name="Rectangle 33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40" name="Rectangle 34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41" name="Rectangle 34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342" name="Rectangle 34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343" name="Rectangle 34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344" name="Rectangle 34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345" name="Rectangle 34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46" name="Group 346"/>
        <xdr:cNvGrpSpPr>
          <a:grpSpLocks/>
        </xdr:cNvGrpSpPr>
      </xdr:nvGrpSpPr>
      <xdr:grpSpPr>
        <a:xfrm>
          <a:off x="10668000" y="7934325"/>
          <a:ext cx="0" cy="0"/>
          <a:chOff x="769" y="35"/>
          <a:chExt cx="110" cy="41"/>
        </a:xfrm>
        <a:solidFill>
          <a:srgbClr val="FFFFFF"/>
        </a:solidFill>
      </xdr:grpSpPr>
      <xdr:sp>
        <xdr:nvSpPr>
          <xdr:cNvPr id="347" name="Rectangle 3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48" name="Rectangle 3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9" name="Picture 3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0" name="Rectangle 3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51" name="Rectangle 35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52" name="Group 352"/>
        <xdr:cNvGrpSpPr>
          <a:grpSpLocks/>
        </xdr:cNvGrpSpPr>
      </xdr:nvGrpSpPr>
      <xdr:grpSpPr>
        <a:xfrm>
          <a:off x="10668000" y="7934325"/>
          <a:ext cx="0" cy="0"/>
          <a:chOff x="769" y="35"/>
          <a:chExt cx="110" cy="41"/>
        </a:xfrm>
        <a:solidFill>
          <a:srgbClr val="FFFFFF"/>
        </a:solidFill>
      </xdr:grpSpPr>
      <xdr:sp>
        <xdr:nvSpPr>
          <xdr:cNvPr id="353" name="Rectangle 3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54" name="Rectangle 3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55" name="Picture 3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6" name="Rectangle 3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57" name="Rectangle 35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58" name="Rectangle 35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59" name="Rectangle 35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0" name="Rectangle 36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1" name="Rectangle 36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2" name="Rectangle 36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3" name="Rectangle 36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4" name="Rectangle 36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65" name="Rectangle 36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66" name="Group 366"/>
        <xdr:cNvGrpSpPr>
          <a:grpSpLocks/>
        </xdr:cNvGrpSpPr>
      </xdr:nvGrpSpPr>
      <xdr:grpSpPr>
        <a:xfrm>
          <a:off x="10668000" y="7934325"/>
          <a:ext cx="0" cy="0"/>
          <a:chOff x="769" y="35"/>
          <a:chExt cx="110" cy="41"/>
        </a:xfrm>
        <a:solidFill>
          <a:srgbClr val="FFFFFF"/>
        </a:solidFill>
      </xdr:grpSpPr>
      <xdr:sp>
        <xdr:nvSpPr>
          <xdr:cNvPr id="367" name="Rectangle 36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8" name="Rectangle 36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69" name="Picture 36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0" name="Rectangle 37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71" name="Rectangle 37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72" name="Group 372"/>
        <xdr:cNvGrpSpPr>
          <a:grpSpLocks/>
        </xdr:cNvGrpSpPr>
      </xdr:nvGrpSpPr>
      <xdr:grpSpPr>
        <a:xfrm>
          <a:off x="10668000" y="7934325"/>
          <a:ext cx="0" cy="0"/>
          <a:chOff x="769" y="35"/>
          <a:chExt cx="110" cy="41"/>
        </a:xfrm>
        <a:solidFill>
          <a:srgbClr val="FFFFFF"/>
        </a:solidFill>
      </xdr:grpSpPr>
      <xdr:sp>
        <xdr:nvSpPr>
          <xdr:cNvPr id="373" name="Rectangle 37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4" name="Rectangle 37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75" name="Picture 37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6" name="Rectangle 37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77" name="Rectangle 37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78" name="Rectangle 37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79" name="Rectangle 37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0" name="Rectangle 38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1" name="Rectangle 38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2" name="Rectangle 38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3" name="Rectangle 38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4" name="Rectangle 38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85" name="Rectangle 38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86" name="Group 386"/>
        <xdr:cNvGrpSpPr>
          <a:grpSpLocks/>
        </xdr:cNvGrpSpPr>
      </xdr:nvGrpSpPr>
      <xdr:grpSpPr>
        <a:xfrm>
          <a:off x="10668000" y="7934325"/>
          <a:ext cx="0" cy="0"/>
          <a:chOff x="769" y="35"/>
          <a:chExt cx="110" cy="41"/>
        </a:xfrm>
        <a:solidFill>
          <a:srgbClr val="FFFFFF"/>
        </a:solidFill>
      </xdr:grpSpPr>
      <xdr:sp>
        <xdr:nvSpPr>
          <xdr:cNvPr id="387" name="Rectangle 3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8" name="Rectangle 3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9" name="Picture 3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0" name="Rectangle 3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91" name="Rectangle 39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392" name="Group 392"/>
        <xdr:cNvGrpSpPr>
          <a:grpSpLocks/>
        </xdr:cNvGrpSpPr>
      </xdr:nvGrpSpPr>
      <xdr:grpSpPr>
        <a:xfrm>
          <a:off x="10668000" y="7934325"/>
          <a:ext cx="0" cy="0"/>
          <a:chOff x="769" y="35"/>
          <a:chExt cx="110" cy="41"/>
        </a:xfrm>
        <a:solidFill>
          <a:srgbClr val="FFFFFF"/>
        </a:solidFill>
      </xdr:grpSpPr>
      <xdr:sp>
        <xdr:nvSpPr>
          <xdr:cNvPr id="393" name="Rectangle 3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4" name="Rectangle 3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5" name="Picture 3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6" name="Rectangle 3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397" name="Rectangle 39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98" name="Rectangle 39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399" name="Rectangle 39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0" name="Rectangle 40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1" name="Rectangle 40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2" name="Rectangle 40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3" name="Rectangle 40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4" name="Rectangle 40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05" name="Rectangle 40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06" name="Group 406"/>
        <xdr:cNvGrpSpPr>
          <a:grpSpLocks/>
        </xdr:cNvGrpSpPr>
      </xdr:nvGrpSpPr>
      <xdr:grpSpPr>
        <a:xfrm>
          <a:off x="10668000" y="7934325"/>
          <a:ext cx="0" cy="0"/>
          <a:chOff x="769" y="35"/>
          <a:chExt cx="110" cy="41"/>
        </a:xfrm>
        <a:solidFill>
          <a:srgbClr val="FFFFFF"/>
        </a:solidFill>
      </xdr:grpSpPr>
      <xdr:sp>
        <xdr:nvSpPr>
          <xdr:cNvPr id="407" name="Rectangle 40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8" name="Rectangle 40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9" name="Picture 40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0" name="Rectangle 4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11" name="Rectangle 41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12" name="Group 412"/>
        <xdr:cNvGrpSpPr>
          <a:grpSpLocks/>
        </xdr:cNvGrpSpPr>
      </xdr:nvGrpSpPr>
      <xdr:grpSpPr>
        <a:xfrm>
          <a:off x="10668000" y="7934325"/>
          <a:ext cx="0" cy="0"/>
          <a:chOff x="769" y="35"/>
          <a:chExt cx="110" cy="41"/>
        </a:xfrm>
        <a:solidFill>
          <a:srgbClr val="FFFFFF"/>
        </a:solidFill>
      </xdr:grpSpPr>
      <xdr:sp>
        <xdr:nvSpPr>
          <xdr:cNvPr id="413" name="Rectangle 4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4" name="Rectangle 4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15" name="Picture 4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6" name="Rectangle 4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17" name="Rectangle 41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18" name="Rectangle 41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19" name="Rectangle 41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0" name="Rectangle 42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1" name="Rectangle 42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2" name="Rectangle 42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3" name="Rectangle 42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4" name="Rectangle 42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25" name="Rectangle 42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26" name="Group 426"/>
        <xdr:cNvGrpSpPr>
          <a:grpSpLocks/>
        </xdr:cNvGrpSpPr>
      </xdr:nvGrpSpPr>
      <xdr:grpSpPr>
        <a:xfrm>
          <a:off x="10668000" y="7934325"/>
          <a:ext cx="0" cy="0"/>
          <a:chOff x="769" y="35"/>
          <a:chExt cx="110" cy="41"/>
        </a:xfrm>
        <a:solidFill>
          <a:srgbClr val="FFFFFF"/>
        </a:solidFill>
      </xdr:grpSpPr>
      <xdr:sp>
        <xdr:nvSpPr>
          <xdr:cNvPr id="427" name="Rectangle 4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8" name="Rectangle 4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29" name="Picture 4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0" name="Rectangle 4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31" name="Rectangle 43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32" name="Group 432"/>
        <xdr:cNvGrpSpPr>
          <a:grpSpLocks/>
        </xdr:cNvGrpSpPr>
      </xdr:nvGrpSpPr>
      <xdr:grpSpPr>
        <a:xfrm>
          <a:off x="10668000" y="7934325"/>
          <a:ext cx="0" cy="0"/>
          <a:chOff x="769" y="35"/>
          <a:chExt cx="110" cy="41"/>
        </a:xfrm>
        <a:solidFill>
          <a:srgbClr val="FFFFFF"/>
        </a:solidFill>
      </xdr:grpSpPr>
      <xdr:sp>
        <xdr:nvSpPr>
          <xdr:cNvPr id="433" name="Rectangle 4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4" name="Rectangle 4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5" name="Picture 4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6" name="Rectangle 4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37" name="Rectangle 43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38" name="Rectangle 43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39" name="Rectangle 43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0" name="Rectangle 44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1" name="Rectangle 44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2" name="Rectangle 44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3" name="Rectangle 44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4" name="Rectangle 44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45" name="Rectangle 44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46" name="Group 446"/>
        <xdr:cNvGrpSpPr>
          <a:grpSpLocks/>
        </xdr:cNvGrpSpPr>
      </xdr:nvGrpSpPr>
      <xdr:grpSpPr>
        <a:xfrm>
          <a:off x="10668000" y="7934325"/>
          <a:ext cx="0" cy="0"/>
          <a:chOff x="769" y="35"/>
          <a:chExt cx="110" cy="41"/>
        </a:xfrm>
        <a:solidFill>
          <a:srgbClr val="FFFFFF"/>
        </a:solidFill>
      </xdr:grpSpPr>
      <xdr:sp>
        <xdr:nvSpPr>
          <xdr:cNvPr id="447" name="Rectangle 4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48" name="Rectangle 4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9" name="Picture 4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0" name="Rectangle 4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51" name="Rectangle 45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grpSp>
      <xdr:nvGrpSpPr>
        <xdr:cNvPr id="452" name="Group 452"/>
        <xdr:cNvGrpSpPr>
          <a:grpSpLocks/>
        </xdr:cNvGrpSpPr>
      </xdr:nvGrpSpPr>
      <xdr:grpSpPr>
        <a:xfrm>
          <a:off x="10668000" y="7934325"/>
          <a:ext cx="0" cy="0"/>
          <a:chOff x="769" y="35"/>
          <a:chExt cx="110" cy="41"/>
        </a:xfrm>
        <a:solidFill>
          <a:srgbClr val="FFFFFF"/>
        </a:solidFill>
      </xdr:grpSpPr>
      <xdr:sp>
        <xdr:nvSpPr>
          <xdr:cNvPr id="453" name="Rectangle 4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54" name="Rectangle 4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55" name="Picture 4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6" name="Rectangle 4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42</xdr:row>
      <xdr:rowOff>0</xdr:rowOff>
    </xdr:from>
    <xdr:to>
      <xdr:col>13</xdr:col>
      <xdr:colOff>0</xdr:colOff>
      <xdr:row>42</xdr:row>
      <xdr:rowOff>0</xdr:rowOff>
    </xdr:to>
    <xdr:sp>
      <xdr:nvSpPr>
        <xdr:cNvPr id="457" name="Rectangle 45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58" name="Rectangle 45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59" name="Rectangle 45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0" name="Rectangle 460"/>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1" name="Rectangle 461"/>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2" name="Rectangle 462"/>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3" name="Rectangle 463"/>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4" name="Rectangle 464"/>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5" name="Rectangle 465"/>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6" name="Rectangle 466"/>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7" name="Rectangle 467"/>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8" name="Rectangle 468"/>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42</xdr:row>
      <xdr:rowOff>0</xdr:rowOff>
    </xdr:from>
    <xdr:to>
      <xdr:col>13</xdr:col>
      <xdr:colOff>0</xdr:colOff>
      <xdr:row>42</xdr:row>
      <xdr:rowOff>0</xdr:rowOff>
    </xdr:to>
    <xdr:sp>
      <xdr:nvSpPr>
        <xdr:cNvPr id="469" name="Rectangle 469"/>
        <xdr:cNvSpPr>
          <a:spLocks/>
        </xdr:cNvSpPr>
      </xdr:nvSpPr>
      <xdr:spPr>
        <a:xfrm>
          <a:off x="10668000" y="7934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0" name="Rectangle 47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1" name="Rectangle 47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2" name="Rectangle 47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3" name="Rectangle 47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4" name="Rectangle 47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5" name="Rectangle 47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6" name="Rectangle 47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7" name="Rectangle 47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8" name="Rectangle 47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79" name="Rectangle 47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80" name="Rectangle 48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81" name="Rectangle 48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82" name="Rectangle 48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83" name="Rectangle 48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484" name="Group 484"/>
        <xdr:cNvGrpSpPr>
          <a:grpSpLocks/>
        </xdr:cNvGrpSpPr>
      </xdr:nvGrpSpPr>
      <xdr:grpSpPr>
        <a:xfrm>
          <a:off x="10668000" y="8448675"/>
          <a:ext cx="0" cy="0"/>
          <a:chOff x="769" y="35"/>
          <a:chExt cx="110" cy="41"/>
        </a:xfrm>
        <a:solidFill>
          <a:srgbClr val="FFFFFF"/>
        </a:solidFill>
      </xdr:grpSpPr>
      <xdr:sp>
        <xdr:nvSpPr>
          <xdr:cNvPr id="485" name="Rectangle 4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6" name="Rectangle 4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87" name="Picture 4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88" name="Rectangle 4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489" name="Rectangle 48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0" name="Rectangle 49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1" name="Rectangle 49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2" name="Rectangle 49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3" name="Rectangle 49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4" name="Rectangle 49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5" name="Rectangle 49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6" name="Rectangle 49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7" name="Rectangle 49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8" name="Rectangle 49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499" name="Rectangle 49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grpSp>
      <xdr:nvGrpSpPr>
        <xdr:cNvPr id="500" name="Group 500"/>
        <xdr:cNvGrpSpPr>
          <a:grpSpLocks/>
        </xdr:cNvGrpSpPr>
      </xdr:nvGrpSpPr>
      <xdr:grpSpPr>
        <a:xfrm>
          <a:off x="10668000" y="8448675"/>
          <a:ext cx="0" cy="0"/>
          <a:chOff x="769" y="35"/>
          <a:chExt cx="110" cy="41"/>
        </a:xfrm>
        <a:solidFill>
          <a:srgbClr val="FFFFFF"/>
        </a:solidFill>
      </xdr:grpSpPr>
      <xdr:sp>
        <xdr:nvSpPr>
          <xdr:cNvPr id="501" name="Rectangle 50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02" name="Rectangle 50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3" name="Picture 50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04" name="Rectangle 50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45</xdr:row>
      <xdr:rowOff>0</xdr:rowOff>
    </xdr:from>
    <xdr:to>
      <xdr:col>13</xdr:col>
      <xdr:colOff>0</xdr:colOff>
      <xdr:row>45</xdr:row>
      <xdr:rowOff>0</xdr:rowOff>
    </xdr:to>
    <xdr:sp>
      <xdr:nvSpPr>
        <xdr:cNvPr id="505" name="Rectangle 50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06" name="Rectangle 50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07" name="Rectangle 50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08" name="Rectangle 50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09" name="Rectangle 50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0" name="Rectangle 51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1" name="Rectangle 51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2" name="Rectangle 51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3" name="Rectangle 51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4" name="Rectangle 51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5" name="Rectangle 51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6" name="Rectangle 51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7" name="Rectangle 51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8" name="Rectangle 51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19" name="Rectangle 51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0" name="Rectangle 52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1" name="Rectangle 52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2" name="Rectangle 52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3" name="Rectangle 52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4" name="Rectangle 52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5" name="Rectangle 52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6" name="Rectangle 52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7" name="Rectangle 52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8" name="Rectangle 52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29" name="Rectangle 52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0" name="Rectangle 53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1" name="Rectangle 53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2" name="Rectangle 53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3" name="Rectangle 53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4" name="Rectangle 53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5" name="Rectangle 53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6" name="Rectangle 53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7" name="Rectangle 53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8" name="Rectangle 53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39" name="Rectangle 53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0" name="Rectangle 54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1" name="Rectangle 54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2" name="Rectangle 542"/>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3" name="Rectangle 543"/>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4" name="Rectangle 544"/>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5" name="Rectangle 545"/>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6" name="Rectangle 546"/>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7" name="Rectangle 547"/>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8" name="Rectangle 548"/>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49" name="Rectangle 549"/>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50" name="Rectangle 550"/>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0</xdr:rowOff>
    </xdr:from>
    <xdr:to>
      <xdr:col>13</xdr:col>
      <xdr:colOff>0</xdr:colOff>
      <xdr:row>45</xdr:row>
      <xdr:rowOff>0</xdr:rowOff>
    </xdr:to>
    <xdr:sp>
      <xdr:nvSpPr>
        <xdr:cNvPr id="551" name="Rectangle 551"/>
        <xdr:cNvSpPr>
          <a:spLocks/>
        </xdr:cNvSpPr>
      </xdr:nvSpPr>
      <xdr:spPr>
        <a:xfrm>
          <a:off x="10668000" y="8448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2" name="Rectangle 554"/>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3" name="Rectangle 555"/>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4" name="Rectangle 556"/>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5" name="Rectangle 557"/>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6" name="Rectangle 558"/>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7" name="Rectangle 559"/>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0</xdr:rowOff>
    </xdr:from>
    <xdr:to>
      <xdr:col>2</xdr:col>
      <xdr:colOff>180975</xdr:colOff>
      <xdr:row>14</xdr:row>
      <xdr:rowOff>0</xdr:rowOff>
    </xdr:to>
    <xdr:sp>
      <xdr:nvSpPr>
        <xdr:cNvPr id="558" name="Rectangle 560"/>
        <xdr:cNvSpPr>
          <a:spLocks/>
        </xdr:cNvSpPr>
      </xdr:nvSpPr>
      <xdr:spPr>
        <a:xfrm>
          <a:off x="1228725" y="25908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18</xdr:row>
      <xdr:rowOff>47625</xdr:rowOff>
    </xdr:from>
    <xdr:to>
      <xdr:col>2</xdr:col>
      <xdr:colOff>180975</xdr:colOff>
      <xdr:row>18</xdr:row>
      <xdr:rowOff>123825</xdr:rowOff>
    </xdr:to>
    <xdr:sp>
      <xdr:nvSpPr>
        <xdr:cNvPr id="559" name="Rectangle 561"/>
        <xdr:cNvSpPr>
          <a:spLocks/>
        </xdr:cNvSpPr>
      </xdr:nvSpPr>
      <xdr:spPr>
        <a:xfrm>
          <a:off x="1228725" y="33242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18</xdr:row>
      <xdr:rowOff>0</xdr:rowOff>
    </xdr:from>
    <xdr:to>
      <xdr:col>2</xdr:col>
      <xdr:colOff>180975</xdr:colOff>
      <xdr:row>18</xdr:row>
      <xdr:rowOff>0</xdr:rowOff>
    </xdr:to>
    <xdr:sp>
      <xdr:nvSpPr>
        <xdr:cNvPr id="560" name="Rectangle 563"/>
        <xdr:cNvSpPr>
          <a:spLocks/>
        </xdr:cNvSpPr>
      </xdr:nvSpPr>
      <xdr:spPr>
        <a:xfrm>
          <a:off x="1228725" y="327660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14</xdr:row>
      <xdr:rowOff>47625</xdr:rowOff>
    </xdr:from>
    <xdr:to>
      <xdr:col>2</xdr:col>
      <xdr:colOff>180975</xdr:colOff>
      <xdr:row>14</xdr:row>
      <xdr:rowOff>123825</xdr:rowOff>
    </xdr:to>
    <xdr:sp>
      <xdr:nvSpPr>
        <xdr:cNvPr id="561" name="Rectangle 564"/>
        <xdr:cNvSpPr>
          <a:spLocks/>
        </xdr:cNvSpPr>
      </xdr:nvSpPr>
      <xdr:spPr>
        <a:xfrm>
          <a:off x="1228725" y="26384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62" name="Rectangle 572"/>
        <xdr:cNvSpPr>
          <a:spLocks/>
        </xdr:cNvSpPr>
      </xdr:nvSpPr>
      <xdr:spPr>
        <a:xfrm>
          <a:off x="11182350" y="352425"/>
          <a:ext cx="10001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563" name="Group 573"/>
        <xdr:cNvGrpSpPr>
          <a:grpSpLocks/>
        </xdr:cNvGrpSpPr>
      </xdr:nvGrpSpPr>
      <xdr:grpSpPr>
        <a:xfrm>
          <a:off x="11772900" y="6486525"/>
          <a:ext cx="0" cy="0"/>
          <a:chOff x="769" y="35"/>
          <a:chExt cx="110" cy="41"/>
        </a:xfrm>
        <a:solidFill>
          <a:srgbClr val="FFFFFF"/>
        </a:solidFill>
      </xdr:grpSpPr>
      <xdr:sp>
        <xdr:nvSpPr>
          <xdr:cNvPr id="564" name="Rectangle 57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5" name="Rectangle 57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6" name="Picture 57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67" name="Rectangle 57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568" name="Rectangle 57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569" name="Group 579"/>
        <xdr:cNvGrpSpPr>
          <a:grpSpLocks/>
        </xdr:cNvGrpSpPr>
      </xdr:nvGrpSpPr>
      <xdr:grpSpPr>
        <a:xfrm>
          <a:off x="11772900" y="6486525"/>
          <a:ext cx="0" cy="0"/>
          <a:chOff x="769" y="35"/>
          <a:chExt cx="110" cy="41"/>
        </a:xfrm>
        <a:solidFill>
          <a:srgbClr val="FFFFFF"/>
        </a:solidFill>
      </xdr:grpSpPr>
      <xdr:sp>
        <xdr:nvSpPr>
          <xdr:cNvPr id="570" name="Rectangle 5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1" name="Rectangle 5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72" name="Picture 5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73" name="Rectangle 5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574" name="Rectangle 58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75" name="Rectangle 58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76" name="Rectangle 58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77" name="Rectangle 58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78" name="Rectangle 588"/>
        <xdr:cNvSpPr>
          <a:spLocks/>
        </xdr:cNvSpPr>
      </xdr:nvSpPr>
      <xdr:spPr>
        <a:xfrm>
          <a:off x="11182350" y="352425"/>
          <a:ext cx="10001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79" name="Rectangle 58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0" name="Rectangle 59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1" name="Rectangle 59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2" name="Rectangle 59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3" name="Rectangle 59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4" name="Rectangle 59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5" name="Rectangle 59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6" name="Rectangle 59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7" name="Rectangle 59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8" name="Rectangle 59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89" name="Rectangle 59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90" name="Rectangle 60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591" name="Group 601"/>
        <xdr:cNvGrpSpPr>
          <a:grpSpLocks/>
        </xdr:cNvGrpSpPr>
      </xdr:nvGrpSpPr>
      <xdr:grpSpPr>
        <a:xfrm>
          <a:off x="11772900" y="6486525"/>
          <a:ext cx="0" cy="0"/>
          <a:chOff x="769" y="35"/>
          <a:chExt cx="110" cy="41"/>
        </a:xfrm>
        <a:solidFill>
          <a:srgbClr val="FFFFFF"/>
        </a:solidFill>
      </xdr:grpSpPr>
      <xdr:sp>
        <xdr:nvSpPr>
          <xdr:cNvPr id="592" name="Rectangle 60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93" name="Rectangle 60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94" name="Picture 60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5" name="Rectangle 60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596" name="Rectangle 60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97" name="Rectangle 60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98" name="Rectangle 60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599" name="Rectangle 60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0" name="Rectangle 61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1" name="Rectangle 61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2" name="Rectangle 61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3" name="Rectangle 61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4" name="Rectangle 61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5" name="Rectangle 61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6" name="Rectangle 61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7" name="Rectangle 61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8" name="Rectangle 61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09" name="Rectangle 61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0" name="Rectangle 62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1" name="Rectangle 62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2" name="Rectangle 62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3" name="Rectangle 62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4" name="Rectangle 62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15" name="Rectangle 62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16" name="Group 626"/>
        <xdr:cNvGrpSpPr>
          <a:grpSpLocks/>
        </xdr:cNvGrpSpPr>
      </xdr:nvGrpSpPr>
      <xdr:grpSpPr>
        <a:xfrm>
          <a:off x="11772900" y="6486525"/>
          <a:ext cx="0" cy="0"/>
          <a:chOff x="769" y="35"/>
          <a:chExt cx="110" cy="41"/>
        </a:xfrm>
        <a:solidFill>
          <a:srgbClr val="FFFFFF"/>
        </a:solidFill>
      </xdr:grpSpPr>
      <xdr:sp>
        <xdr:nvSpPr>
          <xdr:cNvPr id="617" name="Rectangle 6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18" name="Rectangle 6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19" name="Picture 6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20" name="Rectangle 6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21" name="Rectangle 63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22" name="Group 632"/>
        <xdr:cNvGrpSpPr>
          <a:grpSpLocks/>
        </xdr:cNvGrpSpPr>
      </xdr:nvGrpSpPr>
      <xdr:grpSpPr>
        <a:xfrm>
          <a:off x="11772900" y="6486525"/>
          <a:ext cx="0" cy="0"/>
          <a:chOff x="769" y="35"/>
          <a:chExt cx="110" cy="41"/>
        </a:xfrm>
        <a:solidFill>
          <a:srgbClr val="FFFFFF"/>
        </a:solidFill>
      </xdr:grpSpPr>
      <xdr:sp>
        <xdr:nvSpPr>
          <xdr:cNvPr id="623" name="Rectangle 6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24" name="Rectangle 6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25" name="Picture 6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26" name="Rectangle 6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27" name="Rectangle 63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28" name="Rectangle 63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29" name="Rectangle 63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0" name="Rectangle 64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1" name="Rectangle 64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2" name="Rectangle 64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3" name="Rectangle 64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4" name="Rectangle 64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5" name="Rectangle 64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6" name="Rectangle 64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37" name="Rectangle 64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38" name="Group 648"/>
        <xdr:cNvGrpSpPr>
          <a:grpSpLocks/>
        </xdr:cNvGrpSpPr>
      </xdr:nvGrpSpPr>
      <xdr:grpSpPr>
        <a:xfrm>
          <a:off x="11772900" y="6486525"/>
          <a:ext cx="0" cy="0"/>
          <a:chOff x="769" y="35"/>
          <a:chExt cx="110" cy="41"/>
        </a:xfrm>
        <a:solidFill>
          <a:srgbClr val="FFFFFF"/>
        </a:solidFill>
      </xdr:grpSpPr>
      <xdr:sp>
        <xdr:nvSpPr>
          <xdr:cNvPr id="639" name="Rectangle 64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40" name="Rectangle 65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1" name="Picture 65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42" name="Rectangle 65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43" name="Rectangle 65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44" name="Group 654"/>
        <xdr:cNvGrpSpPr>
          <a:grpSpLocks/>
        </xdr:cNvGrpSpPr>
      </xdr:nvGrpSpPr>
      <xdr:grpSpPr>
        <a:xfrm>
          <a:off x="11772900" y="6486525"/>
          <a:ext cx="0" cy="0"/>
          <a:chOff x="769" y="35"/>
          <a:chExt cx="110" cy="41"/>
        </a:xfrm>
        <a:solidFill>
          <a:srgbClr val="FFFFFF"/>
        </a:solidFill>
      </xdr:grpSpPr>
      <xdr:sp>
        <xdr:nvSpPr>
          <xdr:cNvPr id="645" name="Rectangle 6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46" name="Rectangle 6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7" name="Picture 6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48" name="Rectangle 6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49" name="Rectangle 65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0" name="Rectangle 66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1" name="Rectangle 66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2" name="Rectangle 66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3" name="Rectangle 66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4" name="Rectangle 66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5" name="Rectangle 66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6" name="Rectangle 66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7" name="Rectangle 66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58" name="Rectangle 66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59" name="Group 669"/>
        <xdr:cNvGrpSpPr>
          <a:grpSpLocks/>
        </xdr:cNvGrpSpPr>
      </xdr:nvGrpSpPr>
      <xdr:grpSpPr>
        <a:xfrm>
          <a:off x="11772900" y="6486525"/>
          <a:ext cx="0" cy="0"/>
          <a:chOff x="769" y="35"/>
          <a:chExt cx="110" cy="41"/>
        </a:xfrm>
        <a:solidFill>
          <a:srgbClr val="FFFFFF"/>
        </a:solidFill>
      </xdr:grpSpPr>
      <xdr:sp>
        <xdr:nvSpPr>
          <xdr:cNvPr id="660" name="Rectangle 6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61" name="Rectangle 6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62" name="Picture 6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3" name="Rectangle 6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64" name="Rectangle 67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65" name="Group 675"/>
        <xdr:cNvGrpSpPr>
          <a:grpSpLocks/>
        </xdr:cNvGrpSpPr>
      </xdr:nvGrpSpPr>
      <xdr:grpSpPr>
        <a:xfrm>
          <a:off x="11772900" y="6486525"/>
          <a:ext cx="0" cy="0"/>
          <a:chOff x="769" y="35"/>
          <a:chExt cx="110" cy="41"/>
        </a:xfrm>
        <a:solidFill>
          <a:srgbClr val="FFFFFF"/>
        </a:solidFill>
      </xdr:grpSpPr>
      <xdr:sp>
        <xdr:nvSpPr>
          <xdr:cNvPr id="666" name="Rectangle 6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67" name="Rectangle 6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68" name="Picture 6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9" name="Rectangle 6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70" name="Rectangle 68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1" name="Rectangle 68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2" name="Rectangle 68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3" name="Rectangle 68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4" name="Rectangle 68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5" name="Rectangle 68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6" name="Rectangle 68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7" name="Rectangle 68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78" name="Rectangle 68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79" name="Group 689"/>
        <xdr:cNvGrpSpPr>
          <a:grpSpLocks/>
        </xdr:cNvGrpSpPr>
      </xdr:nvGrpSpPr>
      <xdr:grpSpPr>
        <a:xfrm>
          <a:off x="11772900" y="6486525"/>
          <a:ext cx="0" cy="0"/>
          <a:chOff x="769" y="35"/>
          <a:chExt cx="110" cy="41"/>
        </a:xfrm>
        <a:solidFill>
          <a:srgbClr val="FFFFFF"/>
        </a:solidFill>
      </xdr:grpSpPr>
      <xdr:sp>
        <xdr:nvSpPr>
          <xdr:cNvPr id="680" name="Rectangle 6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1" name="Rectangle 6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82" name="Picture 6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3" name="Rectangle 6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84" name="Rectangle 69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85" name="Group 695"/>
        <xdr:cNvGrpSpPr>
          <a:grpSpLocks/>
        </xdr:cNvGrpSpPr>
      </xdr:nvGrpSpPr>
      <xdr:grpSpPr>
        <a:xfrm>
          <a:off x="11772900" y="6486525"/>
          <a:ext cx="0" cy="0"/>
          <a:chOff x="769" y="35"/>
          <a:chExt cx="110" cy="41"/>
        </a:xfrm>
        <a:solidFill>
          <a:srgbClr val="FFFFFF"/>
        </a:solidFill>
      </xdr:grpSpPr>
      <xdr:sp>
        <xdr:nvSpPr>
          <xdr:cNvPr id="686" name="Rectangle 6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7" name="Rectangle 6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88" name="Picture 6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9" name="Rectangle 6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690" name="Rectangle 70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1" name="Rectangle 70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2" name="Rectangle 70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3" name="Rectangle 70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4" name="Rectangle 70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5" name="Rectangle 70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6" name="Rectangle 70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7" name="Rectangle 70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698" name="Rectangle 70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699" name="Group 709"/>
        <xdr:cNvGrpSpPr>
          <a:grpSpLocks/>
        </xdr:cNvGrpSpPr>
      </xdr:nvGrpSpPr>
      <xdr:grpSpPr>
        <a:xfrm>
          <a:off x="11772900" y="6486525"/>
          <a:ext cx="0" cy="0"/>
          <a:chOff x="769" y="35"/>
          <a:chExt cx="110" cy="41"/>
        </a:xfrm>
        <a:solidFill>
          <a:srgbClr val="FFFFFF"/>
        </a:solidFill>
      </xdr:grpSpPr>
      <xdr:sp>
        <xdr:nvSpPr>
          <xdr:cNvPr id="700" name="Rectangle 7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01" name="Rectangle 7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02" name="Picture 71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3" name="Rectangle 7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04" name="Rectangle 71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05" name="Group 715"/>
        <xdr:cNvGrpSpPr>
          <a:grpSpLocks/>
        </xdr:cNvGrpSpPr>
      </xdr:nvGrpSpPr>
      <xdr:grpSpPr>
        <a:xfrm>
          <a:off x="11772900" y="6486525"/>
          <a:ext cx="0" cy="0"/>
          <a:chOff x="769" y="35"/>
          <a:chExt cx="110" cy="41"/>
        </a:xfrm>
        <a:solidFill>
          <a:srgbClr val="FFFFFF"/>
        </a:solidFill>
      </xdr:grpSpPr>
      <xdr:sp>
        <xdr:nvSpPr>
          <xdr:cNvPr id="706" name="Rectangle 7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07" name="Rectangle 7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08" name="Picture 7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9" name="Rectangle 7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10" name="Rectangle 72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1" name="Rectangle 72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2" name="Rectangle 72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3" name="Rectangle 72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4" name="Rectangle 72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5" name="Rectangle 72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6" name="Rectangle 72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7" name="Rectangle 72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18" name="Rectangle 72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19" name="Group 729"/>
        <xdr:cNvGrpSpPr>
          <a:grpSpLocks/>
        </xdr:cNvGrpSpPr>
      </xdr:nvGrpSpPr>
      <xdr:grpSpPr>
        <a:xfrm>
          <a:off x="11772900" y="6486525"/>
          <a:ext cx="0" cy="0"/>
          <a:chOff x="769" y="35"/>
          <a:chExt cx="110" cy="41"/>
        </a:xfrm>
        <a:solidFill>
          <a:srgbClr val="FFFFFF"/>
        </a:solidFill>
      </xdr:grpSpPr>
      <xdr:sp>
        <xdr:nvSpPr>
          <xdr:cNvPr id="720" name="Rectangle 7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21" name="Rectangle 7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22" name="Picture 7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3" name="Rectangle 7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24" name="Rectangle 73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25" name="Group 735"/>
        <xdr:cNvGrpSpPr>
          <a:grpSpLocks/>
        </xdr:cNvGrpSpPr>
      </xdr:nvGrpSpPr>
      <xdr:grpSpPr>
        <a:xfrm>
          <a:off x="11772900" y="6486525"/>
          <a:ext cx="0" cy="0"/>
          <a:chOff x="769" y="35"/>
          <a:chExt cx="110" cy="41"/>
        </a:xfrm>
        <a:solidFill>
          <a:srgbClr val="FFFFFF"/>
        </a:solidFill>
      </xdr:grpSpPr>
      <xdr:sp>
        <xdr:nvSpPr>
          <xdr:cNvPr id="726" name="Rectangle 7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27" name="Rectangle 7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28" name="Picture 7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9" name="Rectangle 7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30" name="Rectangle 74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1" name="Rectangle 74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2" name="Rectangle 74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3" name="Rectangle 74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4" name="Rectangle 74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5" name="Rectangle 74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6" name="Rectangle 74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7" name="Rectangle 74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8" name="Rectangle 74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39" name="Rectangle 74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0" name="Rectangle 75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1" name="Rectangle 75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2" name="Rectangle 75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3" name="Rectangle 75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4" name="Rectangle 75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5" name="Rectangle 75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46" name="Rectangle 75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747" name="Group 757"/>
        <xdr:cNvGrpSpPr>
          <a:grpSpLocks/>
        </xdr:cNvGrpSpPr>
      </xdr:nvGrpSpPr>
      <xdr:grpSpPr>
        <a:xfrm>
          <a:off x="11772900" y="2933700"/>
          <a:ext cx="0" cy="0"/>
          <a:chOff x="769" y="35"/>
          <a:chExt cx="110" cy="41"/>
        </a:xfrm>
        <a:solidFill>
          <a:srgbClr val="FFFFFF"/>
        </a:solidFill>
      </xdr:grpSpPr>
      <xdr:sp>
        <xdr:nvSpPr>
          <xdr:cNvPr id="748" name="Rectangle 7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49" name="Rectangle 7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50" name="Picture 7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51" name="Rectangle 7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752" name="Rectangle 76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753" name="Group 763"/>
        <xdr:cNvGrpSpPr>
          <a:grpSpLocks/>
        </xdr:cNvGrpSpPr>
      </xdr:nvGrpSpPr>
      <xdr:grpSpPr>
        <a:xfrm>
          <a:off x="11772900" y="2933700"/>
          <a:ext cx="0" cy="0"/>
          <a:chOff x="769" y="35"/>
          <a:chExt cx="110" cy="41"/>
        </a:xfrm>
        <a:solidFill>
          <a:srgbClr val="FFFFFF"/>
        </a:solidFill>
      </xdr:grpSpPr>
      <xdr:sp>
        <xdr:nvSpPr>
          <xdr:cNvPr id="754" name="Rectangle 7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55" name="Rectangle 7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56" name="Picture 7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57" name="Rectangle 7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758" name="Rectangle 76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59" name="Rectangle 76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0" name="Rectangle 77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1" name="Rectangle 77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2" name="Rectangle 77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3" name="Rectangle 77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4" name="Rectangle 77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5" name="Rectangle 77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66" name="Rectangle 77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67" name="Rectangle 77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68" name="Rectangle 77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769" name="Group 779"/>
        <xdr:cNvGrpSpPr>
          <a:grpSpLocks/>
        </xdr:cNvGrpSpPr>
      </xdr:nvGrpSpPr>
      <xdr:grpSpPr>
        <a:xfrm>
          <a:off x="11772900" y="6486525"/>
          <a:ext cx="0" cy="0"/>
          <a:chOff x="769" y="35"/>
          <a:chExt cx="110" cy="41"/>
        </a:xfrm>
        <a:solidFill>
          <a:srgbClr val="FFFFFF"/>
        </a:solidFill>
      </xdr:grpSpPr>
      <xdr:sp>
        <xdr:nvSpPr>
          <xdr:cNvPr id="770" name="Rectangle 7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71" name="Rectangle 7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72" name="Picture 7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73" name="Rectangle 7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774" name="Rectangle 78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5" name="Rectangle 78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6" name="Rectangle 78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7" name="Rectangle 78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8" name="Rectangle 78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79" name="Rectangle 78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80" name="Rectangle 79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81" name="Rectangle 79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782" name="Rectangle 79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783" name="Group 793"/>
        <xdr:cNvGrpSpPr>
          <a:grpSpLocks/>
        </xdr:cNvGrpSpPr>
      </xdr:nvGrpSpPr>
      <xdr:grpSpPr>
        <a:xfrm>
          <a:off x="11772900" y="2933700"/>
          <a:ext cx="0" cy="0"/>
          <a:chOff x="769" y="35"/>
          <a:chExt cx="110" cy="41"/>
        </a:xfrm>
        <a:solidFill>
          <a:srgbClr val="FFFFFF"/>
        </a:solidFill>
      </xdr:grpSpPr>
      <xdr:sp>
        <xdr:nvSpPr>
          <xdr:cNvPr id="784" name="Rectangle 79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5" name="Rectangle 79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6" name="Picture 79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87" name="Rectangle 79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788" name="Rectangle 79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789" name="Group 799"/>
        <xdr:cNvGrpSpPr>
          <a:grpSpLocks/>
        </xdr:cNvGrpSpPr>
      </xdr:nvGrpSpPr>
      <xdr:grpSpPr>
        <a:xfrm>
          <a:off x="11772900" y="2933700"/>
          <a:ext cx="0" cy="0"/>
          <a:chOff x="769" y="35"/>
          <a:chExt cx="110" cy="41"/>
        </a:xfrm>
        <a:solidFill>
          <a:srgbClr val="FFFFFF"/>
        </a:solidFill>
      </xdr:grpSpPr>
      <xdr:sp>
        <xdr:nvSpPr>
          <xdr:cNvPr id="790" name="Rectangle 80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1" name="Rectangle 80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92" name="Picture 80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93" name="Rectangle 80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794" name="Rectangle 80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5" name="Rectangle 80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6" name="Rectangle 80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7" name="Rectangle 807"/>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8" name="Rectangle 80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799" name="Rectangle 80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00" name="Rectangle 81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01" name="Rectangle 81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02" name="Rectangle 81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03" name="Rectangle 81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04" name="Rectangle 81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805" name="Group 815"/>
        <xdr:cNvGrpSpPr>
          <a:grpSpLocks/>
        </xdr:cNvGrpSpPr>
      </xdr:nvGrpSpPr>
      <xdr:grpSpPr>
        <a:xfrm>
          <a:off x="11772900" y="6486525"/>
          <a:ext cx="0" cy="0"/>
          <a:chOff x="769" y="35"/>
          <a:chExt cx="110" cy="41"/>
        </a:xfrm>
        <a:solidFill>
          <a:srgbClr val="FFFFFF"/>
        </a:solidFill>
      </xdr:grpSpPr>
      <xdr:sp>
        <xdr:nvSpPr>
          <xdr:cNvPr id="806" name="Rectangle 8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07" name="Rectangle 8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8" name="Picture 8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09" name="Rectangle 8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810" name="Rectangle 82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1" name="Rectangle 82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2" name="Rectangle 82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3" name="Rectangle 82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4" name="Rectangle 82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5" name="Rectangle 82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6" name="Rectangle 82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7" name="Rectangle 82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818" name="Rectangle 82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19" name="Group 829"/>
        <xdr:cNvGrpSpPr>
          <a:grpSpLocks/>
        </xdr:cNvGrpSpPr>
      </xdr:nvGrpSpPr>
      <xdr:grpSpPr>
        <a:xfrm>
          <a:off x="11772900" y="2933700"/>
          <a:ext cx="0" cy="0"/>
          <a:chOff x="769" y="35"/>
          <a:chExt cx="110" cy="41"/>
        </a:xfrm>
        <a:solidFill>
          <a:srgbClr val="FFFFFF"/>
        </a:solidFill>
      </xdr:grpSpPr>
      <xdr:sp>
        <xdr:nvSpPr>
          <xdr:cNvPr id="820" name="Rectangle 8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21" name="Rectangle 8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22" name="Picture 8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3" name="Rectangle 8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24" name="Rectangle 83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25" name="Group 835"/>
        <xdr:cNvGrpSpPr>
          <a:grpSpLocks/>
        </xdr:cNvGrpSpPr>
      </xdr:nvGrpSpPr>
      <xdr:grpSpPr>
        <a:xfrm>
          <a:off x="11772900" y="2933700"/>
          <a:ext cx="0" cy="0"/>
          <a:chOff x="769" y="35"/>
          <a:chExt cx="110" cy="41"/>
        </a:xfrm>
        <a:solidFill>
          <a:srgbClr val="FFFFFF"/>
        </a:solidFill>
      </xdr:grpSpPr>
      <xdr:sp>
        <xdr:nvSpPr>
          <xdr:cNvPr id="826" name="Rectangle 8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27" name="Rectangle 8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28" name="Picture 8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9" name="Rectangle 8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30" name="Rectangle 84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1" name="Rectangle 84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2" name="Rectangle 84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3" name="Rectangle 84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4" name="Rectangle 84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5" name="Rectangle 84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6" name="Rectangle 84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7" name="Rectangle 847"/>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38" name="Rectangle 84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39" name="Group 849"/>
        <xdr:cNvGrpSpPr>
          <a:grpSpLocks/>
        </xdr:cNvGrpSpPr>
      </xdr:nvGrpSpPr>
      <xdr:grpSpPr>
        <a:xfrm>
          <a:off x="11772900" y="2933700"/>
          <a:ext cx="0" cy="0"/>
          <a:chOff x="769" y="35"/>
          <a:chExt cx="110" cy="41"/>
        </a:xfrm>
        <a:solidFill>
          <a:srgbClr val="FFFFFF"/>
        </a:solidFill>
      </xdr:grpSpPr>
      <xdr:sp>
        <xdr:nvSpPr>
          <xdr:cNvPr id="840" name="Rectangle 85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41" name="Rectangle 85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42" name="Picture 85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3" name="Rectangle 85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44" name="Rectangle 85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45" name="Group 855"/>
        <xdr:cNvGrpSpPr>
          <a:grpSpLocks/>
        </xdr:cNvGrpSpPr>
      </xdr:nvGrpSpPr>
      <xdr:grpSpPr>
        <a:xfrm>
          <a:off x="11772900" y="2933700"/>
          <a:ext cx="0" cy="0"/>
          <a:chOff x="769" y="35"/>
          <a:chExt cx="110" cy="41"/>
        </a:xfrm>
        <a:solidFill>
          <a:srgbClr val="FFFFFF"/>
        </a:solidFill>
      </xdr:grpSpPr>
      <xdr:sp>
        <xdr:nvSpPr>
          <xdr:cNvPr id="846" name="Rectangle 8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47" name="Rectangle 8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48" name="Picture 8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9" name="Rectangle 8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50" name="Rectangle 86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1" name="Rectangle 86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2" name="Rectangle 86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3" name="Rectangle 86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4" name="Rectangle 86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5" name="Rectangle 86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6" name="Rectangle 86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7" name="Rectangle 867"/>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58" name="Rectangle 86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59" name="Group 869"/>
        <xdr:cNvGrpSpPr>
          <a:grpSpLocks/>
        </xdr:cNvGrpSpPr>
      </xdr:nvGrpSpPr>
      <xdr:grpSpPr>
        <a:xfrm>
          <a:off x="11772900" y="2933700"/>
          <a:ext cx="0" cy="0"/>
          <a:chOff x="769" y="35"/>
          <a:chExt cx="110" cy="41"/>
        </a:xfrm>
        <a:solidFill>
          <a:srgbClr val="FFFFFF"/>
        </a:solidFill>
      </xdr:grpSpPr>
      <xdr:sp>
        <xdr:nvSpPr>
          <xdr:cNvPr id="860" name="Rectangle 8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61" name="Rectangle 8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2" name="Picture 8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3" name="Rectangle 8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64" name="Rectangle 87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65" name="Group 875"/>
        <xdr:cNvGrpSpPr>
          <a:grpSpLocks/>
        </xdr:cNvGrpSpPr>
      </xdr:nvGrpSpPr>
      <xdr:grpSpPr>
        <a:xfrm>
          <a:off x="11772900" y="2933700"/>
          <a:ext cx="0" cy="0"/>
          <a:chOff x="769" y="35"/>
          <a:chExt cx="110" cy="41"/>
        </a:xfrm>
        <a:solidFill>
          <a:srgbClr val="FFFFFF"/>
        </a:solidFill>
      </xdr:grpSpPr>
      <xdr:sp>
        <xdr:nvSpPr>
          <xdr:cNvPr id="866" name="Rectangle 8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67" name="Rectangle 8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8" name="Picture 8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9" name="Rectangle 8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70" name="Rectangle 88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1" name="Rectangle 88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2" name="Rectangle 88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3" name="Rectangle 88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4" name="Rectangle 88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5" name="Rectangle 88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6" name="Rectangle 88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7" name="Rectangle 887"/>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78" name="Rectangle 88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79" name="Group 889"/>
        <xdr:cNvGrpSpPr>
          <a:grpSpLocks/>
        </xdr:cNvGrpSpPr>
      </xdr:nvGrpSpPr>
      <xdr:grpSpPr>
        <a:xfrm>
          <a:off x="11772900" y="2933700"/>
          <a:ext cx="0" cy="0"/>
          <a:chOff x="769" y="35"/>
          <a:chExt cx="110" cy="41"/>
        </a:xfrm>
        <a:solidFill>
          <a:srgbClr val="FFFFFF"/>
        </a:solidFill>
      </xdr:grpSpPr>
      <xdr:sp>
        <xdr:nvSpPr>
          <xdr:cNvPr id="880" name="Rectangle 8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81" name="Rectangle 8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82" name="Picture 8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3" name="Rectangle 8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84" name="Rectangle 89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885" name="Group 895"/>
        <xdr:cNvGrpSpPr>
          <a:grpSpLocks/>
        </xdr:cNvGrpSpPr>
      </xdr:nvGrpSpPr>
      <xdr:grpSpPr>
        <a:xfrm>
          <a:off x="11772900" y="2933700"/>
          <a:ext cx="0" cy="0"/>
          <a:chOff x="769" y="35"/>
          <a:chExt cx="110" cy="41"/>
        </a:xfrm>
        <a:solidFill>
          <a:srgbClr val="FFFFFF"/>
        </a:solidFill>
      </xdr:grpSpPr>
      <xdr:sp>
        <xdr:nvSpPr>
          <xdr:cNvPr id="886" name="Rectangle 8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87" name="Rectangle 8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88" name="Picture 8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9" name="Rectangle 8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890" name="Rectangle 90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1" name="Rectangle 90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2" name="Rectangle 90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3" name="Rectangle 90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4" name="Rectangle 90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5" name="Rectangle 90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6" name="Rectangle 90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7" name="Rectangle 907"/>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8" name="Rectangle 90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899" name="Rectangle 90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00" name="Rectangle 91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01" name="Rectangle 91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02" name="Rectangle 91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903" name="Rectangle 91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904" name="Rectangle 91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905" name="Rectangle 91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906" name="Rectangle 91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07" name="Group 917"/>
        <xdr:cNvGrpSpPr>
          <a:grpSpLocks/>
        </xdr:cNvGrpSpPr>
      </xdr:nvGrpSpPr>
      <xdr:grpSpPr>
        <a:xfrm>
          <a:off x="11772900" y="2933700"/>
          <a:ext cx="0" cy="0"/>
          <a:chOff x="769" y="35"/>
          <a:chExt cx="110" cy="41"/>
        </a:xfrm>
        <a:solidFill>
          <a:srgbClr val="FFFFFF"/>
        </a:solidFill>
      </xdr:grpSpPr>
      <xdr:sp>
        <xdr:nvSpPr>
          <xdr:cNvPr id="908" name="Rectangle 9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09" name="Rectangle 9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10" name="Picture 9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11" name="Rectangle 9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12" name="Rectangle 92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13" name="Group 923"/>
        <xdr:cNvGrpSpPr>
          <a:grpSpLocks/>
        </xdr:cNvGrpSpPr>
      </xdr:nvGrpSpPr>
      <xdr:grpSpPr>
        <a:xfrm>
          <a:off x="11772900" y="2933700"/>
          <a:ext cx="0" cy="0"/>
          <a:chOff x="769" y="35"/>
          <a:chExt cx="110" cy="41"/>
        </a:xfrm>
        <a:solidFill>
          <a:srgbClr val="FFFFFF"/>
        </a:solidFill>
      </xdr:grpSpPr>
      <xdr:sp>
        <xdr:nvSpPr>
          <xdr:cNvPr id="914" name="Rectangle 9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15" name="Rectangle 9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16" name="Picture 9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17" name="Rectangle 9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18" name="Rectangle 92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19" name="Rectangle 92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0" name="Rectangle 93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1" name="Rectangle 93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2" name="Rectangle 93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3" name="Rectangle 93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4" name="Rectangle 93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5" name="Rectangle 93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26" name="Rectangle 93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27" name="Group 937"/>
        <xdr:cNvGrpSpPr>
          <a:grpSpLocks/>
        </xdr:cNvGrpSpPr>
      </xdr:nvGrpSpPr>
      <xdr:grpSpPr>
        <a:xfrm>
          <a:off x="11772900" y="2933700"/>
          <a:ext cx="0" cy="0"/>
          <a:chOff x="769" y="35"/>
          <a:chExt cx="110" cy="41"/>
        </a:xfrm>
        <a:solidFill>
          <a:srgbClr val="FFFFFF"/>
        </a:solidFill>
      </xdr:grpSpPr>
      <xdr:sp>
        <xdr:nvSpPr>
          <xdr:cNvPr id="928" name="Rectangle 93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29" name="Rectangle 93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30" name="Picture 94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31" name="Rectangle 94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32" name="Rectangle 94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33" name="Group 943"/>
        <xdr:cNvGrpSpPr>
          <a:grpSpLocks/>
        </xdr:cNvGrpSpPr>
      </xdr:nvGrpSpPr>
      <xdr:grpSpPr>
        <a:xfrm>
          <a:off x="11772900" y="2933700"/>
          <a:ext cx="0" cy="0"/>
          <a:chOff x="769" y="35"/>
          <a:chExt cx="110" cy="41"/>
        </a:xfrm>
        <a:solidFill>
          <a:srgbClr val="FFFFFF"/>
        </a:solidFill>
      </xdr:grpSpPr>
      <xdr:sp>
        <xdr:nvSpPr>
          <xdr:cNvPr id="934" name="Rectangle 94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35" name="Rectangle 94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36" name="Picture 94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37" name="Rectangle 94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38" name="Rectangle 94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39" name="Rectangle 94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0" name="Rectangle 95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1" name="Rectangle 95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2" name="Rectangle 95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3" name="Rectangle 95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4" name="Rectangle 95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5" name="Rectangle 95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46" name="Rectangle 95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47" name="Group 957"/>
        <xdr:cNvGrpSpPr>
          <a:grpSpLocks/>
        </xdr:cNvGrpSpPr>
      </xdr:nvGrpSpPr>
      <xdr:grpSpPr>
        <a:xfrm>
          <a:off x="11772900" y="2933700"/>
          <a:ext cx="0" cy="0"/>
          <a:chOff x="769" y="35"/>
          <a:chExt cx="110" cy="41"/>
        </a:xfrm>
        <a:solidFill>
          <a:srgbClr val="FFFFFF"/>
        </a:solidFill>
      </xdr:grpSpPr>
      <xdr:sp>
        <xdr:nvSpPr>
          <xdr:cNvPr id="948" name="Rectangle 9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49" name="Rectangle 9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50" name="Picture 9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51" name="Rectangle 9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52" name="Rectangle 96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53" name="Group 963"/>
        <xdr:cNvGrpSpPr>
          <a:grpSpLocks/>
        </xdr:cNvGrpSpPr>
      </xdr:nvGrpSpPr>
      <xdr:grpSpPr>
        <a:xfrm>
          <a:off x="11772900" y="2933700"/>
          <a:ext cx="0" cy="0"/>
          <a:chOff x="769" y="35"/>
          <a:chExt cx="110" cy="41"/>
        </a:xfrm>
        <a:solidFill>
          <a:srgbClr val="FFFFFF"/>
        </a:solidFill>
      </xdr:grpSpPr>
      <xdr:sp>
        <xdr:nvSpPr>
          <xdr:cNvPr id="954" name="Rectangle 9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55" name="Rectangle 9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56" name="Picture 9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57" name="Rectangle 9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58" name="Rectangle 96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59" name="Rectangle 96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0" name="Rectangle 97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1" name="Rectangle 97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2" name="Rectangle 97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3" name="Rectangle 97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4" name="Rectangle 97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5" name="Rectangle 97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66" name="Rectangle 97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67" name="Group 977"/>
        <xdr:cNvGrpSpPr>
          <a:grpSpLocks/>
        </xdr:cNvGrpSpPr>
      </xdr:nvGrpSpPr>
      <xdr:grpSpPr>
        <a:xfrm>
          <a:off x="11772900" y="2933700"/>
          <a:ext cx="0" cy="0"/>
          <a:chOff x="769" y="35"/>
          <a:chExt cx="110" cy="41"/>
        </a:xfrm>
        <a:solidFill>
          <a:srgbClr val="FFFFFF"/>
        </a:solidFill>
      </xdr:grpSpPr>
      <xdr:sp>
        <xdr:nvSpPr>
          <xdr:cNvPr id="968" name="Rectangle 9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69" name="Rectangle 9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70" name="Picture 9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71" name="Rectangle 9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72" name="Rectangle 98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73" name="Group 983"/>
        <xdr:cNvGrpSpPr>
          <a:grpSpLocks/>
        </xdr:cNvGrpSpPr>
      </xdr:nvGrpSpPr>
      <xdr:grpSpPr>
        <a:xfrm>
          <a:off x="11772900" y="2933700"/>
          <a:ext cx="0" cy="0"/>
          <a:chOff x="769" y="35"/>
          <a:chExt cx="110" cy="41"/>
        </a:xfrm>
        <a:solidFill>
          <a:srgbClr val="FFFFFF"/>
        </a:solidFill>
      </xdr:grpSpPr>
      <xdr:sp>
        <xdr:nvSpPr>
          <xdr:cNvPr id="974" name="Rectangle 9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75" name="Rectangle 9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76" name="Picture 9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77" name="Rectangle 9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78" name="Rectangle 98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79" name="Rectangle 98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0" name="Rectangle 99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1" name="Rectangle 99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2" name="Rectangle 99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3" name="Rectangle 99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4" name="Rectangle 99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5" name="Rectangle 99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86" name="Rectangle 99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87" name="Group 997"/>
        <xdr:cNvGrpSpPr>
          <a:grpSpLocks/>
        </xdr:cNvGrpSpPr>
      </xdr:nvGrpSpPr>
      <xdr:grpSpPr>
        <a:xfrm>
          <a:off x="11772900" y="2933700"/>
          <a:ext cx="0" cy="0"/>
          <a:chOff x="769" y="35"/>
          <a:chExt cx="110" cy="41"/>
        </a:xfrm>
        <a:solidFill>
          <a:srgbClr val="FFFFFF"/>
        </a:solidFill>
      </xdr:grpSpPr>
      <xdr:sp>
        <xdr:nvSpPr>
          <xdr:cNvPr id="988" name="Rectangle 99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89" name="Rectangle 99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90" name="Picture 100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91" name="Rectangle 100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92" name="Rectangle 100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993" name="Group 1003"/>
        <xdr:cNvGrpSpPr>
          <a:grpSpLocks/>
        </xdr:cNvGrpSpPr>
      </xdr:nvGrpSpPr>
      <xdr:grpSpPr>
        <a:xfrm>
          <a:off x="11772900" y="2933700"/>
          <a:ext cx="0" cy="0"/>
          <a:chOff x="769" y="35"/>
          <a:chExt cx="110" cy="41"/>
        </a:xfrm>
        <a:solidFill>
          <a:srgbClr val="FFFFFF"/>
        </a:solidFill>
      </xdr:grpSpPr>
      <xdr:sp>
        <xdr:nvSpPr>
          <xdr:cNvPr id="994" name="Rectangle 100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95" name="Rectangle 100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96" name="Picture 100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97" name="Rectangle 100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998" name="Rectangle 100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999" name="Rectangle 100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0" name="Rectangle 101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1" name="Rectangle 101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2" name="Rectangle 101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3" name="Rectangle 101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4" name="Rectangle 101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5" name="Rectangle 101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06" name="Rectangle 101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1007" name="Group 1017"/>
        <xdr:cNvGrpSpPr>
          <a:grpSpLocks/>
        </xdr:cNvGrpSpPr>
      </xdr:nvGrpSpPr>
      <xdr:grpSpPr>
        <a:xfrm>
          <a:off x="11772900" y="2933700"/>
          <a:ext cx="0" cy="0"/>
          <a:chOff x="769" y="35"/>
          <a:chExt cx="110" cy="41"/>
        </a:xfrm>
        <a:solidFill>
          <a:srgbClr val="FFFFFF"/>
        </a:solidFill>
      </xdr:grpSpPr>
      <xdr:sp>
        <xdr:nvSpPr>
          <xdr:cNvPr id="1008" name="Rectangle 10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9" name="Rectangle 10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0" name="Picture 10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11" name="Rectangle 10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1012" name="Rectangle 102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16</xdr:col>
      <xdr:colOff>0</xdr:colOff>
      <xdr:row>16</xdr:row>
      <xdr:rowOff>0</xdr:rowOff>
    </xdr:to>
    <xdr:grpSp>
      <xdr:nvGrpSpPr>
        <xdr:cNvPr id="1013" name="Group 1023"/>
        <xdr:cNvGrpSpPr>
          <a:grpSpLocks/>
        </xdr:cNvGrpSpPr>
      </xdr:nvGrpSpPr>
      <xdr:grpSpPr>
        <a:xfrm>
          <a:off x="11772900" y="2933700"/>
          <a:ext cx="0" cy="0"/>
          <a:chOff x="769" y="35"/>
          <a:chExt cx="110" cy="41"/>
        </a:xfrm>
        <a:solidFill>
          <a:srgbClr val="FFFFFF"/>
        </a:solidFill>
      </xdr:grpSpPr>
      <xdr:sp>
        <xdr:nvSpPr>
          <xdr:cNvPr id="1014" name="Rectangle 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15" name="Rectangle 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6" name="Picture 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17" name="Rectangle 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16</xdr:row>
      <xdr:rowOff>0</xdr:rowOff>
    </xdr:from>
    <xdr:to>
      <xdr:col>16</xdr:col>
      <xdr:colOff>409575</xdr:colOff>
      <xdr:row>16</xdr:row>
      <xdr:rowOff>0</xdr:rowOff>
    </xdr:to>
    <xdr:sp>
      <xdr:nvSpPr>
        <xdr:cNvPr id="1018" name="Rectangle 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19" name="Rectangle 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0" name="Rectangle 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1" name="Rectangle 7"/>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2" name="Rectangle 8"/>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3" name="Rectangle 9"/>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4" name="Rectangle 10"/>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5" name="Rectangle 11"/>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6" name="Rectangle 12"/>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7" name="Rectangle 13"/>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8" name="Rectangle 14"/>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29" name="Rectangle 15"/>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16</xdr:row>
      <xdr:rowOff>0</xdr:rowOff>
    </xdr:from>
    <xdr:to>
      <xdr:col>16</xdr:col>
      <xdr:colOff>409575</xdr:colOff>
      <xdr:row>16</xdr:row>
      <xdr:rowOff>0</xdr:rowOff>
    </xdr:to>
    <xdr:sp>
      <xdr:nvSpPr>
        <xdr:cNvPr id="1030" name="Rectangle 16"/>
        <xdr:cNvSpPr>
          <a:spLocks/>
        </xdr:cNvSpPr>
      </xdr:nvSpPr>
      <xdr:spPr>
        <a:xfrm>
          <a:off x="11182350" y="2933700"/>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1" name="Rectangle 1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2" name="Rectangle 1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3" name="Rectangle 1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4" name="Rectangle 2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5" name="Rectangle 2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6" name="Rectangle 2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7" name="Rectangle 2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8" name="Rectangle 2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39" name="Rectangle 2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0" name="Rectangle 2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1" name="Rectangle 2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2" name="Rectangle 2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3" name="Rectangle 2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44" name="Rectangle 3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1045" name="Group 31"/>
        <xdr:cNvGrpSpPr>
          <a:grpSpLocks/>
        </xdr:cNvGrpSpPr>
      </xdr:nvGrpSpPr>
      <xdr:grpSpPr>
        <a:xfrm>
          <a:off x="11772900" y="6486525"/>
          <a:ext cx="0" cy="0"/>
          <a:chOff x="769" y="35"/>
          <a:chExt cx="110" cy="41"/>
        </a:xfrm>
        <a:solidFill>
          <a:srgbClr val="FFFFFF"/>
        </a:solidFill>
      </xdr:grpSpPr>
      <xdr:sp>
        <xdr:nvSpPr>
          <xdr:cNvPr id="1046" name="Rectangle 3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47" name="Rectangle 3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48" name="Picture 3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49" name="Rectangle 3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1050" name="Rectangle 3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1" name="Rectangle 3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2" name="Rectangle 3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3" name="Rectangle 3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4" name="Rectangle 4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5" name="Rectangle 4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6" name="Rectangle 4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7" name="Rectangle 4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8" name="Rectangle 4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59" name="Rectangle 4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60" name="Rectangle 4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0</xdr:rowOff>
    </xdr:from>
    <xdr:to>
      <xdr:col>16</xdr:col>
      <xdr:colOff>0</xdr:colOff>
      <xdr:row>34</xdr:row>
      <xdr:rowOff>0</xdr:rowOff>
    </xdr:to>
    <xdr:grpSp>
      <xdr:nvGrpSpPr>
        <xdr:cNvPr id="1061" name="Group 47"/>
        <xdr:cNvGrpSpPr>
          <a:grpSpLocks/>
        </xdr:cNvGrpSpPr>
      </xdr:nvGrpSpPr>
      <xdr:grpSpPr>
        <a:xfrm>
          <a:off x="11772900" y="6486525"/>
          <a:ext cx="0" cy="0"/>
          <a:chOff x="769" y="35"/>
          <a:chExt cx="110" cy="41"/>
        </a:xfrm>
        <a:solidFill>
          <a:srgbClr val="FFFFFF"/>
        </a:solidFill>
      </xdr:grpSpPr>
      <xdr:sp>
        <xdr:nvSpPr>
          <xdr:cNvPr id="1062" name="Rectangle 4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3" name="Rectangle 4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64" name="Picture 5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65" name="Rectangle 5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34</xdr:row>
      <xdr:rowOff>0</xdr:rowOff>
    </xdr:from>
    <xdr:to>
      <xdr:col>16</xdr:col>
      <xdr:colOff>409575</xdr:colOff>
      <xdr:row>34</xdr:row>
      <xdr:rowOff>0</xdr:rowOff>
    </xdr:to>
    <xdr:sp>
      <xdr:nvSpPr>
        <xdr:cNvPr id="1066" name="Rectangle 5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67" name="Rectangle 5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68" name="Rectangle 5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69" name="Rectangle 5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0" name="Rectangle 5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1" name="Rectangle 5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2" name="Rectangle 5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3" name="Rectangle 5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4" name="Rectangle 6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5" name="Rectangle 6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6" name="Rectangle 6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7" name="Rectangle 6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8" name="Rectangle 6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79" name="Rectangle 6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0" name="Rectangle 6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1" name="Rectangle 6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2" name="Rectangle 6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3" name="Rectangle 6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4" name="Rectangle 7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5" name="Rectangle 7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6" name="Rectangle 7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7" name="Rectangle 7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8" name="Rectangle 7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89" name="Rectangle 7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0" name="Rectangle 7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1" name="Rectangle 7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2" name="Rectangle 7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3" name="Rectangle 7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4" name="Rectangle 8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5" name="Rectangle 8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6" name="Rectangle 8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7" name="Rectangle 8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8" name="Rectangle 8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099" name="Rectangle 8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0" name="Rectangle 8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1" name="Rectangle 8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2" name="Rectangle 8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3" name="Rectangle 89"/>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4" name="Rectangle 90"/>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5" name="Rectangle 91"/>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6" name="Rectangle 92"/>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7" name="Rectangle 93"/>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8" name="Rectangle 94"/>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09" name="Rectangle 95"/>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10" name="Rectangle 96"/>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11" name="Rectangle 97"/>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34</xdr:row>
      <xdr:rowOff>0</xdr:rowOff>
    </xdr:from>
    <xdr:to>
      <xdr:col>16</xdr:col>
      <xdr:colOff>409575</xdr:colOff>
      <xdr:row>34</xdr:row>
      <xdr:rowOff>0</xdr:rowOff>
    </xdr:to>
    <xdr:sp>
      <xdr:nvSpPr>
        <xdr:cNvPr id="1112" name="Rectangle 98"/>
        <xdr:cNvSpPr>
          <a:spLocks/>
        </xdr:cNvSpPr>
      </xdr:nvSpPr>
      <xdr:spPr>
        <a:xfrm>
          <a:off x="11182350" y="6486525"/>
          <a:ext cx="1000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0</xdr:colOff>
      <xdr:row>0</xdr:row>
      <xdr:rowOff>95250</xdr:rowOff>
    </xdr:from>
    <xdr:to>
      <xdr:col>12</xdr:col>
      <xdr:colOff>552450</xdr:colOff>
      <xdr:row>3</xdr:row>
      <xdr:rowOff>19050</xdr:rowOff>
    </xdr:to>
    <xdr:pic>
      <xdr:nvPicPr>
        <xdr:cNvPr id="1113" name="LogoKop1"/>
        <xdr:cNvPicPr preferRelativeResize="1">
          <a:picLocks noChangeAspect="1"/>
        </xdr:cNvPicPr>
      </xdr:nvPicPr>
      <xdr:blipFill>
        <a:blip r:embed="rId2"/>
        <a:stretch>
          <a:fillRect/>
        </a:stretch>
      </xdr:blipFill>
      <xdr:spPr>
        <a:xfrm>
          <a:off x="8839200" y="95250"/>
          <a:ext cx="14668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57150</xdr:rowOff>
    </xdr:from>
    <xdr:to>
      <xdr:col>14</xdr:col>
      <xdr:colOff>266700</xdr:colOff>
      <xdr:row>3</xdr:row>
      <xdr:rowOff>142875</xdr:rowOff>
    </xdr:to>
    <xdr:pic>
      <xdr:nvPicPr>
        <xdr:cNvPr id="1" name="LogoKop1"/>
        <xdr:cNvPicPr preferRelativeResize="1">
          <a:picLocks noChangeAspect="1"/>
        </xdr:cNvPicPr>
      </xdr:nvPicPr>
      <xdr:blipFill>
        <a:blip r:embed="rId1"/>
        <a:stretch>
          <a:fillRect/>
        </a:stretch>
      </xdr:blipFill>
      <xdr:spPr>
        <a:xfrm>
          <a:off x="7334250" y="57150"/>
          <a:ext cx="14668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552450</xdr:colOff>
      <xdr:row>0</xdr:row>
      <xdr:rowOff>19050</xdr:rowOff>
    </xdr:from>
    <xdr:to>
      <xdr:col>12</xdr:col>
      <xdr:colOff>733425</xdr:colOff>
      <xdr:row>3</xdr:row>
      <xdr:rowOff>28575</xdr:rowOff>
    </xdr:to>
    <xdr:pic>
      <xdr:nvPicPr>
        <xdr:cNvPr id="1" name="Picture 1"/>
        <xdr:cNvPicPr preferRelativeResize="1">
          <a:picLocks noChangeAspect="1"/>
        </xdr:cNvPicPr>
      </xdr:nvPicPr>
      <xdr:blipFill>
        <a:blip r:embed="rId1"/>
        <a:stretch>
          <a:fillRect/>
        </a:stretch>
      </xdr:blipFill>
      <xdr:spPr>
        <a:xfrm>
          <a:off x="8191500" y="19050"/>
          <a:ext cx="1114425" cy="628650"/>
        </a:xfrm>
        <a:prstGeom prst="rect">
          <a:avLst/>
        </a:prstGeom>
        <a:noFill/>
        <a:ln w="9525" cmpd="sng">
          <a:noFill/>
        </a:ln>
      </xdr:spPr>
    </xdr:pic>
    <xdr:clientData/>
  </xdr:twoCellAnchor>
  <xdr:twoCellAnchor>
    <xdr:from>
      <xdr:col>11</xdr:col>
      <xdr:colOff>552450</xdr:colOff>
      <xdr:row>47</xdr:row>
      <xdr:rowOff>19050</xdr:rowOff>
    </xdr:from>
    <xdr:to>
      <xdr:col>12</xdr:col>
      <xdr:colOff>733425</xdr:colOff>
      <xdr:row>50</xdr:row>
      <xdr:rowOff>28575</xdr:rowOff>
    </xdr:to>
    <xdr:pic>
      <xdr:nvPicPr>
        <xdr:cNvPr id="2" name="Picture 2"/>
        <xdr:cNvPicPr preferRelativeResize="1">
          <a:picLocks noChangeAspect="1"/>
        </xdr:cNvPicPr>
      </xdr:nvPicPr>
      <xdr:blipFill>
        <a:blip r:embed="rId1"/>
        <a:stretch>
          <a:fillRect/>
        </a:stretch>
      </xdr:blipFill>
      <xdr:spPr>
        <a:xfrm>
          <a:off x="8191500" y="8324850"/>
          <a:ext cx="1114425" cy="628650"/>
        </a:xfrm>
        <a:prstGeom prst="rect">
          <a:avLst/>
        </a:prstGeom>
        <a:noFill/>
        <a:ln w="9525" cmpd="sng">
          <a:noFill/>
        </a:ln>
      </xdr:spPr>
    </xdr:pic>
    <xdr:clientData/>
  </xdr:twoCellAnchor>
  <xdr:twoCellAnchor>
    <xdr:from>
      <xdr:col>11</xdr:col>
      <xdr:colOff>552450</xdr:colOff>
      <xdr:row>93</xdr:row>
      <xdr:rowOff>19050</xdr:rowOff>
    </xdr:from>
    <xdr:to>
      <xdr:col>12</xdr:col>
      <xdr:colOff>733425</xdr:colOff>
      <xdr:row>96</xdr:row>
      <xdr:rowOff>28575</xdr:rowOff>
    </xdr:to>
    <xdr:pic>
      <xdr:nvPicPr>
        <xdr:cNvPr id="3" name="Picture 3"/>
        <xdr:cNvPicPr preferRelativeResize="1">
          <a:picLocks noChangeAspect="1"/>
        </xdr:cNvPicPr>
      </xdr:nvPicPr>
      <xdr:blipFill>
        <a:blip r:embed="rId1"/>
        <a:stretch>
          <a:fillRect/>
        </a:stretch>
      </xdr:blipFill>
      <xdr:spPr>
        <a:xfrm>
          <a:off x="8191500" y="16316325"/>
          <a:ext cx="1114425" cy="628650"/>
        </a:xfrm>
        <a:prstGeom prst="rect">
          <a:avLst/>
        </a:prstGeom>
        <a:noFill/>
        <a:ln w="9525" cmpd="sng">
          <a:noFill/>
        </a:ln>
      </xdr:spPr>
    </xdr:pic>
    <xdr:clientData/>
  </xdr:twoCellAnchor>
  <xdr:twoCellAnchor>
    <xdr:from>
      <xdr:col>11</xdr:col>
      <xdr:colOff>552450</xdr:colOff>
      <xdr:row>139</xdr:row>
      <xdr:rowOff>19050</xdr:rowOff>
    </xdr:from>
    <xdr:to>
      <xdr:col>12</xdr:col>
      <xdr:colOff>733425</xdr:colOff>
      <xdr:row>142</xdr:row>
      <xdr:rowOff>28575</xdr:rowOff>
    </xdr:to>
    <xdr:pic>
      <xdr:nvPicPr>
        <xdr:cNvPr id="4" name="Picture 4"/>
        <xdr:cNvPicPr preferRelativeResize="1">
          <a:picLocks noChangeAspect="1"/>
        </xdr:cNvPicPr>
      </xdr:nvPicPr>
      <xdr:blipFill>
        <a:blip r:embed="rId1"/>
        <a:stretch>
          <a:fillRect/>
        </a:stretch>
      </xdr:blipFill>
      <xdr:spPr>
        <a:xfrm>
          <a:off x="8191500" y="24307800"/>
          <a:ext cx="1114425" cy="628650"/>
        </a:xfrm>
        <a:prstGeom prst="rect">
          <a:avLst/>
        </a:prstGeom>
        <a:noFill/>
        <a:ln w="9525" cmpd="sng">
          <a:noFill/>
        </a:ln>
      </xdr:spPr>
    </xdr:pic>
    <xdr:clientData/>
  </xdr:twoCellAnchor>
  <xdr:twoCellAnchor>
    <xdr:from>
      <xdr:col>11</xdr:col>
      <xdr:colOff>552450</xdr:colOff>
      <xdr:row>187</xdr:row>
      <xdr:rowOff>19050</xdr:rowOff>
    </xdr:from>
    <xdr:to>
      <xdr:col>12</xdr:col>
      <xdr:colOff>733425</xdr:colOff>
      <xdr:row>190</xdr:row>
      <xdr:rowOff>28575</xdr:rowOff>
    </xdr:to>
    <xdr:pic>
      <xdr:nvPicPr>
        <xdr:cNvPr id="5" name="Picture 5"/>
        <xdr:cNvPicPr preferRelativeResize="1">
          <a:picLocks noChangeAspect="1"/>
        </xdr:cNvPicPr>
      </xdr:nvPicPr>
      <xdr:blipFill>
        <a:blip r:embed="rId1"/>
        <a:stretch>
          <a:fillRect/>
        </a:stretch>
      </xdr:blipFill>
      <xdr:spPr>
        <a:xfrm>
          <a:off x="8191500" y="32680275"/>
          <a:ext cx="1114425" cy="628650"/>
        </a:xfrm>
        <a:prstGeom prst="rect">
          <a:avLst/>
        </a:prstGeom>
        <a:noFill/>
        <a:ln w="9525" cmpd="sng">
          <a:noFill/>
        </a:ln>
      </xdr:spPr>
    </xdr:pic>
    <xdr:clientData/>
  </xdr:twoCellAnchor>
  <xdr:twoCellAnchor>
    <xdr:from>
      <xdr:col>11</xdr:col>
      <xdr:colOff>552450</xdr:colOff>
      <xdr:row>231</xdr:row>
      <xdr:rowOff>19050</xdr:rowOff>
    </xdr:from>
    <xdr:to>
      <xdr:col>12</xdr:col>
      <xdr:colOff>733425</xdr:colOff>
      <xdr:row>234</xdr:row>
      <xdr:rowOff>28575</xdr:rowOff>
    </xdr:to>
    <xdr:pic>
      <xdr:nvPicPr>
        <xdr:cNvPr id="6" name="Picture 6"/>
        <xdr:cNvPicPr preferRelativeResize="1">
          <a:picLocks noChangeAspect="1"/>
        </xdr:cNvPicPr>
      </xdr:nvPicPr>
      <xdr:blipFill>
        <a:blip r:embed="rId1"/>
        <a:stretch>
          <a:fillRect/>
        </a:stretch>
      </xdr:blipFill>
      <xdr:spPr>
        <a:xfrm>
          <a:off x="8191500" y="40328850"/>
          <a:ext cx="1114425" cy="628650"/>
        </a:xfrm>
        <a:prstGeom prst="rect">
          <a:avLst/>
        </a:prstGeom>
        <a:noFill/>
        <a:ln w="9525" cmpd="sng">
          <a:noFill/>
        </a:ln>
      </xdr:spPr>
    </xdr:pic>
    <xdr:clientData/>
  </xdr:twoCellAnchor>
  <xdr:twoCellAnchor>
    <xdr:from>
      <xdr:col>11</xdr:col>
      <xdr:colOff>552450</xdr:colOff>
      <xdr:row>268</xdr:row>
      <xdr:rowOff>19050</xdr:rowOff>
    </xdr:from>
    <xdr:to>
      <xdr:col>12</xdr:col>
      <xdr:colOff>733425</xdr:colOff>
      <xdr:row>271</xdr:row>
      <xdr:rowOff>28575</xdr:rowOff>
    </xdr:to>
    <xdr:pic>
      <xdr:nvPicPr>
        <xdr:cNvPr id="7" name="Picture 7"/>
        <xdr:cNvPicPr preferRelativeResize="1">
          <a:picLocks noChangeAspect="1"/>
        </xdr:cNvPicPr>
      </xdr:nvPicPr>
      <xdr:blipFill>
        <a:blip r:embed="rId1"/>
        <a:stretch>
          <a:fillRect/>
        </a:stretch>
      </xdr:blipFill>
      <xdr:spPr>
        <a:xfrm>
          <a:off x="8191500" y="46777275"/>
          <a:ext cx="1114425" cy="628650"/>
        </a:xfrm>
        <a:prstGeom prst="rect">
          <a:avLst/>
        </a:prstGeom>
        <a:noFill/>
        <a:ln w="9525" cmpd="sng">
          <a:noFill/>
        </a:ln>
      </xdr:spPr>
    </xdr:pic>
    <xdr:clientData/>
  </xdr:twoCellAnchor>
  <xdr:twoCellAnchor>
    <xdr:from>
      <xdr:col>11</xdr:col>
      <xdr:colOff>552450</xdr:colOff>
      <xdr:row>314</xdr:row>
      <xdr:rowOff>19050</xdr:rowOff>
    </xdr:from>
    <xdr:to>
      <xdr:col>12</xdr:col>
      <xdr:colOff>733425</xdr:colOff>
      <xdr:row>317</xdr:row>
      <xdr:rowOff>0</xdr:rowOff>
    </xdr:to>
    <xdr:pic>
      <xdr:nvPicPr>
        <xdr:cNvPr id="8" name="Picture 8"/>
        <xdr:cNvPicPr preferRelativeResize="1">
          <a:picLocks noChangeAspect="1"/>
        </xdr:cNvPicPr>
      </xdr:nvPicPr>
      <xdr:blipFill>
        <a:blip r:embed="rId1"/>
        <a:stretch>
          <a:fillRect/>
        </a:stretch>
      </xdr:blipFill>
      <xdr:spPr>
        <a:xfrm>
          <a:off x="8191500" y="54768750"/>
          <a:ext cx="1114425" cy="600075"/>
        </a:xfrm>
        <a:prstGeom prst="rect">
          <a:avLst/>
        </a:prstGeom>
        <a:noFill/>
        <a:ln w="9525" cmpd="sng">
          <a:noFill/>
        </a:ln>
      </xdr:spPr>
    </xdr:pic>
    <xdr:clientData/>
  </xdr:twoCellAnchor>
  <xdr:twoCellAnchor>
    <xdr:from>
      <xdr:col>11</xdr:col>
      <xdr:colOff>552450</xdr:colOff>
      <xdr:row>360</xdr:row>
      <xdr:rowOff>19050</xdr:rowOff>
    </xdr:from>
    <xdr:to>
      <xdr:col>12</xdr:col>
      <xdr:colOff>733425</xdr:colOff>
      <xdr:row>363</xdr:row>
      <xdr:rowOff>28575</xdr:rowOff>
    </xdr:to>
    <xdr:pic>
      <xdr:nvPicPr>
        <xdr:cNvPr id="9" name="Picture 9"/>
        <xdr:cNvPicPr preferRelativeResize="1">
          <a:picLocks noChangeAspect="1"/>
        </xdr:cNvPicPr>
      </xdr:nvPicPr>
      <xdr:blipFill>
        <a:blip r:embed="rId1"/>
        <a:stretch>
          <a:fillRect/>
        </a:stretch>
      </xdr:blipFill>
      <xdr:spPr>
        <a:xfrm>
          <a:off x="8191500" y="62760225"/>
          <a:ext cx="1114425" cy="628650"/>
        </a:xfrm>
        <a:prstGeom prst="rect">
          <a:avLst/>
        </a:prstGeom>
        <a:noFill/>
        <a:ln w="9525" cmpd="sng">
          <a:noFill/>
        </a:ln>
      </xdr:spPr>
    </xdr:pic>
    <xdr:clientData/>
  </xdr:twoCellAnchor>
  <xdr:twoCellAnchor>
    <xdr:from>
      <xdr:col>11</xdr:col>
      <xdr:colOff>552450</xdr:colOff>
      <xdr:row>401</xdr:row>
      <xdr:rowOff>19050</xdr:rowOff>
    </xdr:from>
    <xdr:to>
      <xdr:col>12</xdr:col>
      <xdr:colOff>733425</xdr:colOff>
      <xdr:row>404</xdr:row>
      <xdr:rowOff>28575</xdr:rowOff>
    </xdr:to>
    <xdr:pic>
      <xdr:nvPicPr>
        <xdr:cNvPr id="10" name="Picture 10"/>
        <xdr:cNvPicPr preferRelativeResize="1">
          <a:picLocks noChangeAspect="1"/>
        </xdr:cNvPicPr>
      </xdr:nvPicPr>
      <xdr:blipFill>
        <a:blip r:embed="rId1"/>
        <a:stretch>
          <a:fillRect/>
        </a:stretch>
      </xdr:blipFill>
      <xdr:spPr>
        <a:xfrm>
          <a:off x="8191500" y="69894450"/>
          <a:ext cx="111442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0</xdr:row>
      <xdr:rowOff>95250</xdr:rowOff>
    </xdr:from>
    <xdr:to>
      <xdr:col>15</xdr:col>
      <xdr:colOff>190500</xdr:colOff>
      <xdr:row>3</xdr:row>
      <xdr:rowOff>104775</xdr:rowOff>
    </xdr:to>
    <xdr:pic>
      <xdr:nvPicPr>
        <xdr:cNvPr id="1" name="Picture 8"/>
        <xdr:cNvPicPr preferRelativeResize="1">
          <a:picLocks noChangeAspect="1"/>
        </xdr:cNvPicPr>
      </xdr:nvPicPr>
      <xdr:blipFill>
        <a:blip r:embed="rId1"/>
        <a:stretch>
          <a:fillRect/>
        </a:stretch>
      </xdr:blipFill>
      <xdr:spPr>
        <a:xfrm>
          <a:off x="8715375" y="95250"/>
          <a:ext cx="1114425" cy="628650"/>
        </a:xfrm>
        <a:prstGeom prst="rect">
          <a:avLst/>
        </a:prstGeom>
        <a:noFill/>
        <a:ln w="9525" cmpd="sng">
          <a:noFill/>
        </a:ln>
      </xdr:spPr>
    </xdr:pic>
    <xdr:clientData/>
  </xdr:twoCellAnchor>
  <xdr:twoCellAnchor>
    <xdr:from>
      <xdr:col>13</xdr:col>
      <xdr:colOff>152400</xdr:colOff>
      <xdr:row>129</xdr:row>
      <xdr:rowOff>57150</xdr:rowOff>
    </xdr:from>
    <xdr:to>
      <xdr:col>15</xdr:col>
      <xdr:colOff>219075</xdr:colOff>
      <xdr:row>132</xdr:row>
      <xdr:rowOff>0</xdr:rowOff>
    </xdr:to>
    <xdr:pic>
      <xdr:nvPicPr>
        <xdr:cNvPr id="2" name="Picture 11"/>
        <xdr:cNvPicPr preferRelativeResize="1">
          <a:picLocks noChangeAspect="1"/>
        </xdr:cNvPicPr>
      </xdr:nvPicPr>
      <xdr:blipFill>
        <a:blip r:embed="rId1"/>
        <a:stretch>
          <a:fillRect/>
        </a:stretch>
      </xdr:blipFill>
      <xdr:spPr>
        <a:xfrm>
          <a:off x="8743950" y="22288500"/>
          <a:ext cx="1114425" cy="628650"/>
        </a:xfrm>
        <a:prstGeom prst="rect">
          <a:avLst/>
        </a:prstGeom>
        <a:noFill/>
        <a:ln w="9525" cmpd="sng">
          <a:noFill/>
        </a:ln>
      </xdr:spPr>
    </xdr:pic>
    <xdr:clientData/>
  </xdr:twoCellAnchor>
  <xdr:twoCellAnchor>
    <xdr:from>
      <xdr:col>13</xdr:col>
      <xdr:colOff>133350</xdr:colOff>
      <xdr:row>48</xdr:row>
      <xdr:rowOff>57150</xdr:rowOff>
    </xdr:from>
    <xdr:to>
      <xdr:col>15</xdr:col>
      <xdr:colOff>200025</xdr:colOff>
      <xdr:row>51</xdr:row>
      <xdr:rowOff>66675</xdr:rowOff>
    </xdr:to>
    <xdr:pic>
      <xdr:nvPicPr>
        <xdr:cNvPr id="3" name="Picture 12"/>
        <xdr:cNvPicPr preferRelativeResize="1">
          <a:picLocks noChangeAspect="1"/>
        </xdr:cNvPicPr>
      </xdr:nvPicPr>
      <xdr:blipFill>
        <a:blip r:embed="rId1"/>
        <a:stretch>
          <a:fillRect/>
        </a:stretch>
      </xdr:blipFill>
      <xdr:spPr>
        <a:xfrm>
          <a:off x="8724900" y="8362950"/>
          <a:ext cx="1114425" cy="628650"/>
        </a:xfrm>
        <a:prstGeom prst="rect">
          <a:avLst/>
        </a:prstGeom>
        <a:noFill/>
        <a:ln w="9525" cmpd="sng">
          <a:noFill/>
        </a:ln>
      </xdr:spPr>
    </xdr:pic>
    <xdr:clientData/>
  </xdr:twoCellAnchor>
  <xdr:twoCellAnchor>
    <xdr:from>
      <xdr:col>13</xdr:col>
      <xdr:colOff>123825</xdr:colOff>
      <xdr:row>80</xdr:row>
      <xdr:rowOff>47625</xdr:rowOff>
    </xdr:from>
    <xdr:to>
      <xdr:col>15</xdr:col>
      <xdr:colOff>190500</xdr:colOff>
      <xdr:row>83</xdr:row>
      <xdr:rowOff>123825</xdr:rowOff>
    </xdr:to>
    <xdr:pic>
      <xdr:nvPicPr>
        <xdr:cNvPr id="4" name="Picture 13"/>
        <xdr:cNvPicPr preferRelativeResize="1">
          <a:picLocks noChangeAspect="1"/>
        </xdr:cNvPicPr>
      </xdr:nvPicPr>
      <xdr:blipFill>
        <a:blip r:embed="rId1"/>
        <a:stretch>
          <a:fillRect/>
        </a:stretch>
      </xdr:blipFill>
      <xdr:spPr>
        <a:xfrm>
          <a:off x="8715375" y="13896975"/>
          <a:ext cx="111442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ormen%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rekening normen"/>
      <sheetName val="factor"/>
      <sheetName val="normen"/>
      <sheetName val="#VER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A1:X49"/>
  <sheetViews>
    <sheetView showGridLines="0" tabSelected="1" workbookViewId="0" topLeftCell="A1">
      <selection activeCell="F11" sqref="F11"/>
    </sheetView>
  </sheetViews>
  <sheetFormatPr defaultColWidth="9.140625" defaultRowHeight="13.5" customHeight="1" zeroHeight="1"/>
  <cols>
    <col min="1" max="2" width="8.7109375" style="14" customWidth="1"/>
    <col min="3" max="4" width="13.7109375" style="14" customWidth="1"/>
    <col min="5" max="5" width="14.7109375" style="14" customWidth="1"/>
    <col min="6" max="6" width="16.7109375" style="14" customWidth="1"/>
    <col min="7" max="7" width="7.7109375" style="14" customWidth="1"/>
    <col min="8" max="9" width="8.7109375" style="14" customWidth="1"/>
    <col min="10" max="10" width="13.7109375" style="14" customWidth="1"/>
    <col min="11" max="11" width="17.421875" style="14" customWidth="1"/>
    <col min="12" max="13" width="13.7109375" style="14" customWidth="1"/>
    <col min="14" max="14" width="1.7109375" style="14" customWidth="1"/>
    <col min="15" max="15" width="6.00390625" style="14" customWidth="1"/>
    <col min="16" max="16" width="8.8515625" style="15" customWidth="1"/>
    <col min="17" max="17" width="15.421875" style="15" customWidth="1"/>
    <col min="18" max="19" width="10.7109375" style="2" customWidth="1"/>
    <col min="20" max="21" width="12.7109375" style="15" customWidth="1"/>
    <col min="22" max="23" width="12.7109375" style="1" customWidth="1"/>
    <col min="24" max="24" width="1.7109375" style="14" customWidth="1"/>
    <col min="25" max="16384" width="9.140625" style="14" customWidth="1"/>
  </cols>
  <sheetData>
    <row r="1" spans="1:24" s="5" customFormat="1" ht="14.25" customHeight="1">
      <c r="A1" s="58" t="b">
        <v>1</v>
      </c>
      <c r="B1" s="4"/>
      <c r="C1" s="4"/>
      <c r="D1" s="4"/>
      <c r="E1" s="4"/>
      <c r="F1" s="4"/>
      <c r="G1" s="4"/>
      <c r="H1" s="4"/>
      <c r="I1" s="4"/>
      <c r="N1" s="4"/>
      <c r="O1" s="60"/>
      <c r="P1" s="6"/>
      <c r="Q1" s="6"/>
      <c r="R1" s="7"/>
      <c r="S1" s="7"/>
      <c r="T1" s="6"/>
      <c r="U1" s="6"/>
      <c r="V1" s="8"/>
      <c r="W1" s="8"/>
      <c r="X1" s="4"/>
    </row>
    <row r="2" spans="1:24" s="5" customFormat="1" ht="24.75" customHeight="1">
      <c r="A2" s="316"/>
      <c r="B2" s="9"/>
      <c r="C2" s="9"/>
      <c r="D2" s="9"/>
      <c r="E2" s="10"/>
      <c r="F2" s="10"/>
      <c r="G2" s="10"/>
      <c r="H2" s="10"/>
      <c r="I2" s="11"/>
      <c r="J2" s="12"/>
      <c r="K2" s="4"/>
      <c r="L2" s="10"/>
      <c r="M2" s="13"/>
      <c r="N2" s="4"/>
      <c r="O2" s="60"/>
      <c r="P2" s="6"/>
      <c r="Q2" s="6"/>
      <c r="R2" s="7"/>
      <c r="S2" s="7"/>
      <c r="T2" s="6"/>
      <c r="U2" s="6"/>
      <c r="V2" s="8"/>
      <c r="W2" s="8"/>
      <c r="X2" s="4"/>
    </row>
    <row r="3" spans="15:23" ht="12" customHeight="1">
      <c r="O3" s="60"/>
      <c r="P3" s="6"/>
      <c r="Q3" s="6"/>
      <c r="R3" s="7"/>
      <c r="S3" s="7"/>
      <c r="T3" s="6"/>
      <c r="U3" s="6"/>
      <c r="V3" s="8"/>
      <c r="W3" s="8"/>
    </row>
    <row r="4" ht="12" customHeight="1">
      <c r="O4" s="60"/>
    </row>
    <row r="5" spans="1:13" ht="19.5" customHeight="1">
      <c r="A5" s="59" t="s">
        <v>33</v>
      </c>
      <c r="B5" s="16"/>
      <c r="C5" s="16"/>
      <c r="D5" s="16"/>
      <c r="E5" s="16"/>
      <c r="F5" s="16"/>
      <c r="G5" s="16"/>
      <c r="H5" s="16"/>
      <c r="I5" s="16"/>
      <c r="J5" s="16"/>
      <c r="K5" s="16"/>
      <c r="L5" s="16"/>
      <c r="M5" s="203" t="s">
        <v>614</v>
      </c>
    </row>
    <row r="6" ht="13.5" customHeight="1"/>
    <row r="7" spans="12:13" ht="12" customHeight="1">
      <c r="L7" s="350" t="s">
        <v>392</v>
      </c>
      <c r="M7" s="351"/>
    </row>
    <row r="8" spans="1:13" ht="16.5" customHeight="1">
      <c r="A8" s="17" t="s">
        <v>491</v>
      </c>
      <c r="L8" s="200" t="s">
        <v>393</v>
      </c>
      <c r="M8" s="25" t="s">
        <v>497</v>
      </c>
    </row>
    <row r="9" spans="12:13" ht="13.5" customHeight="1">
      <c r="L9" s="200" t="s">
        <v>398</v>
      </c>
      <c r="M9" s="311">
        <v>38958</v>
      </c>
    </row>
    <row r="10" spans="1:13" ht="13.5" customHeight="1">
      <c r="A10" s="18" t="str">
        <f>IF(OR($F11=0),"U dient het CTG/ZAio registratienummer in te vullen.","")</f>
        <v>U dient het CTG/ZAio registratienummer in te vullen.</v>
      </c>
      <c r="B10" s="19"/>
      <c r="C10" s="19"/>
      <c r="D10" s="20"/>
      <c r="E10" s="21" t="s">
        <v>395</v>
      </c>
      <c r="F10" s="21" t="s">
        <v>396</v>
      </c>
      <c r="K10" s="312"/>
      <c r="L10" s="200" t="s">
        <v>397</v>
      </c>
      <c r="M10" s="25"/>
    </row>
    <row r="11" spans="1:13" ht="13.5" customHeight="1">
      <c r="A11" s="22" t="s">
        <v>496</v>
      </c>
      <c r="B11" s="23"/>
      <c r="C11" s="23"/>
      <c r="D11" s="24"/>
      <c r="E11" s="25">
        <v>650</v>
      </c>
      <c r="F11" s="26"/>
      <c r="J11" s="315"/>
      <c r="K11" s="312"/>
      <c r="L11" s="200" t="s">
        <v>394</v>
      </c>
      <c r="M11" s="25"/>
    </row>
    <row r="12" ht="12" customHeight="1" thickBot="1">
      <c r="O12" s="60"/>
    </row>
    <row r="13" spans="2:23" s="27" customFormat="1" ht="13.5" customHeight="1">
      <c r="B13" s="28"/>
      <c r="C13" s="29" t="s">
        <v>399</v>
      </c>
      <c r="D13" s="30"/>
      <c r="E13" s="30"/>
      <c r="F13" s="30"/>
      <c r="G13" s="30"/>
      <c r="H13" s="30"/>
      <c r="I13" s="31"/>
      <c r="J13" s="31"/>
      <c r="K13" s="31"/>
      <c r="L13" s="32"/>
      <c r="O13" s="60"/>
      <c r="P13" s="15"/>
      <c r="Q13" s="15"/>
      <c r="R13" s="2"/>
      <c r="S13" s="2"/>
      <c r="T13" s="15"/>
      <c r="U13" s="15"/>
      <c r="V13" s="1"/>
      <c r="W13" s="1"/>
    </row>
    <row r="14" spans="2:23" s="27" customFormat="1" ht="13.5" customHeight="1">
      <c r="B14" s="33"/>
      <c r="D14" s="34"/>
      <c r="E14" s="34"/>
      <c r="F14" s="34"/>
      <c r="G14" s="34"/>
      <c r="H14" s="34"/>
      <c r="I14" s="35"/>
      <c r="J14" s="35"/>
      <c r="K14" s="35"/>
      <c r="L14" s="36"/>
      <c r="O14" s="60"/>
      <c r="P14" s="15"/>
      <c r="Q14" s="15"/>
      <c r="R14" s="2"/>
      <c r="S14" s="2"/>
      <c r="T14" s="15"/>
      <c r="U14" s="15"/>
      <c r="V14" s="1"/>
      <c r="W14" s="1"/>
    </row>
    <row r="15" spans="2:23" s="27" customFormat="1" ht="13.5" customHeight="1">
      <c r="B15" s="33"/>
      <c r="C15" s="34"/>
      <c r="D15" s="354" t="s">
        <v>549</v>
      </c>
      <c r="E15" s="354"/>
      <c r="F15" s="354"/>
      <c r="G15" s="354"/>
      <c r="H15" s="354"/>
      <c r="I15" s="354"/>
      <c r="J15" s="354"/>
      <c r="K15" s="354"/>
      <c r="L15" s="36"/>
      <c r="O15" s="60"/>
      <c r="P15" s="15"/>
      <c r="Q15" s="15"/>
      <c r="R15" s="2"/>
      <c r="S15" s="2"/>
      <c r="T15" s="15"/>
      <c r="U15" s="15"/>
      <c r="V15" s="1"/>
      <c r="W15" s="1"/>
    </row>
    <row r="16" spans="2:23" s="27" customFormat="1" ht="13.5" customHeight="1">
      <c r="B16" s="33"/>
      <c r="C16" s="34"/>
      <c r="D16" s="354"/>
      <c r="E16" s="354"/>
      <c r="F16" s="354"/>
      <c r="G16" s="354"/>
      <c r="H16" s="354"/>
      <c r="I16" s="354"/>
      <c r="J16" s="354"/>
      <c r="K16" s="354"/>
      <c r="L16" s="36"/>
      <c r="O16" s="60"/>
      <c r="P16" s="15"/>
      <c r="Q16" s="15"/>
      <c r="R16" s="2"/>
      <c r="S16" s="2"/>
      <c r="T16" s="15"/>
      <c r="U16" s="15"/>
      <c r="V16" s="1"/>
      <c r="W16" s="1"/>
    </row>
    <row r="17" spans="2:23" s="27" customFormat="1" ht="13.5" customHeight="1">
      <c r="B17" s="33"/>
      <c r="C17" s="34"/>
      <c r="D17" s="354"/>
      <c r="E17" s="354"/>
      <c r="F17" s="354"/>
      <c r="G17" s="354"/>
      <c r="H17" s="354"/>
      <c r="I17" s="354"/>
      <c r="J17" s="354"/>
      <c r="K17" s="354"/>
      <c r="L17" s="36"/>
      <c r="O17" s="60"/>
      <c r="P17" s="15"/>
      <c r="Q17" s="15"/>
      <c r="R17" s="2"/>
      <c r="S17" s="2"/>
      <c r="T17" s="15"/>
      <c r="U17" s="15"/>
      <c r="V17" s="1"/>
      <c r="W17" s="1"/>
    </row>
    <row r="18" spans="2:23" s="27" customFormat="1" ht="13.5" customHeight="1">
      <c r="B18" s="33"/>
      <c r="C18" s="34"/>
      <c r="D18" s="37"/>
      <c r="E18" s="37"/>
      <c r="F18" s="37"/>
      <c r="G18" s="37"/>
      <c r="H18" s="37"/>
      <c r="I18" s="37"/>
      <c r="J18" s="37"/>
      <c r="K18" s="37"/>
      <c r="L18" s="36"/>
      <c r="O18" s="60"/>
      <c r="P18" s="15"/>
      <c r="Q18" s="15"/>
      <c r="R18" s="2"/>
      <c r="S18" s="2"/>
      <c r="T18" s="15"/>
      <c r="U18" s="15"/>
      <c r="V18" s="1"/>
      <c r="W18" s="1"/>
    </row>
    <row r="19" spans="2:23" s="27" customFormat="1" ht="13.5" customHeight="1">
      <c r="B19" s="33"/>
      <c r="C19" s="34"/>
      <c r="D19" s="355" t="s">
        <v>400</v>
      </c>
      <c r="E19" s="355"/>
      <c r="F19" s="355"/>
      <c r="G19" s="355"/>
      <c r="H19" s="355"/>
      <c r="I19" s="355"/>
      <c r="J19" s="355"/>
      <c r="K19" s="355"/>
      <c r="L19" s="36"/>
      <c r="O19" s="60"/>
      <c r="P19" s="15"/>
      <c r="Q19" s="15"/>
      <c r="R19" s="2"/>
      <c r="S19" s="2"/>
      <c r="T19" s="15"/>
      <c r="U19" s="15"/>
      <c r="V19" s="1"/>
      <c r="W19" s="1"/>
    </row>
    <row r="20" spans="2:23" s="27" customFormat="1" ht="13.5" customHeight="1">
      <c r="B20" s="33"/>
      <c r="C20" s="34"/>
      <c r="D20" s="355"/>
      <c r="E20" s="355"/>
      <c r="F20" s="355"/>
      <c r="G20" s="355"/>
      <c r="H20" s="355"/>
      <c r="I20" s="355"/>
      <c r="J20" s="355"/>
      <c r="K20" s="355"/>
      <c r="L20" s="36"/>
      <c r="O20" s="60"/>
      <c r="P20" s="15"/>
      <c r="Q20" s="15"/>
      <c r="R20" s="2"/>
      <c r="S20" s="2"/>
      <c r="T20" s="15"/>
      <c r="U20" s="15"/>
      <c r="V20" s="1"/>
      <c r="W20" s="1"/>
    </row>
    <row r="21" spans="2:23" s="27" customFormat="1" ht="13.5" customHeight="1">
      <c r="B21" s="33"/>
      <c r="C21" s="34"/>
      <c r="D21" s="35"/>
      <c r="E21" s="35"/>
      <c r="F21" s="35"/>
      <c r="G21" s="35"/>
      <c r="H21" s="35"/>
      <c r="I21" s="35"/>
      <c r="J21" s="35"/>
      <c r="K21" s="35"/>
      <c r="L21" s="36"/>
      <c r="O21" s="60"/>
      <c r="P21" s="15"/>
      <c r="Q21" s="15"/>
      <c r="R21" s="2"/>
      <c r="S21" s="2"/>
      <c r="T21" s="15"/>
      <c r="U21" s="15"/>
      <c r="V21" s="1"/>
      <c r="W21" s="1"/>
    </row>
    <row r="22" spans="2:23" s="27" customFormat="1" ht="13.5" customHeight="1">
      <c r="B22" s="33"/>
      <c r="C22" s="198"/>
      <c r="D22" s="293" t="str">
        <f>IF(A1=TRUE,"      Invulvelden gearceerd","      Invulvelden niet gearceerd")</f>
        <v>      Invulvelden gearceerd</v>
      </c>
      <c r="E22" s="294"/>
      <c r="F22" s="197"/>
      <c r="G22" s="38"/>
      <c r="I22" s="39"/>
      <c r="L22" s="40"/>
      <c r="O22" s="60"/>
      <c r="P22" s="15"/>
      <c r="Q22" s="15"/>
      <c r="R22" s="2"/>
      <c r="S22" s="2"/>
      <c r="T22" s="15"/>
      <c r="U22" s="15"/>
      <c r="V22" s="1"/>
      <c r="W22" s="1"/>
    </row>
    <row r="23" spans="1:23" s="27" customFormat="1" ht="13.5" customHeight="1" thickBot="1">
      <c r="A23" s="41"/>
      <c r="B23" s="42"/>
      <c r="C23" s="43"/>
      <c r="D23" s="43"/>
      <c r="E23" s="44"/>
      <c r="F23" s="44"/>
      <c r="G23" s="43"/>
      <c r="H23" s="43"/>
      <c r="I23" s="45"/>
      <c r="J23" s="44"/>
      <c r="K23" s="44"/>
      <c r="L23" s="46"/>
      <c r="M23" s="41"/>
      <c r="O23" s="60"/>
      <c r="P23" s="15"/>
      <c r="Q23" s="15"/>
      <c r="R23" s="2"/>
      <c r="S23" s="2"/>
      <c r="T23" s="15"/>
      <c r="U23" s="15"/>
      <c r="V23" s="1"/>
      <c r="W23" s="1"/>
    </row>
    <row r="24" spans="15:19" ht="12" customHeight="1">
      <c r="O24" s="60"/>
      <c r="Q24"/>
      <c r="R24"/>
      <c r="S24"/>
    </row>
    <row r="25" spans="1:19" ht="13.5" customHeight="1">
      <c r="A25" s="18" t="s">
        <v>401</v>
      </c>
      <c r="B25" s="19"/>
      <c r="C25" s="19"/>
      <c r="D25" s="19"/>
      <c r="E25" s="19"/>
      <c r="F25" s="20"/>
      <c r="H25" s="18" t="s">
        <v>402</v>
      </c>
      <c r="I25" s="19"/>
      <c r="J25" s="19"/>
      <c r="K25" s="19"/>
      <c r="L25" s="19"/>
      <c r="M25" s="20"/>
      <c r="S25"/>
    </row>
    <row r="26" spans="1:23" ht="19.5" customHeight="1">
      <c r="A26" s="22" t="s">
        <v>403</v>
      </c>
      <c r="B26" s="24"/>
      <c r="C26" s="347"/>
      <c r="D26" s="343"/>
      <c r="E26" s="343"/>
      <c r="F26" s="344"/>
      <c r="H26" s="22" t="s">
        <v>403</v>
      </c>
      <c r="I26" s="24"/>
      <c r="J26" s="347"/>
      <c r="K26" s="343"/>
      <c r="L26" s="343"/>
      <c r="M26" s="344"/>
      <c r="Q26" s="313"/>
      <c r="S26" s="15"/>
      <c r="U26" s="1"/>
      <c r="W26" s="14"/>
    </row>
    <row r="27" spans="1:23" ht="19.5" customHeight="1">
      <c r="A27" s="22" t="s">
        <v>404</v>
      </c>
      <c r="B27" s="24"/>
      <c r="C27" s="347"/>
      <c r="D27" s="343"/>
      <c r="E27" s="343"/>
      <c r="F27" s="344"/>
      <c r="H27" s="22" t="s">
        <v>404</v>
      </c>
      <c r="I27" s="24"/>
      <c r="J27" s="347"/>
      <c r="K27" s="343"/>
      <c r="L27" s="343"/>
      <c r="M27" s="344"/>
      <c r="Q27" s="314"/>
      <c r="S27" s="15"/>
      <c r="U27" s="1"/>
      <c r="W27" s="14"/>
    </row>
    <row r="28" spans="1:23" ht="19.5" customHeight="1">
      <c r="A28" s="22" t="s">
        <v>405</v>
      </c>
      <c r="B28" s="24"/>
      <c r="C28" s="352"/>
      <c r="D28" s="353"/>
      <c r="E28" s="347"/>
      <c r="F28" s="344"/>
      <c r="H28" s="22" t="s">
        <v>405</v>
      </c>
      <c r="I28" s="24"/>
      <c r="J28" s="352"/>
      <c r="K28" s="353"/>
      <c r="L28" s="347"/>
      <c r="M28" s="344"/>
      <c r="Q28" s="314"/>
      <c r="S28" s="15"/>
      <c r="U28" s="1"/>
      <c r="W28" s="14"/>
    </row>
    <row r="29" spans="1:23" ht="19.5" customHeight="1">
      <c r="A29" s="22" t="s">
        <v>406</v>
      </c>
      <c r="B29" s="24"/>
      <c r="C29" s="347"/>
      <c r="D29" s="343"/>
      <c r="E29" s="343"/>
      <c r="F29" s="344"/>
      <c r="H29" s="22" t="s">
        <v>406</v>
      </c>
      <c r="I29" s="24"/>
      <c r="J29" s="347"/>
      <c r="K29" s="343"/>
      <c r="L29" s="343"/>
      <c r="M29" s="344"/>
      <c r="Q29" s="314"/>
      <c r="S29" s="15"/>
      <c r="U29" s="1"/>
      <c r="W29" s="14"/>
    </row>
    <row r="30" spans="1:13" ht="19.5" customHeight="1">
      <c r="A30" s="22" t="s">
        <v>407</v>
      </c>
      <c r="B30" s="24"/>
      <c r="C30" s="347"/>
      <c r="D30" s="343"/>
      <c r="E30" s="343"/>
      <c r="F30" s="344"/>
      <c r="H30" s="22" t="s">
        <v>407</v>
      </c>
      <c r="I30" s="24"/>
      <c r="J30" s="347"/>
      <c r="K30" s="343"/>
      <c r="L30" s="343"/>
      <c r="M30" s="344"/>
    </row>
    <row r="31" spans="1:13" ht="19.5" customHeight="1">
      <c r="A31" s="22" t="s">
        <v>408</v>
      </c>
      <c r="B31" s="24"/>
      <c r="C31" s="342"/>
      <c r="D31" s="343"/>
      <c r="E31" s="343"/>
      <c r="F31" s="344"/>
      <c r="H31" s="22" t="s">
        <v>408</v>
      </c>
      <c r="I31" s="24"/>
      <c r="J31" s="342"/>
      <c r="K31" s="343"/>
      <c r="L31" s="343"/>
      <c r="M31" s="344"/>
    </row>
    <row r="32" ht="14.25" customHeight="1">
      <c r="O32" s="60"/>
    </row>
    <row r="33" spans="1:13" ht="14.25" customHeight="1">
      <c r="A33" s="18" t="s">
        <v>409</v>
      </c>
      <c r="B33" s="19"/>
      <c r="C33" s="19"/>
      <c r="D33" s="19"/>
      <c r="E33" s="19"/>
      <c r="F33" s="20"/>
      <c r="H33" s="18" t="s">
        <v>410</v>
      </c>
      <c r="I33" s="19"/>
      <c r="J33" s="19"/>
      <c r="K33" s="19"/>
      <c r="L33" s="19"/>
      <c r="M33" s="20"/>
    </row>
    <row r="34" spans="1:15" ht="14.25" customHeight="1">
      <c r="A34" s="47"/>
      <c r="B34" s="48"/>
      <c r="C34" s="48"/>
      <c r="D34" s="48"/>
      <c r="E34" s="48"/>
      <c r="F34" s="49"/>
      <c r="H34" s="47"/>
      <c r="I34" s="48"/>
      <c r="J34" s="48"/>
      <c r="K34" s="48"/>
      <c r="L34" s="48"/>
      <c r="M34" s="49"/>
      <c r="O34" s="60"/>
    </row>
    <row r="35" spans="1:15" ht="14.25" customHeight="1">
      <c r="A35" s="306"/>
      <c r="B35" s="50"/>
      <c r="C35" s="50"/>
      <c r="D35" s="50"/>
      <c r="E35" s="50"/>
      <c r="F35" s="51"/>
      <c r="H35" s="306"/>
      <c r="I35" s="50"/>
      <c r="J35" s="50"/>
      <c r="K35" s="50"/>
      <c r="L35" s="50"/>
      <c r="M35" s="51"/>
      <c r="O35" s="60"/>
    </row>
    <row r="36" spans="1:18" ht="14.25" customHeight="1">
      <c r="A36" s="52"/>
      <c r="B36" s="53"/>
      <c r="C36" s="53"/>
      <c r="D36" s="53"/>
      <c r="E36" s="53"/>
      <c r="F36" s="54" t="s">
        <v>411</v>
      </c>
      <c r="H36" s="52"/>
      <c r="I36" s="53"/>
      <c r="J36" s="53"/>
      <c r="K36" s="53"/>
      <c r="L36" s="53"/>
      <c r="M36" s="54" t="s">
        <v>411</v>
      </c>
      <c r="O36" s="60"/>
      <c r="Q36" s="195" t="s">
        <v>488</v>
      </c>
      <c r="R36" s="196" t="s">
        <v>489</v>
      </c>
    </row>
    <row r="37" spans="1:18" ht="14.25" customHeight="1">
      <c r="A37" s="345"/>
      <c r="B37" s="346"/>
      <c r="C37" s="55" t="s">
        <v>412</v>
      </c>
      <c r="D37" s="347"/>
      <c r="E37" s="343"/>
      <c r="F37" s="55" t="s">
        <v>413</v>
      </c>
      <c r="H37" s="345"/>
      <c r="I37" s="346"/>
      <c r="J37" s="55" t="s">
        <v>412</v>
      </c>
      <c r="K37" s="347"/>
      <c r="L37" s="343"/>
      <c r="M37" s="55" t="s">
        <v>413</v>
      </c>
      <c r="Q37" s="193">
        <v>38687</v>
      </c>
      <c r="R37" s="194">
        <v>39082</v>
      </c>
    </row>
    <row r="38" ht="12" customHeight="1">
      <c r="O38" s="60"/>
    </row>
    <row r="39" spans="1:15" ht="15.75" customHeight="1">
      <c r="A39" s="358" t="s">
        <v>34</v>
      </c>
      <c r="B39" s="358"/>
      <c r="C39" s="358"/>
      <c r="D39" s="358"/>
      <c r="E39" s="358"/>
      <c r="F39" s="358"/>
      <c r="G39" s="358"/>
      <c r="H39" s="358"/>
      <c r="I39" s="358"/>
      <c r="J39" s="358"/>
      <c r="K39" s="358"/>
      <c r="L39" s="358"/>
      <c r="M39" s="358"/>
      <c r="O39" s="60"/>
    </row>
    <row r="40" spans="1:15" ht="15.75" customHeight="1">
      <c r="A40" s="358"/>
      <c r="B40" s="358"/>
      <c r="C40" s="358"/>
      <c r="D40" s="358"/>
      <c r="E40" s="358"/>
      <c r="F40" s="358"/>
      <c r="G40" s="358"/>
      <c r="H40" s="358"/>
      <c r="I40" s="358"/>
      <c r="J40" s="358"/>
      <c r="K40" s="358"/>
      <c r="L40" s="358"/>
      <c r="M40" s="358"/>
      <c r="O40" s="60"/>
    </row>
    <row r="41" spans="1:15" ht="15.75" customHeight="1">
      <c r="A41" s="358"/>
      <c r="B41" s="358"/>
      <c r="C41" s="358"/>
      <c r="D41" s="358"/>
      <c r="E41" s="358"/>
      <c r="F41" s="358"/>
      <c r="G41" s="358"/>
      <c r="H41" s="358"/>
      <c r="I41" s="358"/>
      <c r="J41" s="358"/>
      <c r="K41" s="358"/>
      <c r="L41" s="358"/>
      <c r="M41" s="358"/>
      <c r="O41" s="60"/>
    </row>
    <row r="42" ht="12" customHeight="1">
      <c r="O42" s="60"/>
    </row>
    <row r="43" spans="1:9" ht="14.25" customHeight="1">
      <c r="A43" s="201" t="s">
        <v>612</v>
      </c>
      <c r="B43" s="206"/>
      <c r="C43" s="206"/>
      <c r="D43" s="206"/>
      <c r="E43" s="206"/>
      <c r="F43" s="206"/>
      <c r="G43" s="202"/>
      <c r="H43" s="359">
        <f>'Budget 2006'!M24</f>
        <v>0</v>
      </c>
      <c r="I43" s="360"/>
    </row>
    <row r="44" spans="1:9" ht="14.25" customHeight="1">
      <c r="A44" s="201" t="s">
        <v>414</v>
      </c>
      <c r="B44" s="202"/>
      <c r="C44" s="202"/>
      <c r="D44" s="202"/>
      <c r="E44" s="202"/>
      <c r="F44" s="202"/>
      <c r="G44" s="202"/>
      <c r="H44" s="356"/>
      <c r="I44" s="357"/>
    </row>
    <row r="45" spans="1:23" s="57" customFormat="1" ht="12" customHeight="1">
      <c r="A45" s="68"/>
      <c r="O45" s="60"/>
      <c r="P45" s="15"/>
      <c r="Q45" s="15"/>
      <c r="R45" s="2"/>
      <c r="S45" s="2"/>
      <c r="T45" s="15"/>
      <c r="U45" s="15"/>
      <c r="V45" s="1"/>
      <c r="W45" s="1"/>
    </row>
    <row r="46" spans="1:14" ht="84.75" customHeight="1">
      <c r="A46" s="348" t="s">
        <v>108</v>
      </c>
      <c r="B46" s="349"/>
      <c r="C46" s="349"/>
      <c r="D46" s="349"/>
      <c r="E46" s="349"/>
      <c r="F46" s="349"/>
      <c r="G46" s="349"/>
      <c r="H46" s="349"/>
      <c r="I46" s="349"/>
      <c r="J46" s="349"/>
      <c r="K46" s="349"/>
      <c r="L46" s="349"/>
      <c r="M46" s="349"/>
      <c r="N46" s="349"/>
    </row>
    <row r="47" spans="1:17" ht="12.75">
      <c r="A47" s="14" t="s">
        <v>109</v>
      </c>
      <c r="B47" s="118"/>
      <c r="C47" s="118"/>
      <c r="D47" s="27"/>
      <c r="F47" s="119"/>
      <c r="G47" s="119"/>
      <c r="H47" s="119"/>
      <c r="K47" s="120" t="s">
        <v>152</v>
      </c>
      <c r="L47" s="56" t="s">
        <v>482</v>
      </c>
      <c r="N47" s="118"/>
      <c r="Q47" s="3" t="s">
        <v>153</v>
      </c>
    </row>
    <row r="48" spans="7:17" ht="12" customHeight="1">
      <c r="G48" s="191"/>
      <c r="Q48" s="130" t="s">
        <v>482</v>
      </c>
    </row>
    <row r="49" spans="1:17" ht="14.25" customHeight="1">
      <c r="A49" s="67" t="s">
        <v>453</v>
      </c>
      <c r="O49" s="60"/>
      <c r="Q49" s="131" t="s">
        <v>487</v>
      </c>
    </row>
    <row r="50" ht="13.5" customHeight="1" hidden="1"/>
    <row r="51" ht="13.5" customHeight="1" hidden="1"/>
    <row r="52" ht="13.5" customHeight="1"/>
  </sheetData>
  <sheetProtection password="C796" sheet="1" objects="1" scenarios="1"/>
  <mergeCells count="25">
    <mergeCell ref="C26:F26"/>
    <mergeCell ref="J26:M26"/>
    <mergeCell ref="H44:I44"/>
    <mergeCell ref="A39:M41"/>
    <mergeCell ref="C28:D28"/>
    <mergeCell ref="E28:F28"/>
    <mergeCell ref="H43:I43"/>
    <mergeCell ref="H37:I37"/>
    <mergeCell ref="K37:L37"/>
    <mergeCell ref="J30:M30"/>
    <mergeCell ref="A46:N46"/>
    <mergeCell ref="L7:M7"/>
    <mergeCell ref="C29:F29"/>
    <mergeCell ref="C30:F30"/>
    <mergeCell ref="L28:M28"/>
    <mergeCell ref="J27:M27"/>
    <mergeCell ref="J28:K28"/>
    <mergeCell ref="J29:M29"/>
    <mergeCell ref="D15:K17"/>
    <mergeCell ref="D19:K20"/>
    <mergeCell ref="J31:M31"/>
    <mergeCell ref="A37:B37"/>
    <mergeCell ref="D37:E37"/>
    <mergeCell ref="C27:F27"/>
    <mergeCell ref="C31:F31"/>
  </mergeCells>
  <conditionalFormatting sqref="A10:D10">
    <cfRule type="expression" priority="1" dxfId="0" stopIfTrue="1">
      <formula>$A10&lt;&gt;""</formula>
    </cfRule>
  </conditionalFormatting>
  <conditionalFormatting sqref="L47 C26:C31 E28 J26:J31 M37 H44 J37:K37 F37 C37:D37 A36:A37 D22:E22 F11 L28 B34:F36 A34 I34:M36 H34 H36:H37">
    <cfRule type="expression" priority="2" dxfId="1" stopIfTrue="1">
      <formula>$A$1=TRUE</formula>
    </cfRule>
  </conditionalFormatting>
  <conditionalFormatting sqref="A35 H35">
    <cfRule type="expression" priority="3" dxfId="1" stopIfTrue="1">
      <formula>$A$1=TRUE</formula>
    </cfRule>
    <cfRule type="cellIs" priority="4" dxfId="2" operator="equal" stopIfTrue="1">
      <formula>"LET OP DEZE VERSIE VAN HET FORMULIER IS VERLOPEN"</formula>
    </cfRule>
  </conditionalFormatting>
  <dataValidations count="5">
    <dataValidation type="whole" operator="greaterThanOrEqual" allowBlank="1" showInputMessage="1" showErrorMessage="1" errorTitle="Onjuiste invoer:" error="- de invoer moet een geheel getal zijn&#10;- de invoer mag niet negatief zijn" sqref="G48">
      <formula1>$P48</formula1>
    </dataValidation>
    <dataValidation type="whole" allowBlank="1" showInputMessage="1" showErrorMessage="1" errorTitle="Invoer onjuist" error="U dient een bestaand instellingsnummer in te vullen." sqref="F11">
      <formula1>1</formula1>
      <formula2>9999</formula2>
    </dataValidation>
    <dataValidation type="list" allowBlank="1" showInputMessage="1" showErrorMessage="1" errorTitle="Invoer onjuist" error="U kunt in deze cel alleen &quot;JA&quot; of &quot;NEE&quot; invullen." sqref="L47">
      <formula1>$Q$48:$Q$49</formula1>
    </dataValidation>
    <dataValidation type="date" allowBlank="1" showInputMessage="1" showErrorMessage="1" errorTitle="Invoer onjuist" error="De datum dient voor 31 december 2006 te liggen.&#10;&#10;Datumnotatie: DD-MM-JJJJ." sqref="A37:B37 H37:I37">
      <formula1>$Q37</formula1>
      <formula2>$R37</formula2>
    </dataValidation>
    <dataValidation type="whole" operator="greaterThanOrEqual" allowBlank="1" showInputMessage="1" showErrorMessage="1" errorTitle="Invoer onjuist" error="Er dient een geheel getal groter of gelijk aan nul te worden ingevuld." sqref="H44:I44">
      <formula1>0</formula1>
    </dataValidation>
  </dataValidations>
  <printOptions/>
  <pageMargins left="0.43" right="0.42" top="0.32" bottom="0.1968503937007874" header="0.19" footer="0.1968503937007874"/>
  <pageSetup horizontalDpi="600" verticalDpi="600" orientation="landscape"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Blad2"/>
  <dimension ref="A2:B82"/>
  <sheetViews>
    <sheetView showGridLines="0" workbookViewId="0" topLeftCell="A1">
      <selection activeCell="A1" sqref="A1"/>
    </sheetView>
  </sheetViews>
  <sheetFormatPr defaultColWidth="9.140625" defaultRowHeight="12.75" zeroHeight="1"/>
  <cols>
    <col min="17" max="16384" width="0" style="0" hidden="1" customWidth="1"/>
  </cols>
  <sheetData>
    <row r="1" ht="12.75"/>
    <row r="2" ht="12.75">
      <c r="A2" s="296" t="s">
        <v>111</v>
      </c>
    </row>
    <row r="3" ht="12.75"/>
    <row r="4" ht="12.75"/>
    <row r="5" ht="12.75">
      <c r="A5" s="299" t="s">
        <v>590</v>
      </c>
    </row>
    <row r="6" ht="12.75"/>
    <row r="7" ht="12.75">
      <c r="A7" s="300" t="s">
        <v>144</v>
      </c>
    </row>
    <row r="8" ht="12.75">
      <c r="A8" s="300" t="s">
        <v>112</v>
      </c>
    </row>
    <row r="9" ht="12.75">
      <c r="A9" s="300" t="s">
        <v>585</v>
      </c>
    </row>
    <row r="10" ht="12.75">
      <c r="A10" s="300" t="s">
        <v>530</v>
      </c>
    </row>
    <row r="11" ht="12.75">
      <c r="A11" s="298" t="s">
        <v>613</v>
      </c>
    </row>
    <row r="12" ht="12.75">
      <c r="A12" s="300" t="s">
        <v>611</v>
      </c>
    </row>
    <row r="13" ht="12.75">
      <c r="A13" s="298" t="s">
        <v>113</v>
      </c>
    </row>
    <row r="14" ht="12.75">
      <c r="A14" s="298" t="s">
        <v>114</v>
      </c>
    </row>
    <row r="15" ht="12.75"/>
    <row r="16" ht="12.75">
      <c r="A16" s="339" t="s">
        <v>591</v>
      </c>
    </row>
    <row r="17" ht="12.75"/>
    <row r="18" ht="12.75">
      <c r="A18" s="299" t="s">
        <v>592</v>
      </c>
    </row>
    <row r="19" ht="12.75">
      <c r="A19" s="297"/>
    </row>
    <row r="20" ht="12.75">
      <c r="A20" s="300" t="s">
        <v>132</v>
      </c>
    </row>
    <row r="21" ht="12.75">
      <c r="A21" t="s">
        <v>133</v>
      </c>
    </row>
    <row r="22" ht="12.75"/>
    <row r="23" ht="12.75">
      <c r="A23" s="299" t="s">
        <v>593</v>
      </c>
    </row>
    <row r="24" ht="12.75">
      <c r="A24" s="297"/>
    </row>
    <row r="25" ht="12.75">
      <c r="A25" s="302" t="s">
        <v>115</v>
      </c>
    </row>
    <row r="26" ht="12.75">
      <c r="A26" s="300" t="s">
        <v>134</v>
      </c>
    </row>
    <row r="27" ht="12.75">
      <c r="A27" s="300" t="s">
        <v>135</v>
      </c>
    </row>
    <row r="28" ht="12.75">
      <c r="A28" s="300"/>
    </row>
    <row r="29" ht="12.75">
      <c r="A29" s="302" t="s">
        <v>342</v>
      </c>
    </row>
    <row r="30" ht="12.75">
      <c r="A30" s="300" t="s">
        <v>136</v>
      </c>
    </row>
    <row r="31" ht="12.75">
      <c r="A31" s="298" t="s">
        <v>137</v>
      </c>
    </row>
    <row r="32" ht="12.75">
      <c r="A32" s="298"/>
    </row>
    <row r="33" ht="12.75">
      <c r="A33" s="302" t="s">
        <v>343</v>
      </c>
    </row>
    <row r="34" ht="12.75">
      <c r="A34" s="300" t="s">
        <v>344</v>
      </c>
    </row>
    <row r="35" ht="12.75">
      <c r="A35" s="300" t="s">
        <v>123</v>
      </c>
    </row>
    <row r="36" ht="12.75">
      <c r="A36" s="300" t="s">
        <v>345</v>
      </c>
    </row>
    <row r="37" ht="12.75">
      <c r="A37" s="300" t="s">
        <v>124</v>
      </c>
    </row>
    <row r="38" ht="12.75">
      <c r="A38" s="300" t="s">
        <v>125</v>
      </c>
    </row>
    <row r="39" ht="12.75">
      <c r="A39" s="302"/>
    </row>
    <row r="40" ht="12.75">
      <c r="A40" s="302" t="s">
        <v>116</v>
      </c>
    </row>
    <row r="41" ht="12.75">
      <c r="A41" s="298" t="s">
        <v>138</v>
      </c>
    </row>
    <row r="42" ht="12.75">
      <c r="A42" s="300" t="s">
        <v>346</v>
      </c>
    </row>
    <row r="43" ht="12.75">
      <c r="A43" s="300" t="s">
        <v>139</v>
      </c>
    </row>
    <row r="44" ht="12.75">
      <c r="A44" s="300"/>
    </row>
    <row r="45" ht="12.75">
      <c r="A45" s="302" t="s">
        <v>117</v>
      </c>
    </row>
    <row r="46" ht="12.75">
      <c r="A46" s="300" t="s">
        <v>140</v>
      </c>
    </row>
    <row r="47" ht="12.75">
      <c r="A47" t="s">
        <v>141</v>
      </c>
    </row>
    <row r="48" ht="12.75">
      <c r="A48" t="s">
        <v>126</v>
      </c>
    </row>
    <row r="49" ht="12.75"/>
    <row r="50" ht="12.75">
      <c r="A50" s="299" t="s">
        <v>594</v>
      </c>
    </row>
    <row r="51" ht="12.75">
      <c r="A51" s="297"/>
    </row>
    <row r="52" ht="12.75">
      <c r="A52" s="300" t="s">
        <v>142</v>
      </c>
    </row>
    <row r="53" ht="12.75">
      <c r="A53" s="300" t="s">
        <v>143</v>
      </c>
    </row>
    <row r="54" ht="12.75">
      <c r="A54" s="300" t="s">
        <v>145</v>
      </c>
    </row>
    <row r="55" ht="12.75">
      <c r="A55" s="300" t="s">
        <v>146</v>
      </c>
    </row>
    <row r="56" spans="1:2" ht="12.75">
      <c r="A56" s="301" t="s">
        <v>127</v>
      </c>
      <c r="B56" s="328" t="s">
        <v>599</v>
      </c>
    </row>
    <row r="57" spans="1:2" ht="12.75">
      <c r="A57" s="301" t="s">
        <v>128</v>
      </c>
      <c r="B57" s="328" t="s">
        <v>600</v>
      </c>
    </row>
    <row r="58" spans="1:2" ht="12.75">
      <c r="A58" s="301" t="s">
        <v>129</v>
      </c>
      <c r="B58" s="328" t="s">
        <v>601</v>
      </c>
    </row>
    <row r="59" spans="1:2" ht="12.75">
      <c r="A59" s="303" t="s">
        <v>130</v>
      </c>
      <c r="B59" s="328" t="s">
        <v>602</v>
      </c>
    </row>
    <row r="60" spans="1:2" ht="12.75">
      <c r="A60" s="303" t="s">
        <v>604</v>
      </c>
      <c r="B60" s="328" t="s">
        <v>603</v>
      </c>
    </row>
    <row r="61" spans="1:2" ht="12.75">
      <c r="A61" s="297"/>
      <c r="B61" s="328"/>
    </row>
    <row r="62" ht="12.75">
      <c r="A62" s="299" t="s">
        <v>595</v>
      </c>
    </row>
    <row r="63" ht="12.75">
      <c r="A63" s="297"/>
    </row>
    <row r="64" ht="12.75">
      <c r="A64" s="298" t="s">
        <v>531</v>
      </c>
    </row>
    <row r="65" ht="12.75">
      <c r="A65" s="305" t="s">
        <v>147</v>
      </c>
    </row>
    <row r="66" ht="12.75">
      <c r="A66" s="300" t="s">
        <v>150</v>
      </c>
    </row>
    <row r="67" ht="12.75">
      <c r="A67" s="300" t="s">
        <v>151</v>
      </c>
    </row>
    <row r="68" ht="12.75">
      <c r="A68" s="300"/>
    </row>
    <row r="69" ht="12.75">
      <c r="A69" s="299" t="s">
        <v>596</v>
      </c>
    </row>
    <row r="70" ht="12.75">
      <c r="A70" s="299"/>
    </row>
    <row r="71" ht="12.75">
      <c r="A71" s="304" t="s">
        <v>131</v>
      </c>
    </row>
    <row r="72" ht="12.75">
      <c r="A72" s="300" t="s">
        <v>148</v>
      </c>
    </row>
    <row r="73" ht="12.75">
      <c r="A73" s="300" t="s">
        <v>149</v>
      </c>
    </row>
    <row r="74" ht="12.75"/>
    <row r="75" ht="12.75">
      <c r="A75" s="339" t="s">
        <v>597</v>
      </c>
    </row>
    <row r="76" ht="12.75"/>
    <row r="77" ht="12.75">
      <c r="A77" s="339" t="s">
        <v>598</v>
      </c>
    </row>
    <row r="78" ht="12.75"/>
    <row r="79" ht="12.75">
      <c r="A79" t="s">
        <v>586</v>
      </c>
    </row>
    <row r="80" ht="12.75">
      <c r="A80" t="s">
        <v>587</v>
      </c>
    </row>
    <row r="81" ht="12.75">
      <c r="A81" t="s">
        <v>588</v>
      </c>
    </row>
    <row r="82" ht="12.75">
      <c r="A82" t="s">
        <v>589</v>
      </c>
    </row>
    <row r="83" ht="12.75"/>
    <row r="84" ht="12.75"/>
    <row r="85" ht="12.75"/>
    <row r="86" ht="12.75"/>
    <row r="87" ht="12.75"/>
  </sheetData>
  <sheetProtection password="C796" sheet="1" objects="1" scenarios="1"/>
  <printOptions/>
  <pageMargins left="0.75" right="0.75" top="1" bottom="1" header="0.5" footer="0.5"/>
  <pageSetup horizontalDpi="600" verticalDpi="600" orientation="landscape" paperSize="9" scale="83" r:id="rId2"/>
  <headerFooter alignWithMargins="0">
    <oddHeader>&amp;LCollege tarieven gezondheidszorg/Zorgautoriteit i.o.</oddHeader>
  </headerFooter>
  <rowBreaks count="1" manualBreakCount="1">
    <brk id="38" max="16" man="1"/>
  </rowBreaks>
  <drawing r:id="rId1"/>
</worksheet>
</file>

<file path=xl/worksheets/sheet3.xml><?xml version="1.0" encoding="utf-8"?>
<worksheet xmlns="http://schemas.openxmlformats.org/spreadsheetml/2006/main" xmlns:r="http://schemas.openxmlformats.org/officeDocument/2006/relationships">
  <sheetPr codeName="Blad4"/>
  <dimension ref="A1:AD450"/>
  <sheetViews>
    <sheetView showGridLines="0" zoomScaleSheetLayoutView="100" workbookViewId="0" topLeftCell="B1">
      <selection activeCell="M18" sqref="M18"/>
    </sheetView>
  </sheetViews>
  <sheetFormatPr defaultColWidth="9.140625" defaultRowHeight="13.5" customHeight="1" zeroHeight="1"/>
  <cols>
    <col min="1" max="1" width="9.140625" style="27" hidden="1" customWidth="1"/>
    <col min="2" max="2" width="6.7109375" style="80" customWidth="1"/>
    <col min="3" max="3" width="9.7109375" style="27" customWidth="1"/>
    <col min="4" max="4" width="20.7109375" style="27" customWidth="1"/>
    <col min="5" max="5" width="26.7109375" style="27" customWidth="1"/>
    <col min="6" max="6" width="10.7109375" style="27" customWidth="1"/>
    <col min="7" max="8" width="13.140625" style="27" customWidth="1"/>
    <col min="9" max="9" width="13.140625" style="27" hidden="1" customWidth="1"/>
    <col min="10" max="10" width="13.7109375" style="27" customWidth="1"/>
    <col min="11" max="11" width="12.7109375" style="27" hidden="1" customWidth="1"/>
    <col min="12" max="13" width="14.00390625" style="27" customWidth="1"/>
    <col min="14" max="14" width="5.7109375" style="27" customWidth="1"/>
    <col min="15" max="15" width="12.7109375" style="27" customWidth="1"/>
    <col min="16" max="16384" width="13.7109375" style="27" hidden="1" customWidth="1"/>
  </cols>
  <sheetData>
    <row r="1" spans="1:11" ht="18" customHeight="1">
      <c r="A1" s="74" t="s">
        <v>207</v>
      </c>
      <c r="B1" s="73" t="b">
        <f>Voorblad!A1</f>
        <v>1</v>
      </c>
      <c r="I1" s="74" t="s">
        <v>207</v>
      </c>
      <c r="K1" s="74" t="s">
        <v>207</v>
      </c>
    </row>
    <row r="2" spans="2:13" ht="18" customHeight="1">
      <c r="B2" s="75" t="s">
        <v>36</v>
      </c>
      <c r="C2" s="75"/>
      <c r="D2" s="75"/>
      <c r="E2" s="89"/>
      <c r="F2" s="123" t="str">
        <f>CONCATENATE(Voorblad!$E$11," / ",Voorblad!$F$11)</f>
        <v>650 / </v>
      </c>
      <c r="G2" s="75"/>
      <c r="H2" s="76"/>
      <c r="I2" s="75"/>
      <c r="J2" s="76" t="str">
        <f>"versie: "&amp;TEXT(Voorblad!$M$9,"dd-mm-jjjj")</f>
        <v>versie: 29-08-2006</v>
      </c>
      <c r="K2" s="76"/>
      <c r="L2" s="78"/>
      <c r="M2" s="79">
        <v>1</v>
      </c>
    </row>
    <row r="3" ht="12.75"/>
    <row r="4" ht="13.5" customHeight="1">
      <c r="H4" s="4"/>
    </row>
    <row r="5" ht="13.5" customHeight="1">
      <c r="B5" s="81" t="str">
        <f>"Beslag op de contracteerruimten 2006 van zorgkantoor "&amp;Voorblad!J26&amp;""</f>
        <v>Beslag op de contracteerruimten 2006 van zorgkantoor </v>
      </c>
    </row>
    <row r="6" ht="13.5" customHeight="1"/>
    <row r="7" spans="2:4" ht="13.5" customHeight="1">
      <c r="B7" s="90" t="s">
        <v>498</v>
      </c>
      <c r="D7" s="207" t="str">
        <f>""&amp;Voorblad!C26&amp;" ("&amp;$F$2&amp;")"</f>
        <v> (650 / )</v>
      </c>
    </row>
    <row r="8" ht="13.5" customHeight="1"/>
    <row r="9" ht="13.5" customHeight="1"/>
    <row r="10" spans="2:13" s="124" customFormat="1" ht="15.75" customHeight="1">
      <c r="B10" s="125" t="s">
        <v>499</v>
      </c>
      <c r="C10" s="208" t="str">
        <f>"Afspraken ten laste van de contracteerruimte exclusief geoormerkte gelden (van regel "&amp;B447&amp;" -/- "&amp;B18&amp;" -/- "&amp;B20&amp;" -/- "&amp;B22&amp;")"</f>
        <v>Afspraken ten laste van de contracteerruimte exclusief geoormerkte gelden (van regel 1032 -/- E -/- F -/- G)</v>
      </c>
      <c r="D10" s="126"/>
      <c r="E10" s="126"/>
      <c r="F10" s="126"/>
      <c r="G10" s="126"/>
      <c r="H10" s="126"/>
      <c r="I10" s="126"/>
      <c r="J10" s="126"/>
      <c r="K10" s="126"/>
      <c r="L10" s="127"/>
      <c r="M10" s="209">
        <f>M447-M18-M20-M22</f>
        <v>0</v>
      </c>
    </row>
    <row r="11" spans="2:13" s="124" customFormat="1" ht="13.5" customHeight="1">
      <c r="B11" s="128"/>
      <c r="C11" s="128"/>
      <c r="M11" s="61"/>
    </row>
    <row r="12" spans="2:13" s="124" customFormat="1" ht="15.75" customHeight="1">
      <c r="B12" s="125" t="s">
        <v>500</v>
      </c>
      <c r="C12" s="208" t="str">
        <f>"Afspraken ten laste van de contracteerruimte  Zorgzwaarte in AWBZ-instellingen (verpleeghuizen) (van regel "&amp;B163&amp;")"</f>
        <v>Afspraken ten laste van de contracteerruimte  Zorgzwaarte in AWBZ-instellingen (verpleeghuizen) (van regel 416)</v>
      </c>
      <c r="D12" s="126"/>
      <c r="E12" s="126"/>
      <c r="F12" s="126"/>
      <c r="G12" s="126"/>
      <c r="H12" s="126"/>
      <c r="I12" s="126"/>
      <c r="J12" s="126"/>
      <c r="K12" s="126"/>
      <c r="L12" s="264"/>
      <c r="M12" s="209">
        <f>M163</f>
        <v>0</v>
      </c>
    </row>
    <row r="13" spans="2:13" s="124" customFormat="1" ht="13.5" customHeight="1">
      <c r="B13" s="128"/>
      <c r="C13" s="128"/>
      <c r="M13" s="61"/>
    </row>
    <row r="14" spans="2:13" s="124" customFormat="1" ht="15.75" customHeight="1">
      <c r="B14" s="125" t="s">
        <v>501</v>
      </c>
      <c r="C14" s="208" t="s">
        <v>74</v>
      </c>
      <c r="D14" s="126"/>
      <c r="E14" s="126"/>
      <c r="F14" s="126"/>
      <c r="G14" s="126"/>
      <c r="H14" s="126"/>
      <c r="I14" s="126"/>
      <c r="J14" s="263"/>
      <c r="K14" s="126"/>
      <c r="L14" s="127"/>
      <c r="M14" s="280" t="s">
        <v>73</v>
      </c>
    </row>
    <row r="15" spans="2:13" s="124" customFormat="1" ht="13.5" customHeight="1">
      <c r="B15" s="128"/>
      <c r="C15" s="128"/>
      <c r="M15" s="61"/>
    </row>
    <row r="16" spans="2:13" s="124" customFormat="1" ht="15.75" customHeight="1">
      <c r="B16" s="125" t="s">
        <v>502</v>
      </c>
      <c r="C16" s="208" t="str">
        <f>"Afspraken ten laste van de contracteerruimte AIV Preventie en Voedingsvoorlichting (van regel "&amp;B264&amp;" + "&amp;B265&amp;")"</f>
        <v>Afspraken ten laste van de contracteerruimte AIV Preventie en Voedingsvoorlichting (van regel 619 + 620)</v>
      </c>
      <c r="D16" s="126"/>
      <c r="E16" s="126"/>
      <c r="F16" s="126"/>
      <c r="G16" s="126"/>
      <c r="H16" s="126"/>
      <c r="I16" s="126"/>
      <c r="J16" s="126"/>
      <c r="K16" s="126"/>
      <c r="L16" s="127"/>
      <c r="M16" s="209">
        <f>M264+M265</f>
        <v>0</v>
      </c>
    </row>
    <row r="17" spans="2:3" s="124" customFormat="1" ht="13.5" customHeight="1">
      <c r="B17" s="128"/>
      <c r="C17" s="128"/>
    </row>
    <row r="18" spans="2:13" ht="13.5" customHeight="1">
      <c r="B18" s="125" t="s">
        <v>503</v>
      </c>
      <c r="C18" s="208" t="s">
        <v>583</v>
      </c>
      <c r="D18" s="126"/>
      <c r="E18" s="126"/>
      <c r="F18" s="126"/>
      <c r="G18" s="126"/>
      <c r="H18" s="126"/>
      <c r="I18" s="126"/>
      <c r="J18" s="126"/>
      <c r="K18" s="126"/>
      <c r="L18" s="127"/>
      <c r="M18" s="341"/>
    </row>
    <row r="19" ht="13.5" customHeight="1"/>
    <row r="20" spans="2:13" ht="13.5" customHeight="1">
      <c r="B20" s="125" t="s">
        <v>581</v>
      </c>
      <c r="C20" s="208" t="s">
        <v>584</v>
      </c>
      <c r="D20" s="126"/>
      <c r="E20" s="126"/>
      <c r="F20" s="126"/>
      <c r="G20" s="126"/>
      <c r="H20" s="126"/>
      <c r="I20" s="126"/>
      <c r="J20" s="126"/>
      <c r="K20" s="126"/>
      <c r="L20" s="127"/>
      <c r="M20" s="341"/>
    </row>
    <row r="21" ht="13.5" customHeight="1"/>
    <row r="22" spans="2:13" ht="13.5" customHeight="1">
      <c r="B22" s="125" t="s">
        <v>582</v>
      </c>
      <c r="C22" s="208" t="s">
        <v>609</v>
      </c>
      <c r="D22" s="126"/>
      <c r="E22" s="126"/>
      <c r="F22" s="126"/>
      <c r="G22" s="126"/>
      <c r="H22" s="126"/>
      <c r="I22" s="126"/>
      <c r="J22" s="126"/>
      <c r="K22" s="126"/>
      <c r="L22" s="127"/>
      <c r="M22" s="341"/>
    </row>
    <row r="23" ht="13.5" customHeight="1" thickBot="1"/>
    <row r="24" spans="2:13" s="124" customFormat="1" ht="15.75" customHeight="1" thickBot="1">
      <c r="B24" s="125" t="s">
        <v>610</v>
      </c>
      <c r="C24" s="208" t="s">
        <v>106</v>
      </c>
      <c r="D24" s="126"/>
      <c r="E24" s="126"/>
      <c r="F24" s="126"/>
      <c r="G24" s="126"/>
      <c r="H24" s="126"/>
      <c r="I24" s="126"/>
      <c r="J24" s="126"/>
      <c r="K24" s="126"/>
      <c r="L24" s="129"/>
      <c r="M24" s="210">
        <f>M10+M12+M16+M18+M20+M22</f>
        <v>0</v>
      </c>
    </row>
    <row r="25" ht="13.5" customHeight="1"/>
    <row r="26" ht="13.5" customHeight="1"/>
    <row r="27" ht="13.5" customHeight="1"/>
    <row r="28" ht="13.5" customHeight="1">
      <c r="B28" s="81" t="s">
        <v>203</v>
      </c>
    </row>
    <row r="29" ht="13.5" customHeight="1">
      <c r="B29" s="82"/>
    </row>
    <row r="30" ht="13.5" customHeight="1">
      <c r="B30" s="82" t="s">
        <v>28</v>
      </c>
    </row>
    <row r="31" ht="13.5" customHeight="1">
      <c r="B31" s="82" t="s">
        <v>35</v>
      </c>
    </row>
    <row r="32" ht="13.5" customHeight="1">
      <c r="B32" s="82" t="s">
        <v>375</v>
      </c>
    </row>
    <row r="33" ht="13.5" customHeight="1"/>
    <row r="34" spans="2:16" ht="13.5" customHeight="1">
      <c r="B34" s="83" t="s">
        <v>191</v>
      </c>
      <c r="C34" s="84" t="s">
        <v>192</v>
      </c>
      <c r="D34" s="78"/>
      <c r="E34" s="78"/>
      <c r="F34" s="98"/>
      <c r="G34" s="83" t="s">
        <v>201</v>
      </c>
      <c r="I34" s="85" t="s">
        <v>202</v>
      </c>
      <c r="P34" s="3" t="s">
        <v>153</v>
      </c>
    </row>
    <row r="35" spans="2:16" ht="13.5" customHeight="1">
      <c r="B35" s="86">
        <v>3</v>
      </c>
      <c r="C35" s="87" t="s">
        <v>193</v>
      </c>
      <c r="D35" s="78"/>
      <c r="E35" s="78"/>
      <c r="F35" s="98"/>
      <c r="G35" s="69"/>
      <c r="I35" s="88"/>
      <c r="P35" s="130" t="s">
        <v>183</v>
      </c>
    </row>
    <row r="36" spans="2:16" ht="13.5" customHeight="1">
      <c r="B36" s="86">
        <v>4</v>
      </c>
      <c r="C36" s="87" t="s">
        <v>194</v>
      </c>
      <c r="D36" s="78"/>
      <c r="E36" s="78"/>
      <c r="F36" s="98"/>
      <c r="G36" s="69"/>
      <c r="I36" s="88"/>
      <c r="P36" s="131" t="s">
        <v>184</v>
      </c>
    </row>
    <row r="37" spans="2:9" ht="13.5" customHeight="1">
      <c r="B37" s="86">
        <v>5</v>
      </c>
      <c r="C37" s="87" t="s">
        <v>195</v>
      </c>
      <c r="D37" s="78"/>
      <c r="E37" s="78"/>
      <c r="F37" s="98"/>
      <c r="G37" s="69"/>
      <c r="I37" s="88"/>
    </row>
    <row r="38" spans="2:9" ht="13.5" customHeight="1">
      <c r="B38" s="86">
        <v>6</v>
      </c>
      <c r="C38" s="87" t="s">
        <v>196</v>
      </c>
      <c r="D38" s="78"/>
      <c r="E38" s="78"/>
      <c r="F38" s="98"/>
      <c r="G38" s="69"/>
      <c r="I38" s="88"/>
    </row>
    <row r="39" spans="2:9" ht="13.5" customHeight="1">
      <c r="B39" s="86">
        <v>7</v>
      </c>
      <c r="C39" s="87" t="s">
        <v>197</v>
      </c>
      <c r="D39" s="78"/>
      <c r="E39" s="78"/>
      <c r="F39" s="98"/>
      <c r="G39" s="69"/>
      <c r="I39" s="88"/>
    </row>
    <row r="40" spans="2:9" ht="13.5" customHeight="1">
      <c r="B40" s="86">
        <v>8</v>
      </c>
      <c r="C40" s="87" t="s">
        <v>198</v>
      </c>
      <c r="D40" s="78"/>
      <c r="E40" s="78"/>
      <c r="F40" s="98"/>
      <c r="G40" s="69"/>
      <c r="I40" s="88"/>
    </row>
    <row r="41" spans="2:9" ht="13.5" customHeight="1">
      <c r="B41" s="86">
        <v>9</v>
      </c>
      <c r="C41" s="87" t="s">
        <v>204</v>
      </c>
      <c r="D41" s="78"/>
      <c r="E41" s="78"/>
      <c r="F41" s="98"/>
      <c r="G41" s="69"/>
      <c r="I41" s="88"/>
    </row>
    <row r="42" spans="2:9" ht="13.5" customHeight="1">
      <c r="B42" s="86">
        <v>11</v>
      </c>
      <c r="C42" s="87" t="s">
        <v>199</v>
      </c>
      <c r="D42" s="78"/>
      <c r="E42" s="78"/>
      <c r="F42" s="98"/>
      <c r="G42" s="69"/>
      <c r="I42" s="88"/>
    </row>
    <row r="43" spans="2:9" ht="13.5" customHeight="1">
      <c r="B43" s="86">
        <v>16</v>
      </c>
      <c r="C43" s="87" t="s">
        <v>200</v>
      </c>
      <c r="D43" s="78"/>
      <c r="E43" s="78"/>
      <c r="F43" s="98"/>
      <c r="G43" s="69"/>
      <c r="I43" s="88"/>
    </row>
    <row r="44" ht="13.5" customHeight="1"/>
    <row r="45" ht="13.5" customHeight="1"/>
    <row r="46" ht="13.5" customHeight="1">
      <c r="B46" s="27"/>
    </row>
    <row r="47" ht="13.5" customHeight="1">
      <c r="B47" s="204"/>
    </row>
    <row r="48" spans="1:20" ht="18" customHeight="1">
      <c r="A48" s="74" t="s">
        <v>207</v>
      </c>
      <c r="B48" s="73"/>
      <c r="I48" s="184"/>
      <c r="J48" s="41"/>
      <c r="K48" s="184"/>
      <c r="T48" s="266">
        <v>39083</v>
      </c>
    </row>
    <row r="49" spans="2:13" ht="18" customHeight="1">
      <c r="B49" s="75" t="str">
        <f>$B$2</f>
        <v>Budget 2006 AWBZ-instellingen sector V&amp;V</v>
      </c>
      <c r="C49" s="75"/>
      <c r="D49" s="75"/>
      <c r="E49" s="89"/>
      <c r="F49" s="123" t="str">
        <f>$F$2</f>
        <v>650 / </v>
      </c>
      <c r="G49" s="75"/>
      <c r="H49" s="76"/>
      <c r="I49" s="75"/>
      <c r="J49" s="76" t="str">
        <f>$J$2</f>
        <v>versie: 29-08-2006</v>
      </c>
      <c r="K49" s="76"/>
      <c r="L49" s="78"/>
      <c r="M49" s="79">
        <f>M2+1</f>
        <v>2</v>
      </c>
    </row>
    <row r="50" ht="12.75"/>
    <row r="51" ht="13.5" customHeight="1">
      <c r="B51" s="81" t="s">
        <v>504</v>
      </c>
    </row>
    <row r="52" ht="13.5" customHeight="1"/>
    <row r="53" spans="2:12" ht="13.5" customHeight="1">
      <c r="B53" s="90" t="s">
        <v>551</v>
      </c>
      <c r="L53" s="91" t="s">
        <v>505</v>
      </c>
    </row>
    <row r="54" spans="2:12" ht="13.5" customHeight="1">
      <c r="B54" s="82"/>
      <c r="L54" s="211" t="s">
        <v>506</v>
      </c>
    </row>
    <row r="55" spans="2:16" ht="13.5" customHeight="1">
      <c r="B55" s="212" t="s">
        <v>206</v>
      </c>
      <c r="C55" s="98"/>
      <c r="D55" s="86" t="str">
        <f>IF(AND(G40="JA",G41="JA"),"ja","nee")</f>
        <v>nee</v>
      </c>
      <c r="L55" s="92" t="s">
        <v>38</v>
      </c>
      <c r="P55" s="3" t="s">
        <v>507</v>
      </c>
    </row>
    <row r="56" spans="2:16" ht="13.5" customHeight="1">
      <c r="B56" s="86">
        <f>M49*100+1</f>
        <v>201</v>
      </c>
      <c r="C56" s="87" t="s">
        <v>508</v>
      </c>
      <c r="D56" s="78"/>
      <c r="E56" s="78"/>
      <c r="F56" s="78"/>
      <c r="G56" s="317"/>
      <c r="H56" s="78"/>
      <c r="J56" s="78"/>
      <c r="L56" s="213"/>
      <c r="P56" s="214">
        <f>L56</f>
        <v>0</v>
      </c>
    </row>
    <row r="57" spans="2:16" ht="13.5" customHeight="1">
      <c r="B57" s="86">
        <f>B56+1</f>
        <v>202</v>
      </c>
      <c r="C57" s="87" t="s">
        <v>509</v>
      </c>
      <c r="D57" s="78"/>
      <c r="E57" s="78"/>
      <c r="F57" s="78"/>
      <c r="G57" s="317"/>
      <c r="H57" s="78"/>
      <c r="J57" s="78"/>
      <c r="L57" s="213"/>
      <c r="P57" s="214">
        <f>L57</f>
        <v>0</v>
      </c>
    </row>
    <row r="58" ht="13.5" customHeight="1"/>
    <row r="59" spans="7:12" ht="13.5" customHeight="1">
      <c r="G59" s="215" t="s">
        <v>208</v>
      </c>
      <c r="H59" s="215" t="s">
        <v>208</v>
      </c>
      <c r="J59" s="215" t="s">
        <v>510</v>
      </c>
      <c r="L59" s="215" t="s">
        <v>511</v>
      </c>
    </row>
    <row r="60" spans="3:12" ht="13.5" customHeight="1">
      <c r="C60" s="216" t="s">
        <v>512</v>
      </c>
      <c r="G60" s="217">
        <v>2004</v>
      </c>
      <c r="H60" s="217">
        <v>2005</v>
      </c>
      <c r="J60" s="218" t="s">
        <v>513</v>
      </c>
      <c r="L60" s="218" t="s">
        <v>39</v>
      </c>
    </row>
    <row r="61" spans="2:12" ht="13.5" customHeight="1">
      <c r="B61" s="86">
        <f>B57+1</f>
        <v>203</v>
      </c>
      <c r="C61" s="87" t="s">
        <v>514</v>
      </c>
      <c r="D61" s="78"/>
      <c r="E61" s="78"/>
      <c r="F61" s="78"/>
      <c r="G61" s="213"/>
      <c r="H61" s="213"/>
      <c r="J61" s="219">
        <f>ROUND(((G61/366)+(H61/365))/2,2)</f>
        <v>0</v>
      </c>
      <c r="K61" s="220"/>
      <c r="L61" s="221">
        <f>ROUND(IF(J61+(0.03*L56)&gt;L56,L56,J61+(0.03*L56)),0)</f>
        <v>0</v>
      </c>
    </row>
    <row r="62" spans="2:12" ht="13.5" customHeight="1">
      <c r="B62" s="86">
        <f>B61+1</f>
        <v>204</v>
      </c>
      <c r="C62" s="87" t="s">
        <v>515</v>
      </c>
      <c r="D62" s="78"/>
      <c r="E62" s="78"/>
      <c r="F62" s="78"/>
      <c r="G62" s="213"/>
      <c r="H62" s="213"/>
      <c r="J62" s="219">
        <f>ROUND(((G62/366)+(H62/365))/2,2)</f>
        <v>0</v>
      </c>
      <c r="K62" s="220"/>
      <c r="L62" s="221">
        <f>ROUND(IF(J62+(0.03*L57)&gt;L57,L57,J62+(0.03*L57)),0)</f>
        <v>0</v>
      </c>
    </row>
    <row r="63" ht="13.5" customHeight="1"/>
    <row r="64" spans="2:13" ht="13.5" customHeight="1">
      <c r="B64" s="222">
        <f>IF(AND(H67+H75&gt;L61,H87&gt;L62),"U wijkt af van het aantal te bezetten bedden (regel "&amp;B61&amp;" en "&amp;B62&amp;"),",IF(H67+H75&gt;L61,"U wijkt af van het aantal te bezetten bedden (regel "&amp;B61&amp;"),",IF(H87&gt;L62,"U wijkt af van het aantal te bezetten bedden (regel "&amp;B62&amp;"),","")))</f>
      </c>
      <c r="F64" s="63"/>
      <c r="G64" s="91" t="s">
        <v>516</v>
      </c>
      <c r="H64" s="91" t="s">
        <v>517</v>
      </c>
      <c r="J64" s="91" t="s">
        <v>208</v>
      </c>
      <c r="L64" s="91" t="s">
        <v>517</v>
      </c>
      <c r="M64" s="91" t="s">
        <v>208</v>
      </c>
    </row>
    <row r="65" spans="3:19" ht="13.5" customHeight="1">
      <c r="C65" s="222">
        <f>IF(OR(H67+H75&gt;L61,H87&gt;L62),"u dient hiervoor een nadere motivering bij te voegen!","")</f>
      </c>
      <c r="F65" s="63"/>
      <c r="G65" s="211" t="s">
        <v>518</v>
      </c>
      <c r="H65" s="211" t="s">
        <v>519</v>
      </c>
      <c r="J65" s="211" t="s">
        <v>520</v>
      </c>
      <c r="L65" s="211" t="s">
        <v>519</v>
      </c>
      <c r="M65" s="211" t="s">
        <v>521</v>
      </c>
      <c r="S65" s="3">
        <v>39083</v>
      </c>
    </row>
    <row r="66" spans="6:24" ht="13.5" customHeight="1">
      <c r="F66" s="132"/>
      <c r="G66" s="223"/>
      <c r="H66" s="92" t="s">
        <v>522</v>
      </c>
      <c r="J66" s="92" t="s">
        <v>522</v>
      </c>
      <c r="L66" s="92" t="s">
        <v>205</v>
      </c>
      <c r="M66" s="92" t="s">
        <v>205</v>
      </c>
      <c r="P66" s="3" t="s">
        <v>101</v>
      </c>
      <c r="Q66" s="3" t="s">
        <v>524</v>
      </c>
      <c r="R66" s="3" t="s">
        <v>525</v>
      </c>
      <c r="S66" s="3" t="s">
        <v>526</v>
      </c>
      <c r="T66" s="3" t="s">
        <v>527</v>
      </c>
      <c r="U66" s="224" t="s">
        <v>528</v>
      </c>
      <c r="V66" s="224" t="s">
        <v>518</v>
      </c>
      <c r="W66" s="224" t="s">
        <v>529</v>
      </c>
      <c r="X66" s="225"/>
    </row>
    <row r="67" spans="2:24" ht="13.5" customHeight="1">
      <c r="B67" s="86">
        <f>B62+1</f>
        <v>205</v>
      </c>
      <c r="C67" s="87" t="s">
        <v>90</v>
      </c>
      <c r="D67" s="78"/>
      <c r="E67" s="78"/>
      <c r="F67" s="98"/>
      <c r="G67" s="226">
        <v>38718</v>
      </c>
      <c r="H67" s="213"/>
      <c r="I67" s="227"/>
      <c r="J67" s="213"/>
      <c r="K67" s="228"/>
      <c r="L67" s="230">
        <f>H67</f>
        <v>0</v>
      </c>
      <c r="M67" s="230">
        <f>J67</f>
        <v>0</v>
      </c>
      <c r="P67" s="214">
        <f>H67</f>
        <v>0</v>
      </c>
      <c r="Q67" s="231">
        <v>0</v>
      </c>
      <c r="R67" s="231">
        <f>H67*365</f>
        <v>0</v>
      </c>
      <c r="S67" s="231">
        <f aca="true" t="shared" si="0" ref="S67:S72">IF(OR(G67=0,H67=0),0,$S$65-G67)</f>
        <v>0</v>
      </c>
      <c r="T67" s="232">
        <v>38718</v>
      </c>
      <c r="U67" s="232">
        <v>38718</v>
      </c>
      <c r="V67" s="233">
        <v>38718</v>
      </c>
      <c r="W67" s="233"/>
      <c r="X67" s="2"/>
    </row>
    <row r="68" spans="2:24" ht="13.5" customHeight="1">
      <c r="B68" s="86">
        <f aca="true" t="shared" si="1" ref="B68:B73">B67+1</f>
        <v>206</v>
      </c>
      <c r="C68" s="87" t="s">
        <v>535</v>
      </c>
      <c r="D68" s="78"/>
      <c r="E68" s="78"/>
      <c r="F68" s="98"/>
      <c r="G68" s="278"/>
      <c r="H68" s="213"/>
      <c r="I68" s="227"/>
      <c r="J68" s="213"/>
      <c r="K68" s="228"/>
      <c r="L68" s="229">
        <f>IF(AND(G68="",H68="",J68=""),"",ROUND(H68/365*$S68,2))</f>
      </c>
      <c r="M68" s="230">
        <f>IF(AND(G68="",H68="",J68=""),"",ROUND(J68/365*$S68,0))</f>
      </c>
      <c r="Q68" s="234">
        <f>IF(H68&lt;0,MAX(H68*365,-SUM(J67)),0)</f>
        <v>0</v>
      </c>
      <c r="R68" s="234">
        <f>IF(H68&gt;0,H68*365,0)</f>
        <v>0</v>
      </c>
      <c r="S68" s="234">
        <f t="shared" si="0"/>
        <v>0</v>
      </c>
      <c r="T68" s="235">
        <f>MAX(V$67:V67)</f>
        <v>38718</v>
      </c>
      <c r="U68" s="235">
        <f>IF(G69&gt;0,V69,39083)</f>
        <v>39083</v>
      </c>
      <c r="V68" s="236">
        <f>IF(G68=0,V67,IF(G68&lt;MAX(V$67:V67),MAX(V$67:V67),G68))</f>
        <v>38718</v>
      </c>
      <c r="W68" s="236">
        <f>IF(G68="",0,G68)</f>
        <v>0</v>
      </c>
      <c r="X68" s="2"/>
    </row>
    <row r="69" spans="2:24" ht="13.5" customHeight="1">
      <c r="B69" s="86">
        <f t="shared" si="1"/>
        <v>207</v>
      </c>
      <c r="C69" s="87" t="s">
        <v>535</v>
      </c>
      <c r="D69" s="78"/>
      <c r="E69" s="78"/>
      <c r="F69" s="98"/>
      <c r="G69" s="278"/>
      <c r="H69" s="213"/>
      <c r="I69" s="227"/>
      <c r="J69" s="213"/>
      <c r="K69" s="228"/>
      <c r="L69" s="229">
        <f>IF(AND(G69="",H69="",J69=""),"",ROUND(H69/365*$S69,2))</f>
      </c>
      <c r="M69" s="230">
        <f>IF(AND(G69="",H69="",J69=""),"",ROUND(J69/365*$S69,0))</f>
      </c>
      <c r="Q69" s="234">
        <f>IF(H69&lt;0,MAX(H69*365,-SUM(J67:J68)),0)</f>
        <v>0</v>
      </c>
      <c r="R69" s="234">
        <f>IF(H69&gt;0,H69*365,0)</f>
        <v>0</v>
      </c>
      <c r="S69" s="234">
        <f t="shared" si="0"/>
        <v>0</v>
      </c>
      <c r="T69" s="235">
        <f>MAX(V$67:V68)</f>
        <v>38718</v>
      </c>
      <c r="U69" s="235">
        <f>IF(G70&gt;0,V70,39083)</f>
        <v>39083</v>
      </c>
      <c r="V69" s="237">
        <f>IF(G69=0,V68,IF(G69&lt;MAX(V$67:V68),MAX(V$67:V68),G69))</f>
        <v>38718</v>
      </c>
      <c r="W69" s="236">
        <f>IF(G69="",0,G69)</f>
        <v>0</v>
      </c>
      <c r="X69" s="2"/>
    </row>
    <row r="70" spans="2:24" ht="13.5" customHeight="1">
      <c r="B70" s="86">
        <f t="shared" si="1"/>
        <v>208</v>
      </c>
      <c r="C70" s="87" t="s">
        <v>535</v>
      </c>
      <c r="D70" s="78"/>
      <c r="E70" s="78"/>
      <c r="F70" s="98"/>
      <c r="G70" s="278"/>
      <c r="H70" s="213"/>
      <c r="I70" s="227"/>
      <c r="J70" s="213"/>
      <c r="K70" s="228"/>
      <c r="L70" s="229">
        <f>IF(AND(G70="",H70="",J70=""),"",ROUND(H70/365*$S70,2))</f>
      </c>
      <c r="M70" s="230">
        <f>IF(AND(G70="",H70="",J70=""),"",ROUND(J70/365*$S70,0))</f>
      </c>
      <c r="Q70" s="234">
        <f>IF(H70&lt;0,MAX(H70*365,-SUM(J67:J69)),0)</f>
        <v>0</v>
      </c>
      <c r="R70" s="234">
        <f>IF(H70&gt;0,H70*365,0)</f>
        <v>0</v>
      </c>
      <c r="S70" s="234">
        <f t="shared" si="0"/>
        <v>0</v>
      </c>
      <c r="T70" s="235">
        <f>MAX(V$67:V69)</f>
        <v>38718</v>
      </c>
      <c r="U70" s="235">
        <f>IF(G71&gt;0,V71,39083)</f>
        <v>39083</v>
      </c>
      <c r="V70" s="237">
        <f>IF(G70=0,V69,IF(G70&lt;MAX(V$67:V69),MAX(V$67:V69),G70))</f>
        <v>38718</v>
      </c>
      <c r="W70" s="236">
        <f>IF(G70="",0,G70)</f>
        <v>0</v>
      </c>
      <c r="X70" s="2"/>
    </row>
    <row r="71" spans="2:23" ht="13.5" customHeight="1">
      <c r="B71" s="86">
        <f t="shared" si="1"/>
        <v>209</v>
      </c>
      <c r="C71" s="87" t="s">
        <v>535</v>
      </c>
      <c r="D71" s="78"/>
      <c r="E71" s="78"/>
      <c r="F71" s="98"/>
      <c r="G71" s="278"/>
      <c r="H71" s="213"/>
      <c r="I71" s="227"/>
      <c r="J71" s="213"/>
      <c r="K71" s="228"/>
      <c r="L71" s="229">
        <f>IF(AND(G71="",H71="",J71=""),"",ROUND(H71/365*$S71,2))</f>
      </c>
      <c r="M71" s="230">
        <f>IF(AND(G71="",H71="",J71=""),"",ROUND(J71/365*$S71,0))</f>
      </c>
      <c r="Q71" s="234">
        <f>IF(H71&lt;0,MAX(H71*365,-SUM(J67:J70)),0)</f>
        <v>0</v>
      </c>
      <c r="R71" s="234">
        <f>IF(H71&gt;0,H71*365,0)</f>
        <v>0</v>
      </c>
      <c r="S71" s="234">
        <f t="shared" si="0"/>
        <v>0</v>
      </c>
      <c r="T71" s="235">
        <f>MAX(V$67:V70)</f>
        <v>38718</v>
      </c>
      <c r="U71" s="235">
        <f>IF(G72&gt;0,V72,39083)</f>
        <v>39083</v>
      </c>
      <c r="V71" s="237">
        <f>IF(G71=0,V70,IF(G71&lt;MAX(V$67:V70),MAX(V$67:V70),G71))</f>
        <v>38718</v>
      </c>
      <c r="W71" s="236">
        <f>IF(G71="",0,G71)</f>
        <v>0</v>
      </c>
    </row>
    <row r="72" spans="2:23" ht="13.5" customHeight="1">
      <c r="B72" s="133">
        <f t="shared" si="1"/>
        <v>210</v>
      </c>
      <c r="C72" s="87" t="s">
        <v>535</v>
      </c>
      <c r="D72" s="238"/>
      <c r="E72" s="238"/>
      <c r="F72" s="239"/>
      <c r="G72" s="278"/>
      <c r="H72" s="213"/>
      <c r="I72" s="227"/>
      <c r="J72" s="213"/>
      <c r="K72" s="228"/>
      <c r="L72" s="240">
        <f>IF(AND(G72="",H72="",J72=""),"",ROUND(H72/365*$S72,2))</f>
      </c>
      <c r="M72" s="241">
        <f>IF(AND(G72="",H72="",J72=""),"",ROUND(J72/365*$S72,0))</f>
      </c>
      <c r="Q72" s="242">
        <f>IF(H72&lt;0,MAX(H72*365,-SUM(J67:J71)),0)</f>
        <v>0</v>
      </c>
      <c r="R72" s="242">
        <f>IF(H72&gt;0,H72*365,0)</f>
        <v>0</v>
      </c>
      <c r="S72" s="242">
        <f t="shared" si="0"/>
        <v>0</v>
      </c>
      <c r="T72" s="243">
        <f>MAX(V$67:V71)</f>
        <v>38718</v>
      </c>
      <c r="U72" s="244">
        <v>39083</v>
      </c>
      <c r="V72" s="245">
        <f>IF(G72=0,V71,IF(G72&lt;MAX(V$67:V71),MAX(V$67:V71),G72))</f>
        <v>38718</v>
      </c>
      <c r="W72" s="246">
        <f>IF(G72="",0,G72)</f>
        <v>0</v>
      </c>
    </row>
    <row r="73" spans="2:24" ht="13.5" customHeight="1">
      <c r="B73" s="247">
        <f t="shared" si="1"/>
        <v>211</v>
      </c>
      <c r="C73" s="248" t="s">
        <v>42</v>
      </c>
      <c r="D73" s="249"/>
      <c r="E73" s="249"/>
      <c r="F73" s="249"/>
      <c r="G73" s="250"/>
      <c r="H73" s="251">
        <f>SUM(H67:H72)</f>
        <v>0</v>
      </c>
      <c r="I73" s="252"/>
      <c r="J73" s="251">
        <f>SUM(J67:J72)</f>
        <v>0</v>
      </c>
      <c r="K73" s="252"/>
      <c r="L73" s="253">
        <f>SUM(L67:L72)</f>
        <v>0</v>
      </c>
      <c r="M73" s="251">
        <f>SUM(M67:M72)</f>
        <v>0</v>
      </c>
      <c r="T73" s="254"/>
      <c r="U73" s="34"/>
      <c r="V73" s="34"/>
      <c r="W73" s="34"/>
      <c r="X73" s="34"/>
    </row>
    <row r="74" spans="8:18" ht="13.5" customHeight="1">
      <c r="H74" s="228"/>
      <c r="I74" s="228"/>
      <c r="J74" s="228"/>
      <c r="K74" s="228"/>
      <c r="L74" s="228"/>
      <c r="M74" s="228"/>
      <c r="R74" s="255"/>
    </row>
    <row r="75" spans="2:24" ht="13.5" customHeight="1">
      <c r="B75" s="86">
        <f>B73+1</f>
        <v>212</v>
      </c>
      <c r="C75" s="87" t="s">
        <v>91</v>
      </c>
      <c r="D75" s="78"/>
      <c r="E75" s="78"/>
      <c r="F75" s="98"/>
      <c r="G75" s="226">
        <v>38718</v>
      </c>
      <c r="H75" s="213"/>
      <c r="I75" s="227"/>
      <c r="J75" s="213"/>
      <c r="K75" s="228"/>
      <c r="L75" s="230">
        <f>H75</f>
        <v>0</v>
      </c>
      <c r="M75" s="230">
        <f>J75</f>
        <v>0</v>
      </c>
      <c r="P75" s="214">
        <f>H75</f>
        <v>0</v>
      </c>
      <c r="Q75" s="231">
        <v>0</v>
      </c>
      <c r="R75" s="231">
        <f>H75*365</f>
        <v>0</v>
      </c>
      <c r="S75" s="231">
        <f aca="true" t="shared" si="2" ref="S75:S80">IF(OR(G75=0,H75=0),0,$S$65-G75)</f>
        <v>0</v>
      </c>
      <c r="T75" s="232">
        <v>38718</v>
      </c>
      <c r="U75" s="232">
        <v>38718</v>
      </c>
      <c r="V75" s="233">
        <v>38718</v>
      </c>
      <c r="W75" s="233"/>
      <c r="X75" s="2"/>
    </row>
    <row r="76" spans="2:24" ht="13.5" customHeight="1">
      <c r="B76" s="86">
        <f aca="true" t="shared" si="3" ref="B76:B81">B75+1</f>
        <v>213</v>
      </c>
      <c r="C76" s="87" t="s">
        <v>536</v>
      </c>
      <c r="D76" s="78"/>
      <c r="E76" s="78"/>
      <c r="F76" s="98"/>
      <c r="G76" s="278"/>
      <c r="H76" s="213"/>
      <c r="I76" s="227"/>
      <c r="J76" s="213"/>
      <c r="K76" s="228"/>
      <c r="L76" s="229">
        <f>IF(AND(G76="",H76="",J76=""),"",ROUND(H76/365*$S76,2))</f>
      </c>
      <c r="M76" s="230">
        <f>IF(AND(G76="",H76="",J76=""),"",ROUND(J76/365*$S76,0))</f>
      </c>
      <c r="Q76" s="234">
        <f>IF(H76&lt;0,MAX(H76*365,-SUM(J75)),0)</f>
        <v>0</v>
      </c>
      <c r="R76" s="234">
        <f>IF(H76&gt;0,H76*365,0)</f>
        <v>0</v>
      </c>
      <c r="S76" s="234">
        <f t="shared" si="2"/>
        <v>0</v>
      </c>
      <c r="T76" s="235">
        <f>MAX(V$75:V75)</f>
        <v>38718</v>
      </c>
      <c r="U76" s="235">
        <f>IF(G77&gt;0,V77,39083)</f>
        <v>39083</v>
      </c>
      <c r="V76" s="236">
        <f>IF(G76=0,V75,IF(G76&lt;MAX(V$75:V75),MAX(V$75:V75),G76))</f>
        <v>38718</v>
      </c>
      <c r="W76" s="236">
        <f>IF(G76="",0,G76)</f>
        <v>0</v>
      </c>
      <c r="X76" s="2"/>
    </row>
    <row r="77" spans="2:24" ht="13.5" customHeight="1">
      <c r="B77" s="86">
        <f t="shared" si="3"/>
        <v>214</v>
      </c>
      <c r="C77" s="87" t="s">
        <v>536</v>
      </c>
      <c r="D77" s="78"/>
      <c r="E77" s="78"/>
      <c r="F77" s="98"/>
      <c r="G77" s="278"/>
      <c r="H77" s="213"/>
      <c r="I77" s="227"/>
      <c r="J77" s="213"/>
      <c r="K77" s="228"/>
      <c r="L77" s="229">
        <f>IF(AND(G77="",H77="",J77=""),"",ROUND(H77/365*$S77,2))</f>
      </c>
      <c r="M77" s="230">
        <f>IF(AND(G77="",H77="",J77=""),"",ROUND(J77/365*$S77,0))</f>
      </c>
      <c r="Q77" s="234">
        <f>IF(H77&lt;0,MAX(H77*365,-SUM(J75:J76)),0)</f>
        <v>0</v>
      </c>
      <c r="R77" s="234">
        <f>IF(H77&gt;0,H77*365,0)</f>
        <v>0</v>
      </c>
      <c r="S77" s="234">
        <f t="shared" si="2"/>
        <v>0</v>
      </c>
      <c r="T77" s="235">
        <f>MAX(V$75:V76)</f>
        <v>38718</v>
      </c>
      <c r="U77" s="235">
        <f>IF(G78&gt;0,V78,39083)</f>
        <v>39083</v>
      </c>
      <c r="V77" s="237">
        <f>IF(G77=0,V76,IF(G77&lt;MAX(V$75:V76),MAX(V$75:V76),G77))</f>
        <v>38718</v>
      </c>
      <c r="W77" s="236">
        <f>IF(G77="",0,G77)</f>
        <v>0</v>
      </c>
      <c r="X77" s="2"/>
    </row>
    <row r="78" spans="2:24" ht="13.5" customHeight="1">
      <c r="B78" s="86">
        <f t="shared" si="3"/>
        <v>215</v>
      </c>
      <c r="C78" s="87" t="s">
        <v>536</v>
      </c>
      <c r="D78" s="78"/>
      <c r="E78" s="78"/>
      <c r="F78" s="98"/>
      <c r="G78" s="278"/>
      <c r="H78" s="213"/>
      <c r="I78" s="227"/>
      <c r="J78" s="213"/>
      <c r="K78" s="228"/>
      <c r="L78" s="229">
        <f>IF(AND(G78="",H78="",J78=""),"",ROUND(H78/365*$S78,2))</f>
      </c>
      <c r="M78" s="230">
        <f>IF(AND(G78="",H78="",J78=""),"",ROUND(J78/365*$S78,0))</f>
      </c>
      <c r="Q78" s="234">
        <f>IF(H78&lt;0,MAX(H78*365,-SUM(J75:J77)),0)</f>
        <v>0</v>
      </c>
      <c r="R78" s="234">
        <f>IF(H78&gt;0,H78*365,0)</f>
        <v>0</v>
      </c>
      <c r="S78" s="234">
        <f t="shared" si="2"/>
        <v>0</v>
      </c>
      <c r="T78" s="235">
        <f>MAX(V$75:V77)</f>
        <v>38718</v>
      </c>
      <c r="U78" s="235">
        <f>IF(G79&gt;0,V79,39083)</f>
        <v>39083</v>
      </c>
      <c r="V78" s="237">
        <f>IF(G78=0,V77,IF(G78&lt;MAX(V$75:V77),MAX(V$75:V77),G78))</f>
        <v>38718</v>
      </c>
      <c r="W78" s="236">
        <f>IF(G78="",0,G78)</f>
        <v>0</v>
      </c>
      <c r="X78" s="2"/>
    </row>
    <row r="79" spans="2:23" ht="13.5" customHeight="1">
      <c r="B79" s="86">
        <f t="shared" si="3"/>
        <v>216</v>
      </c>
      <c r="C79" s="87" t="s">
        <v>536</v>
      </c>
      <c r="D79" s="78"/>
      <c r="E79" s="78"/>
      <c r="F79" s="98"/>
      <c r="G79" s="278"/>
      <c r="H79" s="213"/>
      <c r="I79" s="227"/>
      <c r="J79" s="213"/>
      <c r="K79" s="228"/>
      <c r="L79" s="229">
        <f>IF(AND(G79="",H79="",J79=""),"",ROUND(H79/365*$S79,2))</f>
      </c>
      <c r="M79" s="230">
        <f>IF(AND(G79="",H79="",J79=""),"",ROUND(J79/365*$S79,0))</f>
      </c>
      <c r="Q79" s="234">
        <f>IF(H79&lt;0,MAX(H79*365,-SUM(J75:J78)),0)</f>
        <v>0</v>
      </c>
      <c r="R79" s="234">
        <f>IF(H79&gt;0,H79*365,0)</f>
        <v>0</v>
      </c>
      <c r="S79" s="234">
        <f t="shared" si="2"/>
        <v>0</v>
      </c>
      <c r="T79" s="235">
        <f>MAX(V$75:V78)</f>
        <v>38718</v>
      </c>
      <c r="U79" s="235">
        <f>IF(G80&gt;0,V80,39083)</f>
        <v>39083</v>
      </c>
      <c r="V79" s="237">
        <f>IF(G79=0,V78,IF(G79&lt;MAX(V$75:V78),MAX(V$75:V78),G79))</f>
        <v>38718</v>
      </c>
      <c r="W79" s="236">
        <f>IF(G79="",0,G79)</f>
        <v>0</v>
      </c>
    </row>
    <row r="80" spans="2:23" ht="13.5" customHeight="1">
      <c r="B80" s="133">
        <f t="shared" si="3"/>
        <v>217</v>
      </c>
      <c r="C80" s="87" t="s">
        <v>536</v>
      </c>
      <c r="D80" s="238"/>
      <c r="E80" s="238"/>
      <c r="F80" s="239"/>
      <c r="G80" s="278"/>
      <c r="H80" s="213"/>
      <c r="I80" s="227"/>
      <c r="J80" s="213"/>
      <c r="K80" s="228"/>
      <c r="L80" s="240">
        <f>IF(AND(G80="",H80="",J80=""),"",ROUND(H80/365*$S80,2))</f>
      </c>
      <c r="M80" s="241">
        <f>IF(AND(G80="",H80="",J80=""),"",ROUND(J80/365*$S80,0))</f>
      </c>
      <c r="Q80" s="242">
        <f>IF(H80&lt;0,MAX(H80*365,-SUM(J75:J79)),0)</f>
        <v>0</v>
      </c>
      <c r="R80" s="242">
        <f>IF(H80&gt;0,H80*365,0)</f>
        <v>0</v>
      </c>
      <c r="S80" s="242">
        <f t="shared" si="2"/>
        <v>0</v>
      </c>
      <c r="T80" s="243">
        <f>MAX(V$75:V79)</f>
        <v>38718</v>
      </c>
      <c r="U80" s="244">
        <v>39083</v>
      </c>
      <c r="V80" s="245">
        <f>IF(G80=0,V79,IF(G80&lt;MAX(V$75:V79),MAX(V$75:V79),G80))</f>
        <v>38718</v>
      </c>
      <c r="W80" s="246">
        <f>IF(G80="",0,G80)</f>
        <v>0</v>
      </c>
    </row>
    <row r="81" spans="2:24" ht="13.5" customHeight="1">
      <c r="B81" s="247">
        <f t="shared" si="3"/>
        <v>218</v>
      </c>
      <c r="C81" s="248" t="s">
        <v>43</v>
      </c>
      <c r="D81" s="249"/>
      <c r="E81" s="249"/>
      <c r="F81" s="249"/>
      <c r="G81" s="250"/>
      <c r="H81" s="251">
        <f>SUM(H75:H80)</f>
        <v>0</v>
      </c>
      <c r="I81" s="252"/>
      <c r="J81" s="251">
        <f>SUM(J75:J80)</f>
        <v>0</v>
      </c>
      <c r="K81" s="252"/>
      <c r="L81" s="253">
        <f>SUM(L75:L80)</f>
        <v>0</v>
      </c>
      <c r="M81" s="251">
        <f>SUM(M75:M80)</f>
        <v>0</v>
      </c>
      <c r="T81" s="254"/>
      <c r="U81" s="34"/>
      <c r="V81" s="34"/>
      <c r="W81" s="34"/>
      <c r="X81" s="34"/>
    </row>
    <row r="82" spans="8:13" ht="13.5" customHeight="1">
      <c r="H82" s="228"/>
      <c r="I82" s="228"/>
      <c r="J82" s="228"/>
      <c r="K82" s="228"/>
      <c r="L82" s="228"/>
      <c r="M82" s="228"/>
    </row>
    <row r="83" spans="1:12" ht="13.5" customHeight="1">
      <c r="A83" s="87"/>
      <c r="B83" s="86">
        <f>B81+1</f>
        <v>219</v>
      </c>
      <c r="C83" s="78" t="str">
        <f>"Aantal crisisbedden 2006 dat deel uit maakt van de productieafspraken op de regels "&amp;B73&amp;" en "&amp;B81&amp;""</f>
        <v>Aantal crisisbedden 2006 dat deel uit maakt van de productieafspraken op de regels 211 en 218</v>
      </c>
      <c r="D83" s="78"/>
      <c r="E83" s="78"/>
      <c r="F83" s="78"/>
      <c r="G83" s="78"/>
      <c r="H83" s="78"/>
      <c r="I83" s="78"/>
      <c r="J83" s="78"/>
      <c r="K83" s="78"/>
      <c r="L83" s="213"/>
    </row>
    <row r="84" spans="8:13" ht="13.5" customHeight="1">
      <c r="H84" s="228"/>
      <c r="I84" s="228"/>
      <c r="J84" s="228"/>
      <c r="K84" s="228"/>
      <c r="L84" s="228"/>
      <c r="M84" s="228"/>
    </row>
    <row r="85" spans="2:13" ht="13.5" customHeight="1">
      <c r="B85" s="86">
        <f>B83+1</f>
        <v>220</v>
      </c>
      <c r="C85" s="78" t="s">
        <v>107</v>
      </c>
      <c r="D85" s="78"/>
      <c r="E85" s="78"/>
      <c r="F85" s="78"/>
      <c r="G85" s="78"/>
      <c r="H85" s="78"/>
      <c r="I85" s="78"/>
      <c r="J85" s="78"/>
      <c r="K85" s="78"/>
      <c r="L85" s="98"/>
      <c r="M85" s="213"/>
    </row>
    <row r="86" spans="8:13" ht="13.5" customHeight="1">
      <c r="H86" s="228"/>
      <c r="I86" s="228"/>
      <c r="J86" s="228"/>
      <c r="K86" s="228"/>
      <c r="L86" s="228"/>
      <c r="M86" s="228"/>
    </row>
    <row r="87" spans="2:24" ht="13.5" customHeight="1">
      <c r="B87" s="86">
        <f>B85+1</f>
        <v>221</v>
      </c>
      <c r="C87" s="87" t="s">
        <v>92</v>
      </c>
      <c r="D87" s="78"/>
      <c r="E87" s="78"/>
      <c r="F87" s="98"/>
      <c r="G87" s="226">
        <v>38718</v>
      </c>
      <c r="H87" s="213"/>
      <c r="I87" s="227"/>
      <c r="J87" s="213"/>
      <c r="K87" s="228"/>
      <c r="L87" s="230">
        <f>H87</f>
        <v>0</v>
      </c>
      <c r="M87" s="230">
        <f>J87</f>
        <v>0</v>
      </c>
      <c r="P87" s="214">
        <f>H87</f>
        <v>0</v>
      </c>
      <c r="Q87" s="231">
        <v>0</v>
      </c>
      <c r="R87" s="231">
        <f>H87*365</f>
        <v>0</v>
      </c>
      <c r="S87" s="231">
        <f>IF(OR(G87=0,H87=0),0,$S$65-G87)</f>
        <v>0</v>
      </c>
      <c r="T87" s="232">
        <v>38718</v>
      </c>
      <c r="U87" s="232">
        <v>38718</v>
      </c>
      <c r="V87" s="233">
        <v>38718</v>
      </c>
      <c r="W87" s="233"/>
      <c r="X87" s="2"/>
    </row>
    <row r="88" spans="2:24" ht="13.5" customHeight="1">
      <c r="B88" s="86">
        <f>B87+1</f>
        <v>222</v>
      </c>
      <c r="C88" s="87" t="s">
        <v>537</v>
      </c>
      <c r="D88" s="78"/>
      <c r="E88" s="78"/>
      <c r="F88" s="98"/>
      <c r="G88" s="278"/>
      <c r="H88" s="213"/>
      <c r="I88" s="227"/>
      <c r="J88" s="213"/>
      <c r="K88" s="228"/>
      <c r="L88" s="229">
        <f>IF(AND(G88="",H88="",J88=""),"",ROUND(H88/365*$S88,2))</f>
      </c>
      <c r="M88" s="230">
        <f>IF(AND(G88="",H88="",J88=""),"",ROUND(J88/365*$S88,0))</f>
      </c>
      <c r="Q88" s="242">
        <f>IF(H88&lt;0,MAX(H88*365,-SUM(J87)),0)</f>
        <v>0</v>
      </c>
      <c r="R88" s="242">
        <f>IF(H88&gt;0,H88*365,0)</f>
        <v>0</v>
      </c>
      <c r="S88" s="242">
        <f>IF(OR(G88=0,H88=0),0,$S$65-G88)</f>
        <v>0</v>
      </c>
      <c r="T88" s="243">
        <f>MAX(V$87:V87)</f>
        <v>38718</v>
      </c>
      <c r="U88" s="243">
        <f>IF(G89&gt;0,V89,39083)</f>
        <v>39083</v>
      </c>
      <c r="V88" s="245">
        <f>IF(G88=0,V87,IF(G88&lt;MAX(V$87:V87),MAX(V$87:V87),G88))</f>
        <v>38718</v>
      </c>
      <c r="W88" s="246">
        <f>IF(G88="",0,G88)</f>
        <v>0</v>
      </c>
      <c r="X88" s="2"/>
    </row>
    <row r="89" spans="2:24" ht="13.5" customHeight="1">
      <c r="B89" s="247">
        <f>B88+1</f>
        <v>223</v>
      </c>
      <c r="C89" s="248" t="s">
        <v>44</v>
      </c>
      <c r="D89" s="249"/>
      <c r="E89" s="249"/>
      <c r="F89" s="249"/>
      <c r="G89" s="250"/>
      <c r="H89" s="251">
        <f>SUM(H87:H88)</f>
        <v>0</v>
      </c>
      <c r="I89" s="252"/>
      <c r="J89" s="251">
        <f>SUM(J87:J88)</f>
        <v>0</v>
      </c>
      <c r="K89" s="252"/>
      <c r="L89" s="253">
        <f>SUM(L87:L88)</f>
        <v>0</v>
      </c>
      <c r="M89" s="251">
        <f>SUM(M87:M88)</f>
        <v>0</v>
      </c>
      <c r="S89" s="34"/>
      <c r="T89" s="34"/>
      <c r="U89" s="34"/>
      <c r="V89" s="34"/>
      <c r="W89" s="34"/>
      <c r="X89" s="34"/>
    </row>
    <row r="90" ht="13.5" customHeight="1"/>
    <row r="91" ht="13.5" customHeight="1"/>
    <row r="92" ht="13.5" customHeight="1">
      <c r="B92" s="134" t="s">
        <v>40</v>
      </c>
    </row>
    <row r="93" ht="13.5" customHeight="1">
      <c r="B93" s="134" t="s">
        <v>89</v>
      </c>
    </row>
    <row r="94" spans="1:11" ht="18" customHeight="1">
      <c r="A94" s="74" t="s">
        <v>207</v>
      </c>
      <c r="B94" s="73"/>
      <c r="I94" s="184"/>
      <c r="J94" s="41"/>
      <c r="K94" s="184"/>
    </row>
    <row r="95" spans="2:13" ht="18" customHeight="1">
      <c r="B95" s="75" t="str">
        <f>$B$2</f>
        <v>Budget 2006 AWBZ-instellingen sector V&amp;V</v>
      </c>
      <c r="C95" s="75"/>
      <c r="D95" s="75"/>
      <c r="E95" s="89"/>
      <c r="F95" s="123" t="str">
        <f>$F$2</f>
        <v>650 / </v>
      </c>
      <c r="G95" s="75"/>
      <c r="H95" s="76"/>
      <c r="I95" s="75"/>
      <c r="J95" s="76" t="str">
        <f>$J$2</f>
        <v>versie: 29-08-2006</v>
      </c>
      <c r="K95" s="76"/>
      <c r="L95" s="78"/>
      <c r="M95" s="79">
        <f>M49+1</f>
        <v>3</v>
      </c>
    </row>
    <row r="96" ht="12.75"/>
    <row r="97" ht="13.5" customHeight="1"/>
    <row r="98" spans="2:12" ht="13.5" customHeight="1">
      <c r="B98" s="90" t="s">
        <v>552</v>
      </c>
      <c r="L98" s="91" t="s">
        <v>505</v>
      </c>
    </row>
    <row r="99" ht="13.5" customHeight="1">
      <c r="L99" s="211" t="s">
        <v>506</v>
      </c>
    </row>
    <row r="100" spans="2:16" ht="13.5" customHeight="1">
      <c r="B100" s="212" t="s">
        <v>206</v>
      </c>
      <c r="C100" s="98"/>
      <c r="D100" s="86" t="str">
        <f>IF(G41="JA","ja","nee")</f>
        <v>nee</v>
      </c>
      <c r="L100" s="92" t="s">
        <v>38</v>
      </c>
      <c r="P100" s="3" t="s">
        <v>507</v>
      </c>
    </row>
    <row r="101" spans="2:16" ht="13.5" customHeight="1">
      <c r="B101" s="86">
        <f>M95*100+1</f>
        <v>301</v>
      </c>
      <c r="C101" s="87" t="s">
        <v>538</v>
      </c>
      <c r="D101" s="78"/>
      <c r="E101" s="78"/>
      <c r="F101" s="78"/>
      <c r="G101" s="317"/>
      <c r="H101" s="78"/>
      <c r="J101" s="78"/>
      <c r="L101" s="70"/>
      <c r="P101" s="214">
        <f>L101</f>
        <v>0</v>
      </c>
    </row>
    <row r="102" ht="13.5" customHeight="1"/>
    <row r="103" spans="7:12" ht="13.5" customHeight="1">
      <c r="G103" s="215" t="s">
        <v>208</v>
      </c>
      <c r="H103" s="215" t="s">
        <v>208</v>
      </c>
      <c r="J103" s="215" t="s">
        <v>510</v>
      </c>
      <c r="L103" s="215" t="s">
        <v>511</v>
      </c>
    </row>
    <row r="104" spans="3:12" ht="13.5" customHeight="1">
      <c r="C104" s="216" t="s">
        <v>539</v>
      </c>
      <c r="G104" s="217">
        <v>2004</v>
      </c>
      <c r="H104" s="217">
        <v>2005</v>
      </c>
      <c r="J104" s="218" t="s">
        <v>540</v>
      </c>
      <c r="L104" s="218" t="s">
        <v>48</v>
      </c>
    </row>
    <row r="105" spans="2:12" ht="13.5" customHeight="1">
      <c r="B105" s="86">
        <f>B101+1</f>
        <v>302</v>
      </c>
      <c r="C105" s="87" t="s">
        <v>541</v>
      </c>
      <c r="D105" s="78"/>
      <c r="E105" s="78"/>
      <c r="F105" s="78"/>
      <c r="G105" s="70"/>
      <c r="H105" s="70"/>
      <c r="J105" s="219">
        <f>ROUND(((G105/366)+(H105/365))/2,2)</f>
        <v>0</v>
      </c>
      <c r="K105" s="220"/>
      <c r="L105" s="221">
        <f>ROUND(IF(J105+(0.03*L101)&gt;L101,L101,J105+(0.03*L101)),0)</f>
        <v>0</v>
      </c>
    </row>
    <row r="106" ht="13.5" customHeight="1"/>
    <row r="107" spans="2:13" ht="13.5" customHeight="1">
      <c r="B107" s="222">
        <f>IF(H110+H118+H124+H132&gt;L105,"U wijkt af van het aantal te bezetten plaatsen (regel "&amp;B105&amp;"),","")</f>
      </c>
      <c r="F107" s="63"/>
      <c r="G107" s="91" t="s">
        <v>516</v>
      </c>
      <c r="H107" s="91" t="s">
        <v>517</v>
      </c>
      <c r="J107" s="91" t="s">
        <v>208</v>
      </c>
      <c r="L107" s="91" t="s">
        <v>517</v>
      </c>
      <c r="M107" s="91" t="s">
        <v>208</v>
      </c>
    </row>
    <row r="108" spans="3:20" ht="13.5" customHeight="1">
      <c r="C108" s="222">
        <f>IF(H110+H118+H124+H132&gt;L105,"u dient hiervoor een nadere motivering bij te voegen!","")</f>
      </c>
      <c r="F108" s="63"/>
      <c r="G108" s="211" t="s">
        <v>518</v>
      </c>
      <c r="H108" s="211" t="s">
        <v>542</v>
      </c>
      <c r="J108" s="211" t="s">
        <v>543</v>
      </c>
      <c r="L108" s="211" t="s">
        <v>542</v>
      </c>
      <c r="M108" s="211" t="s">
        <v>543</v>
      </c>
      <c r="T108" s="3">
        <v>39083</v>
      </c>
    </row>
    <row r="109" spans="3:23" ht="13.5" customHeight="1">
      <c r="C109" s="101"/>
      <c r="F109" s="132"/>
      <c r="G109" s="223"/>
      <c r="H109" s="92" t="s">
        <v>522</v>
      </c>
      <c r="J109" s="92" t="s">
        <v>522</v>
      </c>
      <c r="L109" s="92" t="s">
        <v>205</v>
      </c>
      <c r="M109" s="92" t="s">
        <v>205</v>
      </c>
      <c r="P109" s="3" t="s">
        <v>523</v>
      </c>
      <c r="Q109" s="3" t="s">
        <v>544</v>
      </c>
      <c r="R109" s="3" t="s">
        <v>545</v>
      </c>
      <c r="S109" s="3" t="s">
        <v>526</v>
      </c>
      <c r="T109" s="3" t="s">
        <v>527</v>
      </c>
      <c r="U109" s="224" t="s">
        <v>528</v>
      </c>
      <c r="V109" s="224" t="s">
        <v>518</v>
      </c>
      <c r="W109" s="224" t="s">
        <v>529</v>
      </c>
    </row>
    <row r="110" spans="2:23" ht="13.5" customHeight="1">
      <c r="B110" s="86">
        <f>B105+1</f>
        <v>303</v>
      </c>
      <c r="C110" s="87" t="s">
        <v>93</v>
      </c>
      <c r="D110" s="78"/>
      <c r="E110" s="78"/>
      <c r="F110" s="98"/>
      <c r="G110" s="226">
        <v>38718</v>
      </c>
      <c r="H110" s="70"/>
      <c r="I110" s="227"/>
      <c r="J110" s="70"/>
      <c r="K110" s="228"/>
      <c r="L110" s="230">
        <f>H110</f>
        <v>0</v>
      </c>
      <c r="M110" s="230">
        <f>J110</f>
        <v>0</v>
      </c>
      <c r="P110" s="214">
        <f>H110</f>
        <v>0</v>
      </c>
      <c r="Q110" s="231">
        <v>0</v>
      </c>
      <c r="R110" s="231">
        <f>H110*365</f>
        <v>0</v>
      </c>
      <c r="S110" s="231">
        <f aca="true" t="shared" si="4" ref="S110:S115">IF(OR(G110=0,H110=0),0,$S$65-G110)</f>
        <v>0</v>
      </c>
      <c r="T110" s="232">
        <v>38718</v>
      </c>
      <c r="U110" s="232">
        <v>38718</v>
      </c>
      <c r="V110" s="233">
        <v>38718</v>
      </c>
      <c r="W110" s="233"/>
    </row>
    <row r="111" spans="2:23" ht="13.5" customHeight="1">
      <c r="B111" s="86">
        <f aca="true" t="shared" si="5" ref="B111:B116">B110+1</f>
        <v>304</v>
      </c>
      <c r="C111" s="87" t="s">
        <v>546</v>
      </c>
      <c r="D111" s="78"/>
      <c r="E111" s="78"/>
      <c r="F111" s="98"/>
      <c r="G111" s="278"/>
      <c r="H111" s="70"/>
      <c r="I111" s="227"/>
      <c r="J111" s="70"/>
      <c r="K111" s="228"/>
      <c r="L111" s="229">
        <f>IF(AND(G111="",H111="",J111=""),"",ROUND(H111/365*$S111,2))</f>
      </c>
      <c r="M111" s="230">
        <f>IF(AND(G111="",H111="",J111=""),"",ROUND(J111/365*$S111,0))</f>
      </c>
      <c r="P111" s="256"/>
      <c r="Q111" s="234">
        <f>IF(H111&lt;0,MAX(H111*365,-SUM(J110)),0)</f>
        <v>0</v>
      </c>
      <c r="R111" s="234">
        <f>IF(H111&gt;0,H111*365,0)</f>
        <v>0</v>
      </c>
      <c r="S111" s="234">
        <f t="shared" si="4"/>
        <v>0</v>
      </c>
      <c r="T111" s="235">
        <f>MAX(V$110:V110)</f>
        <v>38718</v>
      </c>
      <c r="U111" s="235">
        <f>IF(G112&gt;0,V112,39083)</f>
        <v>39083</v>
      </c>
      <c r="V111" s="237">
        <f>IF(G111=0,V110,IF(G111&lt;MAX(V$110:V110),MAX(V$110:V110),G111))</f>
        <v>38718</v>
      </c>
      <c r="W111" s="236">
        <f>IF(G111="",0,G111)</f>
        <v>0</v>
      </c>
    </row>
    <row r="112" spans="2:23" ht="13.5" customHeight="1">
      <c r="B112" s="86">
        <f t="shared" si="5"/>
        <v>305</v>
      </c>
      <c r="C112" s="87" t="s">
        <v>546</v>
      </c>
      <c r="D112" s="78"/>
      <c r="E112" s="78"/>
      <c r="F112" s="98"/>
      <c r="G112" s="278"/>
      <c r="H112" s="70"/>
      <c r="I112" s="227"/>
      <c r="J112" s="70"/>
      <c r="K112" s="228"/>
      <c r="L112" s="229">
        <f>IF(AND(G112="",H112="",J112=""),"",ROUND(H112/365*$S112,2))</f>
      </c>
      <c r="M112" s="230">
        <f>IF(AND(G112="",H112="",J112=""),"",ROUND(J112/365*$S112,0))</f>
      </c>
      <c r="P112" s="256"/>
      <c r="Q112" s="234">
        <f>IF(H112&lt;0,MAX(H112*365,-SUM(J110:J111)),0)</f>
        <v>0</v>
      </c>
      <c r="R112" s="234">
        <f>IF(H112&gt;0,H112*365,0)</f>
        <v>0</v>
      </c>
      <c r="S112" s="234">
        <f t="shared" si="4"/>
        <v>0</v>
      </c>
      <c r="T112" s="235">
        <f>MAX(V$110:V111)</f>
        <v>38718</v>
      </c>
      <c r="U112" s="235">
        <f>IF(G113&gt;0,V113,39083)</f>
        <v>39083</v>
      </c>
      <c r="V112" s="237">
        <f>IF(G112=0,V111,IF(G112&lt;MAX(V$110:V111),MAX(V$110:V111),G112))</f>
        <v>38718</v>
      </c>
      <c r="W112" s="236">
        <f>IF(G112="",0,G112)</f>
        <v>0</v>
      </c>
    </row>
    <row r="113" spans="2:23" ht="13.5" customHeight="1">
      <c r="B113" s="86">
        <f t="shared" si="5"/>
        <v>306</v>
      </c>
      <c r="C113" s="87" t="s">
        <v>546</v>
      </c>
      <c r="D113" s="78"/>
      <c r="E113" s="78"/>
      <c r="F113" s="98"/>
      <c r="G113" s="278"/>
      <c r="H113" s="70"/>
      <c r="I113" s="227"/>
      <c r="J113" s="70"/>
      <c r="K113" s="228"/>
      <c r="L113" s="229">
        <f>IF(AND(G113="",H113="",J113=""),"",ROUND(H113/365*$S113,2))</f>
      </c>
      <c r="M113" s="230">
        <f>IF(AND(G113="",H113="",J113=""),"",ROUND(J113/365*$S113,0))</f>
      </c>
      <c r="P113" s="256"/>
      <c r="Q113" s="234">
        <f>IF(H113&lt;0,MAX(H113*365,-SUM(J110:J112)),0)</f>
        <v>0</v>
      </c>
      <c r="R113" s="234">
        <f>IF(H113&gt;0,H113*365,0)</f>
        <v>0</v>
      </c>
      <c r="S113" s="234">
        <f t="shared" si="4"/>
        <v>0</v>
      </c>
      <c r="T113" s="235">
        <f>MAX(V$110:V112)</f>
        <v>38718</v>
      </c>
      <c r="U113" s="235">
        <f>IF(G114&gt;0,V114,39083)</f>
        <v>39083</v>
      </c>
      <c r="V113" s="237">
        <f>IF(G113=0,V112,IF(G113&lt;MAX(V$110:V112),MAX(V$110:V112),G113))</f>
        <v>38718</v>
      </c>
      <c r="W113" s="236">
        <f>IF(G113="",0,G113)</f>
        <v>0</v>
      </c>
    </row>
    <row r="114" spans="2:23" ht="13.5" customHeight="1">
      <c r="B114" s="86">
        <f t="shared" si="5"/>
        <v>307</v>
      </c>
      <c r="C114" s="87" t="s">
        <v>546</v>
      </c>
      <c r="D114" s="78"/>
      <c r="E114" s="78"/>
      <c r="F114" s="98"/>
      <c r="G114" s="278"/>
      <c r="H114" s="70"/>
      <c r="I114" s="227"/>
      <c r="J114" s="70"/>
      <c r="K114" s="228"/>
      <c r="L114" s="229">
        <f>IF(AND(G114="",H114="",J114=""),"",ROUND(H114/365*$S114,2))</f>
      </c>
      <c r="M114" s="230">
        <f>IF(AND(G114="",H114="",J114=""),"",ROUND(J114/365*$S114,0))</f>
      </c>
      <c r="P114" s="256"/>
      <c r="Q114" s="234">
        <f>IF(H114&lt;0,MAX(H114*365,-SUM(J110:J113)),0)</f>
        <v>0</v>
      </c>
      <c r="R114" s="234">
        <f>IF(H114&gt;0,H114*365,0)</f>
        <v>0</v>
      </c>
      <c r="S114" s="234">
        <f t="shared" si="4"/>
        <v>0</v>
      </c>
      <c r="T114" s="235">
        <f>MAX(V$110:V113)</f>
        <v>38718</v>
      </c>
      <c r="U114" s="235">
        <f>IF(G115&gt;0,V115,39083)</f>
        <v>39083</v>
      </c>
      <c r="V114" s="237">
        <f>IF(G114=0,V113,IF(G114&lt;MAX(V$110:V113),MAX(V$110:V113),G114))</f>
        <v>38718</v>
      </c>
      <c r="W114" s="236">
        <f>IF(G114="",0,G114)</f>
        <v>0</v>
      </c>
    </row>
    <row r="115" spans="2:23" ht="13.5" customHeight="1">
      <c r="B115" s="133">
        <f t="shared" si="5"/>
        <v>308</v>
      </c>
      <c r="C115" s="87" t="s">
        <v>546</v>
      </c>
      <c r="D115" s="238"/>
      <c r="E115" s="238"/>
      <c r="F115" s="239"/>
      <c r="G115" s="278"/>
      <c r="H115" s="70"/>
      <c r="I115" s="227"/>
      <c r="J115" s="70"/>
      <c r="K115" s="228"/>
      <c r="L115" s="240">
        <f>IF(AND(G115="",H115="",J115=""),"",ROUND(H115/365*$S115,2))</f>
      </c>
      <c r="M115" s="241">
        <f>IF(AND(G115="",H115="",J115=""),"",ROUND(J115/365*$S115,0))</f>
      </c>
      <c r="P115" s="256"/>
      <c r="Q115" s="242">
        <f>IF(H115&lt;0,MAX(H115*365,-SUM(J110:J114)),0)</f>
        <v>0</v>
      </c>
      <c r="R115" s="242">
        <f>IF(H115&gt;0,H115*365,0)</f>
        <v>0</v>
      </c>
      <c r="S115" s="242">
        <f t="shared" si="4"/>
        <v>0</v>
      </c>
      <c r="T115" s="243">
        <f>MAX(V$110:V114)</f>
        <v>38718</v>
      </c>
      <c r="U115" s="244">
        <v>39083</v>
      </c>
      <c r="V115" s="245">
        <f>IF(G115=0,V114,IF(G115&lt;MAX(V$110:V114),MAX(V$110:V114),G115))</f>
        <v>38718</v>
      </c>
      <c r="W115" s="246">
        <f>IF(G115="",0,G115)</f>
        <v>0</v>
      </c>
    </row>
    <row r="116" spans="2:23" ht="13.5" customHeight="1">
      <c r="B116" s="247">
        <f t="shared" si="5"/>
        <v>309</v>
      </c>
      <c r="C116" s="248" t="s">
        <v>41</v>
      </c>
      <c r="D116" s="249"/>
      <c r="E116" s="249"/>
      <c r="F116" s="249"/>
      <c r="G116" s="250"/>
      <c r="H116" s="251">
        <f>SUM(H110:H115)</f>
        <v>0</v>
      </c>
      <c r="I116" s="252"/>
      <c r="J116" s="251">
        <f>SUM(J110:J115)</f>
        <v>0</v>
      </c>
      <c r="K116" s="252"/>
      <c r="L116" s="253">
        <f>SUM(L110:L115)</f>
        <v>0</v>
      </c>
      <c r="M116" s="251">
        <f>SUM(M110:M115)</f>
        <v>0</v>
      </c>
      <c r="T116" s="254"/>
      <c r="U116" s="34"/>
      <c r="V116" s="34"/>
      <c r="W116" s="34"/>
    </row>
    <row r="117" ht="13.5" customHeight="1"/>
    <row r="118" spans="2:23" ht="13.5" customHeight="1">
      <c r="B118" s="86">
        <f>B116+1</f>
        <v>310</v>
      </c>
      <c r="C118" s="87" t="s">
        <v>94</v>
      </c>
      <c r="D118" s="78"/>
      <c r="E118" s="78"/>
      <c r="F118" s="98"/>
      <c r="G118" s="226">
        <v>38718</v>
      </c>
      <c r="H118" s="70"/>
      <c r="I118" s="227"/>
      <c r="J118" s="70"/>
      <c r="K118" s="228"/>
      <c r="L118" s="230">
        <f>H118</f>
        <v>0</v>
      </c>
      <c r="M118" s="230">
        <f>J118</f>
        <v>0</v>
      </c>
      <c r="P118" s="214">
        <f>H118</f>
        <v>0</v>
      </c>
      <c r="Q118" s="231">
        <v>0</v>
      </c>
      <c r="R118" s="231">
        <f>H118*365</f>
        <v>0</v>
      </c>
      <c r="S118" s="231">
        <f>IF(OR(G118=0,H118=0),0,$S$65-G118)</f>
        <v>0</v>
      </c>
      <c r="T118" s="232">
        <v>38718</v>
      </c>
      <c r="U118" s="232">
        <v>38718</v>
      </c>
      <c r="V118" s="233">
        <v>38718</v>
      </c>
      <c r="W118" s="233"/>
    </row>
    <row r="119" spans="2:23" ht="13.5" customHeight="1">
      <c r="B119" s="86">
        <f>B118+1</f>
        <v>311</v>
      </c>
      <c r="C119" s="87" t="s">
        <v>98</v>
      </c>
      <c r="D119" s="78"/>
      <c r="E119" s="78"/>
      <c r="F119" s="98"/>
      <c r="G119" s="278"/>
      <c r="H119" s="70"/>
      <c r="I119" s="227"/>
      <c r="J119" s="70"/>
      <c r="K119" s="228"/>
      <c r="L119" s="229">
        <f>IF(AND(G119="",H119="",J119=""),"",ROUND(H119/365*$S119,2))</f>
      </c>
      <c r="M119" s="230">
        <f>IF(AND(G119="",H119="",J119=""),"",ROUND(J119/365*$S119,0))</f>
      </c>
      <c r="P119" s="256"/>
      <c r="Q119" s="234">
        <f>IF(H119&lt;0,MAX(H119*365,-SUM(J118)),0)</f>
        <v>0</v>
      </c>
      <c r="R119" s="234">
        <f>IF(H119&gt;0,H119*365,0)</f>
        <v>0</v>
      </c>
      <c r="S119" s="234">
        <f>IF(OR(G119=0,H119=0),0,$S$65-G119)</f>
        <v>0</v>
      </c>
      <c r="T119" s="235">
        <f>MAX(V$118:V118)</f>
        <v>38718</v>
      </c>
      <c r="U119" s="235">
        <f>IF(G120&gt;0,V120,39083)</f>
        <v>39083</v>
      </c>
      <c r="V119" s="237">
        <f>IF(G119=0,V118,IF(G119&lt;MAX(V$118:V118),MAX(V$118:V118),G119))</f>
        <v>38718</v>
      </c>
      <c r="W119" s="236">
        <f>IF(G119="",0,G119)</f>
        <v>0</v>
      </c>
    </row>
    <row r="120" spans="2:23" ht="13.5" customHeight="1">
      <c r="B120" s="86">
        <f>B119+1</f>
        <v>312</v>
      </c>
      <c r="C120" s="87" t="s">
        <v>98</v>
      </c>
      <c r="D120" s="78"/>
      <c r="E120" s="78"/>
      <c r="F120" s="98"/>
      <c r="G120" s="278"/>
      <c r="H120" s="70"/>
      <c r="I120" s="227"/>
      <c r="J120" s="70"/>
      <c r="K120" s="228"/>
      <c r="L120" s="229">
        <f>IF(AND(G120="",H120="",J120=""),"",ROUND(H120/365*$S120,2))</f>
      </c>
      <c r="M120" s="230">
        <f>IF(AND(G120="",H120="",J120=""),"",ROUND(J120/365*$S120,0))</f>
      </c>
      <c r="P120" s="256"/>
      <c r="Q120" s="257">
        <f>IF(H120&lt;0,MAX(H120*365,-SUM(J118:J119)),0)</f>
        <v>0</v>
      </c>
      <c r="R120" s="258">
        <f>IF(H120&gt;0,H120*365,0)</f>
        <v>0</v>
      </c>
      <c r="S120" s="234">
        <f>IF(OR(G120=0,H120=0),0,$S$65-G120)</f>
        <v>0</v>
      </c>
      <c r="T120" s="235">
        <f>MAX(V$118:V119)</f>
        <v>38718</v>
      </c>
      <c r="U120" s="235">
        <f>IF(G121&gt;0,V121,39083)</f>
        <v>39083</v>
      </c>
      <c r="V120" s="237">
        <f>IF(G120=0,V119,IF(G120&lt;MAX(V$118:V119),MAX(V$118:V119),G120))</f>
        <v>38718</v>
      </c>
      <c r="W120" s="236">
        <f>IF(G120="",0,G120)</f>
        <v>0</v>
      </c>
    </row>
    <row r="121" spans="2:23" ht="13.5" customHeight="1">
      <c r="B121" s="133">
        <f>B120+1</f>
        <v>313</v>
      </c>
      <c r="C121" s="87" t="s">
        <v>98</v>
      </c>
      <c r="D121" s="238"/>
      <c r="E121" s="238"/>
      <c r="F121" s="239"/>
      <c r="G121" s="278"/>
      <c r="H121" s="70"/>
      <c r="I121" s="227"/>
      <c r="J121" s="70"/>
      <c r="K121" s="228"/>
      <c r="L121" s="240">
        <f>IF(AND(G121="",H121="",J121=""),"",ROUND(H121/365*$S121,2))</f>
      </c>
      <c r="M121" s="241">
        <f>IF(AND(G121="",H121="",J121=""),"",ROUND(J121/365*$S121,0))</f>
      </c>
      <c r="P121" s="256"/>
      <c r="Q121" s="259">
        <f>IF(H121&lt;0,MAX(H121*365,-SUM(J118:J120)),0)</f>
        <v>0</v>
      </c>
      <c r="R121" s="260">
        <f>IF(H121&gt;0,H121*365,0)</f>
        <v>0</v>
      </c>
      <c r="S121" s="242">
        <f>IF(OR(G121=0,H121=0),0,$S$65-G121)</f>
        <v>0</v>
      </c>
      <c r="T121" s="243">
        <f>MAX(V$118:V120)</f>
        <v>38718</v>
      </c>
      <c r="U121" s="244">
        <v>39083</v>
      </c>
      <c r="V121" s="245">
        <f>IF(G121=0,V120,IF(G121&lt;MAX(V$118:V120),MAX(V$118:V120),G121))</f>
        <v>38718</v>
      </c>
      <c r="W121" s="246">
        <f>IF(G121="",0,G121)</f>
        <v>0</v>
      </c>
    </row>
    <row r="122" spans="2:23" ht="13.5" customHeight="1">
      <c r="B122" s="247">
        <f>B121+1</f>
        <v>314</v>
      </c>
      <c r="C122" s="248" t="s">
        <v>45</v>
      </c>
      <c r="D122" s="249"/>
      <c r="E122" s="249"/>
      <c r="F122" s="249"/>
      <c r="G122" s="250"/>
      <c r="H122" s="251">
        <f>SUM(H118:H121)</f>
        <v>0</v>
      </c>
      <c r="I122" s="252"/>
      <c r="J122" s="251">
        <f>SUM(J118:J121)</f>
        <v>0</v>
      </c>
      <c r="K122" s="252"/>
      <c r="L122" s="253">
        <f>SUM(L118:L121)</f>
        <v>0</v>
      </c>
      <c r="M122" s="251">
        <f>SUM(M118:M121)</f>
        <v>0</v>
      </c>
      <c r="P122" s="261"/>
      <c r="T122" s="254"/>
      <c r="U122" s="34"/>
      <c r="V122" s="34"/>
      <c r="W122" s="34"/>
    </row>
    <row r="123" ht="13.5" customHeight="1">
      <c r="P123" s="262"/>
    </row>
    <row r="124" spans="2:23" ht="13.5" customHeight="1">
      <c r="B124" s="86">
        <f>B122+1</f>
        <v>315</v>
      </c>
      <c r="C124" s="87" t="s">
        <v>95</v>
      </c>
      <c r="D124" s="78"/>
      <c r="E124" s="78"/>
      <c r="F124" s="98"/>
      <c r="G124" s="226">
        <v>38718</v>
      </c>
      <c r="H124" s="70"/>
      <c r="I124" s="227"/>
      <c r="J124" s="70"/>
      <c r="K124" s="228"/>
      <c r="L124" s="230">
        <f>H124</f>
        <v>0</v>
      </c>
      <c r="M124" s="230">
        <f>J124</f>
        <v>0</v>
      </c>
      <c r="P124" s="214">
        <f>H124</f>
        <v>0</v>
      </c>
      <c r="Q124" s="231">
        <v>0</v>
      </c>
      <c r="R124" s="231">
        <f>H124*365</f>
        <v>0</v>
      </c>
      <c r="S124" s="231">
        <f aca="true" t="shared" si="6" ref="S124:S129">IF(OR(G124=0,H124=0),0,$S$65-G124)</f>
        <v>0</v>
      </c>
      <c r="T124" s="232">
        <v>38718</v>
      </c>
      <c r="U124" s="232">
        <v>38718</v>
      </c>
      <c r="V124" s="233">
        <v>38718</v>
      </c>
      <c r="W124" s="233"/>
    </row>
    <row r="125" spans="2:23" ht="13.5" customHeight="1">
      <c r="B125" s="86">
        <f aca="true" t="shared" si="7" ref="B125:B130">B124+1</f>
        <v>316</v>
      </c>
      <c r="C125" s="87" t="s">
        <v>547</v>
      </c>
      <c r="D125" s="78"/>
      <c r="E125" s="78"/>
      <c r="F125" s="98"/>
      <c r="G125" s="278"/>
      <c r="H125" s="70"/>
      <c r="I125" s="227"/>
      <c r="J125" s="70"/>
      <c r="K125" s="228"/>
      <c r="L125" s="229">
        <f>IF(AND(G125="",H125="",J125=""),"",ROUND(H125/365*$S125,2))</f>
      </c>
      <c r="M125" s="230">
        <f>IF(AND(G125="",H125="",J125=""),"",ROUND(J125/365*$S125,0))</f>
      </c>
      <c r="P125" s="256"/>
      <c r="Q125" s="234">
        <f>IF(H125&lt;0,MAX(H125*365,-SUM(J124)),0)</f>
        <v>0</v>
      </c>
      <c r="R125" s="234">
        <f>IF(H125&gt;0,H125*365,0)</f>
        <v>0</v>
      </c>
      <c r="S125" s="234">
        <f t="shared" si="6"/>
        <v>0</v>
      </c>
      <c r="T125" s="235">
        <f>MAX(V$124:V124)</f>
        <v>38718</v>
      </c>
      <c r="U125" s="235">
        <f>IF(G126&gt;0,V126,39083)</f>
        <v>39083</v>
      </c>
      <c r="V125" s="237">
        <f>IF(G125=0,V124,IF(G125&lt;MAX(V$124:V124),MAX(V$124:V124),G125))</f>
        <v>38718</v>
      </c>
      <c r="W125" s="236">
        <f>IF(G125="",0,G125)</f>
        <v>0</v>
      </c>
    </row>
    <row r="126" spans="2:23" ht="13.5" customHeight="1">
      <c r="B126" s="86">
        <f t="shared" si="7"/>
        <v>317</v>
      </c>
      <c r="C126" s="87" t="s">
        <v>547</v>
      </c>
      <c r="D126" s="78"/>
      <c r="E126" s="78"/>
      <c r="F126" s="98"/>
      <c r="G126" s="278"/>
      <c r="H126" s="70"/>
      <c r="I126" s="227"/>
      <c r="J126" s="70"/>
      <c r="K126" s="228"/>
      <c r="L126" s="229">
        <f>IF(AND(G126="",H126="",J126=""),"",ROUND(H126/365*$S126,2))</f>
      </c>
      <c r="M126" s="230">
        <f>IF(AND(G126="",H126="",J126=""),"",ROUND(J126/365*$S126,0))</f>
      </c>
      <c r="P126" s="256"/>
      <c r="Q126" s="234">
        <f>IF(H126&lt;0,MAX(H126*365,-SUM(J124:J125)),0)</f>
        <v>0</v>
      </c>
      <c r="R126" s="234">
        <f>IF(H126&gt;0,H126*365,0)</f>
        <v>0</v>
      </c>
      <c r="S126" s="234">
        <f t="shared" si="6"/>
        <v>0</v>
      </c>
      <c r="T126" s="235">
        <f>MAX(V$124:V125)</f>
        <v>38718</v>
      </c>
      <c r="U126" s="235">
        <f>IF(G127&gt;0,V127,39083)</f>
        <v>39083</v>
      </c>
      <c r="V126" s="237">
        <f>IF(G126=0,V125,IF(G126&lt;MAX(V$124:V125),MAX(V$124:V125),G126))</f>
        <v>38718</v>
      </c>
      <c r="W126" s="236">
        <f>IF(G126="",0,G126)</f>
        <v>0</v>
      </c>
    </row>
    <row r="127" spans="2:23" ht="13.5" customHeight="1">
      <c r="B127" s="86">
        <f t="shared" si="7"/>
        <v>318</v>
      </c>
      <c r="C127" s="87" t="s">
        <v>547</v>
      </c>
      <c r="D127" s="78"/>
      <c r="E127" s="78"/>
      <c r="F127" s="98"/>
      <c r="G127" s="278"/>
      <c r="H127" s="70"/>
      <c r="I127" s="227"/>
      <c r="J127" s="70"/>
      <c r="K127" s="228"/>
      <c r="L127" s="229">
        <f>IF(AND(G127="",H127="",J127=""),"",ROUND(H127/365*$S127,2))</f>
      </c>
      <c r="M127" s="230">
        <f>IF(AND(G127="",H127="",J127=""),"",ROUND(J127/365*$S127,0))</f>
      </c>
      <c r="P127" s="256"/>
      <c r="Q127" s="234">
        <f>IF(H127&lt;0,MAX(H127*365,-SUM(J124:J126)),0)</f>
        <v>0</v>
      </c>
      <c r="R127" s="234">
        <f>IF(H127&gt;0,H127*365,0)</f>
        <v>0</v>
      </c>
      <c r="S127" s="234">
        <f t="shared" si="6"/>
        <v>0</v>
      </c>
      <c r="T127" s="235">
        <f>MAX(V$124:V126)</f>
        <v>38718</v>
      </c>
      <c r="U127" s="235">
        <f>IF(G128&gt;0,V128,39083)</f>
        <v>39083</v>
      </c>
      <c r="V127" s="237">
        <f>IF(G127=0,V126,IF(G127&lt;MAX(V$124:V126),MAX(V$124:V126),G127))</f>
        <v>38718</v>
      </c>
      <c r="W127" s="236">
        <f>IF(G127="",0,G127)</f>
        <v>0</v>
      </c>
    </row>
    <row r="128" spans="2:23" ht="13.5" customHeight="1">
      <c r="B128" s="86">
        <f t="shared" si="7"/>
        <v>319</v>
      </c>
      <c r="C128" s="87" t="s">
        <v>547</v>
      </c>
      <c r="D128" s="78"/>
      <c r="E128" s="78"/>
      <c r="F128" s="98"/>
      <c r="G128" s="278"/>
      <c r="H128" s="70"/>
      <c r="I128" s="227"/>
      <c r="J128" s="70"/>
      <c r="K128" s="228"/>
      <c r="L128" s="229">
        <f>IF(AND(G128="",H128="",J128=""),"",ROUND(H128/365*$S128,2))</f>
      </c>
      <c r="M128" s="230">
        <f>IF(AND(G128="",H128="",J128=""),"",ROUND(J128/365*$S128,0))</f>
      </c>
      <c r="P128" s="256"/>
      <c r="Q128" s="234">
        <f>IF(H128&lt;0,MAX(H128*365,-SUM(J124:J127)),0)</f>
        <v>0</v>
      </c>
      <c r="R128" s="234">
        <f>IF(H128&gt;0,H128*365,0)</f>
        <v>0</v>
      </c>
      <c r="S128" s="234">
        <f t="shared" si="6"/>
        <v>0</v>
      </c>
      <c r="T128" s="235">
        <f>MAX(V$124:V127)</f>
        <v>38718</v>
      </c>
      <c r="U128" s="235">
        <f>IF(G129&gt;0,V129,39083)</f>
        <v>39083</v>
      </c>
      <c r="V128" s="237">
        <f>IF(G128=0,V127,IF(G128&lt;MAX(V$124:V127),MAX(V$124:V127),G128))</f>
        <v>38718</v>
      </c>
      <c r="W128" s="236">
        <f>IF(G128="",0,G128)</f>
        <v>0</v>
      </c>
    </row>
    <row r="129" spans="2:23" ht="13.5" customHeight="1">
      <c r="B129" s="133">
        <f t="shared" si="7"/>
        <v>320</v>
      </c>
      <c r="C129" s="87" t="s">
        <v>547</v>
      </c>
      <c r="D129" s="238"/>
      <c r="E129" s="238"/>
      <c r="F129" s="239"/>
      <c r="G129" s="278"/>
      <c r="H129" s="70"/>
      <c r="I129" s="227"/>
      <c r="J129" s="70"/>
      <c r="K129" s="228"/>
      <c r="L129" s="240">
        <f>IF(AND(G129="",H129="",J129=""),"",ROUND(H129/365*$S129,2))</f>
      </c>
      <c r="M129" s="241">
        <f>IF(AND(G129="",H129="",J129=""),"",ROUND(J129/365*$S129,0))</f>
      </c>
      <c r="P129" s="256"/>
      <c r="Q129" s="242">
        <f>IF(H129&lt;0,MAX(H129*365,-SUM(J124:J128)),0)</f>
        <v>0</v>
      </c>
      <c r="R129" s="242">
        <f>IF(H129&gt;0,H129*365,0)</f>
        <v>0</v>
      </c>
      <c r="S129" s="242">
        <f t="shared" si="6"/>
        <v>0</v>
      </c>
      <c r="T129" s="243">
        <f>MAX(V$124:V128)</f>
        <v>38718</v>
      </c>
      <c r="U129" s="244">
        <v>39083</v>
      </c>
      <c r="V129" s="245">
        <f>IF(G129=0,V128,IF(G129&lt;MAX(V$124:V128),MAX(V$124:V128),G129))</f>
        <v>38718</v>
      </c>
      <c r="W129" s="246">
        <f>IF(G129="",0,G129)</f>
        <v>0</v>
      </c>
    </row>
    <row r="130" spans="2:23" ht="13.5" customHeight="1">
      <c r="B130" s="247">
        <f t="shared" si="7"/>
        <v>321</v>
      </c>
      <c r="C130" s="248" t="s">
        <v>46</v>
      </c>
      <c r="D130" s="249"/>
      <c r="E130" s="249"/>
      <c r="F130" s="249"/>
      <c r="G130" s="250"/>
      <c r="H130" s="251">
        <f>SUM(H124:H129)</f>
        <v>0</v>
      </c>
      <c r="I130" s="252"/>
      <c r="J130" s="251">
        <f>SUM(J124:J129)</f>
        <v>0</v>
      </c>
      <c r="K130" s="252"/>
      <c r="L130" s="253">
        <f>SUM(L124:L129)</f>
        <v>0</v>
      </c>
      <c r="M130" s="251">
        <f>SUM(M124:M129)</f>
        <v>0</v>
      </c>
      <c r="T130" s="254"/>
      <c r="U130" s="34"/>
      <c r="V130" s="34"/>
      <c r="W130" s="34"/>
    </row>
    <row r="131" spans="8:13" ht="13.5" customHeight="1">
      <c r="H131" s="228"/>
      <c r="I131" s="228"/>
      <c r="J131" s="228"/>
      <c r="K131" s="228"/>
      <c r="L131" s="228"/>
      <c r="M131" s="228"/>
    </row>
    <row r="132" spans="2:23" ht="13.5" customHeight="1">
      <c r="B132" s="86">
        <f>B130+1</f>
        <v>322</v>
      </c>
      <c r="C132" s="87" t="s">
        <v>96</v>
      </c>
      <c r="D132" s="78"/>
      <c r="E132" s="78"/>
      <c r="F132" s="98"/>
      <c r="G132" s="226">
        <v>38718</v>
      </c>
      <c r="H132" s="70"/>
      <c r="I132" s="227"/>
      <c r="J132" s="70"/>
      <c r="K132" s="228"/>
      <c r="L132" s="230">
        <f>H132</f>
        <v>0</v>
      </c>
      <c r="M132" s="230">
        <f>J132</f>
        <v>0</v>
      </c>
      <c r="P132" s="214">
        <f>H132</f>
        <v>0</v>
      </c>
      <c r="Q132" s="231">
        <v>0</v>
      </c>
      <c r="R132" s="231">
        <f>H132*365</f>
        <v>0</v>
      </c>
      <c r="S132" s="231">
        <f>IF(OR(G132=0,H132=0),0,$S$65-G132)</f>
        <v>0</v>
      </c>
      <c r="T132" s="232">
        <v>38718</v>
      </c>
      <c r="U132" s="232">
        <v>38718</v>
      </c>
      <c r="V132" s="233">
        <v>38718</v>
      </c>
      <c r="W132" s="233"/>
    </row>
    <row r="133" spans="2:23" ht="13.5" customHeight="1">
      <c r="B133" s="86">
        <f>B132+1</f>
        <v>323</v>
      </c>
      <c r="C133" s="87" t="s">
        <v>100</v>
      </c>
      <c r="D133" s="78"/>
      <c r="E133" s="78"/>
      <c r="F133" s="98"/>
      <c r="G133" s="278"/>
      <c r="H133" s="70"/>
      <c r="I133" s="227"/>
      <c r="J133" s="70"/>
      <c r="K133" s="228"/>
      <c r="L133" s="229">
        <f>IF(AND(G133="",H133="",J133=""),"",ROUND(H133/365*$S133,2))</f>
      </c>
      <c r="M133" s="230">
        <f>IF(AND(G133="",H133="",J133=""),"",ROUND(J133/365*$S133,0))</f>
      </c>
      <c r="P133" s="256"/>
      <c r="Q133" s="234">
        <f>IF(H133&lt;0,MAX(H133*365,-SUM(J132)),0)</f>
        <v>0</v>
      </c>
      <c r="R133" s="234">
        <f>IF(H133&gt;0,H133*365,0)</f>
        <v>0</v>
      </c>
      <c r="S133" s="234">
        <f>IF(OR(G133=0,H133=0),0,$S$65-G133)</f>
        <v>0</v>
      </c>
      <c r="T133" s="235">
        <f>MAX(V$132:V132)</f>
        <v>38718</v>
      </c>
      <c r="U133" s="235">
        <f>IF(G134&gt;0,V134,39083)</f>
        <v>39083</v>
      </c>
      <c r="V133" s="237">
        <f>IF(G133=0,V132,IF(G133&lt;MAX(V$132:V132),MAX(V$132:V132),G133))</f>
        <v>38718</v>
      </c>
      <c r="W133" s="236">
        <f>IF(G133="",0,G133)</f>
        <v>0</v>
      </c>
    </row>
    <row r="134" spans="2:23" ht="13.5" customHeight="1">
      <c r="B134" s="86">
        <f>B133+1</f>
        <v>324</v>
      </c>
      <c r="C134" s="87" t="s">
        <v>100</v>
      </c>
      <c r="D134" s="78"/>
      <c r="E134" s="78"/>
      <c r="F134" s="98"/>
      <c r="G134" s="278"/>
      <c r="H134" s="70"/>
      <c r="I134" s="227"/>
      <c r="J134" s="70"/>
      <c r="K134" s="228"/>
      <c r="L134" s="229">
        <f>IF(AND(G134="",H134="",J134=""),"",ROUND(H134/365*$S134,2))</f>
      </c>
      <c r="M134" s="230">
        <f>IF(AND(G134="",H134="",J134=""),"",ROUND(J134/365*$S134,0))</f>
      </c>
      <c r="P134" s="256"/>
      <c r="Q134" s="257">
        <f>IF(H134&lt;0,MAX(H134*365,-SUM(J132:J133)),0)</f>
        <v>0</v>
      </c>
      <c r="R134" s="258">
        <f>IF(H134&gt;0,H134*365,0)</f>
        <v>0</v>
      </c>
      <c r="S134" s="234">
        <f>IF(OR(G134=0,H134=0),0,$S$65-G134)</f>
        <v>0</v>
      </c>
      <c r="T134" s="235">
        <f>MAX(V$132:V133)</f>
        <v>38718</v>
      </c>
      <c r="U134" s="235">
        <f>IF(G135&gt;0,V135,39083)</f>
        <v>39083</v>
      </c>
      <c r="V134" s="237">
        <f>IF(G134=0,V133,IF(G134&lt;MAX(V$132:V133),MAX(V$132:V133),G134))</f>
        <v>38718</v>
      </c>
      <c r="W134" s="236">
        <f>IF(G134="",0,G134)</f>
        <v>0</v>
      </c>
    </row>
    <row r="135" spans="2:23" ht="13.5" customHeight="1">
      <c r="B135" s="133">
        <f>B134+1</f>
        <v>325</v>
      </c>
      <c r="C135" s="87" t="s">
        <v>100</v>
      </c>
      <c r="D135" s="238"/>
      <c r="E135" s="238"/>
      <c r="F135" s="239"/>
      <c r="G135" s="278"/>
      <c r="H135" s="70"/>
      <c r="I135" s="227"/>
      <c r="J135" s="70"/>
      <c r="K135" s="228"/>
      <c r="L135" s="240">
        <f>IF(AND(G135="",H135="",J135=""),"",ROUND(H135/365*$S135,2))</f>
      </c>
      <c r="M135" s="241">
        <f>IF(AND(G135="",H135="",J135=""),"",ROUND(J135/365*$S135,0))</f>
      </c>
      <c r="P135" s="256"/>
      <c r="Q135" s="259">
        <f>IF(H135&lt;0,MAX(H135*365,-SUM(J132:J134)),0)</f>
        <v>0</v>
      </c>
      <c r="R135" s="260">
        <f>IF(H135&gt;0,H135*365,0)</f>
        <v>0</v>
      </c>
      <c r="S135" s="242">
        <f>IF(OR(G135=0,H135=0),0,$S$65-G135)</f>
        <v>0</v>
      </c>
      <c r="T135" s="243">
        <f>MAX(V$132:V134)</f>
        <v>38718</v>
      </c>
      <c r="U135" s="244">
        <v>39083</v>
      </c>
      <c r="V135" s="245">
        <f>IF(G135=0,V134,IF(G135&lt;MAX(V$132:V134),MAX(V$132:V134),G135))</f>
        <v>38718</v>
      </c>
      <c r="W135" s="246">
        <f>IF(G135="",0,G135)</f>
        <v>0</v>
      </c>
    </row>
    <row r="136" spans="2:24" ht="13.5" customHeight="1">
      <c r="B136" s="247">
        <f>B135+1</f>
        <v>326</v>
      </c>
      <c r="C136" s="248" t="s">
        <v>47</v>
      </c>
      <c r="D136" s="249"/>
      <c r="E136" s="249"/>
      <c r="F136" s="249"/>
      <c r="G136" s="250"/>
      <c r="H136" s="251">
        <f>SUM(H132:H135)</f>
        <v>0</v>
      </c>
      <c r="I136" s="252"/>
      <c r="J136" s="251">
        <f>SUM(J132:J135)</f>
        <v>0</v>
      </c>
      <c r="K136" s="252"/>
      <c r="L136" s="253">
        <f>SUM(L132:L135)</f>
        <v>0</v>
      </c>
      <c r="M136" s="251">
        <f>SUM(M132:M135)</f>
        <v>0</v>
      </c>
      <c r="S136" s="254"/>
      <c r="T136" s="34"/>
      <c r="U136" s="34"/>
      <c r="V136" s="34"/>
      <c r="W136" s="34"/>
      <c r="X136" s="34"/>
    </row>
    <row r="137" ht="13.5" customHeight="1"/>
    <row r="138" ht="13.5" customHeight="1">
      <c r="B138" s="134" t="s">
        <v>102</v>
      </c>
    </row>
    <row r="139" ht="13.5" customHeight="1">
      <c r="B139" s="134" t="s">
        <v>97</v>
      </c>
    </row>
    <row r="140" spans="1:11" ht="18" customHeight="1">
      <c r="A140" s="74" t="s">
        <v>207</v>
      </c>
      <c r="B140" s="73"/>
      <c r="I140" s="184"/>
      <c r="J140" s="41"/>
      <c r="K140" s="184"/>
    </row>
    <row r="141" spans="2:13" ht="18" customHeight="1">
      <c r="B141" s="75" t="str">
        <f>$B$2</f>
        <v>Budget 2006 AWBZ-instellingen sector V&amp;V</v>
      </c>
      <c r="C141" s="75"/>
      <c r="D141" s="75"/>
      <c r="E141" s="89"/>
      <c r="F141" s="123" t="str">
        <f>$F$2</f>
        <v>650 / </v>
      </c>
      <c r="G141" s="75"/>
      <c r="H141" s="76"/>
      <c r="I141" s="75"/>
      <c r="J141" s="76" t="str">
        <f>$J$2</f>
        <v>versie: 29-08-2006</v>
      </c>
      <c r="K141" s="76"/>
      <c r="L141" s="78"/>
      <c r="M141" s="79">
        <f>M95+1</f>
        <v>4</v>
      </c>
    </row>
    <row r="142" ht="12.75"/>
    <row r="143" ht="16.5" customHeight="1">
      <c r="B143" s="81" t="s">
        <v>532</v>
      </c>
    </row>
    <row r="144" spans="7:22" ht="13.5" customHeight="1">
      <c r="G144" s="133"/>
      <c r="H144" s="91" t="s">
        <v>188</v>
      </c>
      <c r="I144" s="99" t="s">
        <v>189</v>
      </c>
      <c r="J144" s="91" t="s">
        <v>208</v>
      </c>
      <c r="K144" s="99" t="s">
        <v>190</v>
      </c>
      <c r="L144" s="91" t="s">
        <v>178</v>
      </c>
      <c r="M144" s="91" t="s">
        <v>180</v>
      </c>
      <c r="Q144" s="93" t="s">
        <v>187</v>
      </c>
      <c r="R144" s="94"/>
      <c r="T144" s="178"/>
      <c r="U144" s="179" t="s">
        <v>470</v>
      </c>
      <c r="V144" s="140">
        <f>Voorblad!F11</f>
        <v>0</v>
      </c>
    </row>
    <row r="145" spans="2:18" ht="13.5" customHeight="1">
      <c r="B145" s="90" t="s">
        <v>548</v>
      </c>
      <c r="G145" s="92" t="s">
        <v>155</v>
      </c>
      <c r="H145" s="92" t="s">
        <v>175</v>
      </c>
      <c r="I145" s="102" t="s">
        <v>182</v>
      </c>
      <c r="J145" s="92" t="s">
        <v>205</v>
      </c>
      <c r="K145" s="102" t="s">
        <v>179</v>
      </c>
      <c r="L145" s="92" t="s">
        <v>494</v>
      </c>
      <c r="M145" s="92" t="s">
        <v>181</v>
      </c>
      <c r="Q145" s="95" t="s">
        <v>186</v>
      </c>
      <c r="R145" s="96" t="s">
        <v>185</v>
      </c>
    </row>
    <row r="146" spans="2:22" ht="13.5" customHeight="1">
      <c r="B146" s="86">
        <f>M141*100+1</f>
        <v>401</v>
      </c>
      <c r="C146" s="135" t="s">
        <v>209</v>
      </c>
      <c r="D146" s="78"/>
      <c r="E146" s="78"/>
      <c r="F146" s="98"/>
      <c r="G146" s="86" t="s">
        <v>158</v>
      </c>
      <c r="H146" s="86" t="str">
        <f>IF(AND($G$40="ja",$G$41="ja"),"ja","nee")</f>
        <v>nee</v>
      </c>
      <c r="I146" s="103"/>
      <c r="J146" s="70"/>
      <c r="K146" s="72"/>
      <c r="L146" s="71"/>
      <c r="M146" s="121">
        <f>IF(H146="ja",ROUND(J146*ROUND(L146*1.004,2),0),0)</f>
        <v>0</v>
      </c>
      <c r="Q146" s="104">
        <v>0</v>
      </c>
      <c r="R146" s="271">
        <v>118.7</v>
      </c>
      <c r="T146" s="137"/>
      <c r="U146" s="186" t="s">
        <v>469</v>
      </c>
      <c r="V146" s="137"/>
    </row>
    <row r="147" spans="2:22" ht="13.5" customHeight="1">
      <c r="B147" s="86">
        <f>B146+1</f>
        <v>402</v>
      </c>
      <c r="C147" s="135" t="s">
        <v>454</v>
      </c>
      <c r="D147" s="78"/>
      <c r="E147" s="78"/>
      <c r="F147" s="98"/>
      <c r="G147" s="86" t="s">
        <v>158</v>
      </c>
      <c r="H147" s="86" t="str">
        <f>IF(AND($G$40="ja",$G$41="ja"),"ja","nee")</f>
        <v>nee</v>
      </c>
      <c r="I147" s="103"/>
      <c r="J147" s="70"/>
      <c r="K147" s="72"/>
      <c r="L147" s="71"/>
      <c r="M147" s="121">
        <f>IF(H147="ja",ROUND(J147*ROUND(L147*1.004,2),0),0)</f>
        <v>0</v>
      </c>
      <c r="Q147" s="105">
        <v>0</v>
      </c>
      <c r="R147" s="199">
        <v>102.4</v>
      </c>
      <c r="T147" s="139" t="s">
        <v>467</v>
      </c>
      <c r="U147" s="140" t="s">
        <v>468</v>
      </c>
      <c r="V147" s="140" t="s">
        <v>474</v>
      </c>
    </row>
    <row r="148" spans="2:22" ht="13.5" customHeight="1">
      <c r="B148" s="86">
        <f>B147+1</f>
        <v>403</v>
      </c>
      <c r="C148" s="135" t="s">
        <v>455</v>
      </c>
      <c r="D148" s="78"/>
      <c r="E148" s="78"/>
      <c r="F148" s="98"/>
      <c r="G148" s="86" t="s">
        <v>158</v>
      </c>
      <c r="H148" s="86" t="str">
        <f>IF($G$41="ja","ja","nee")</f>
        <v>nee</v>
      </c>
      <c r="I148" s="103"/>
      <c r="J148" s="70"/>
      <c r="K148" s="72"/>
      <c r="L148" s="71"/>
      <c r="M148" s="121">
        <f>IF(H148="ja",ROUND(J148*ROUND(L148*1.004,2),0),0)</f>
        <v>0</v>
      </c>
      <c r="Q148" s="106">
        <v>0</v>
      </c>
      <c r="R148" s="272">
        <v>95.4</v>
      </c>
      <c r="T148" s="130">
        <v>1348</v>
      </c>
      <c r="U148" s="130">
        <v>1358</v>
      </c>
      <c r="V148" s="130">
        <v>4110</v>
      </c>
    </row>
    <row r="149" spans="2:30" ht="13.5" customHeight="1">
      <c r="B149" s="86">
        <f>B148+1</f>
        <v>404</v>
      </c>
      <c r="C149" s="135" t="s">
        <v>105</v>
      </c>
      <c r="D149" s="78"/>
      <c r="E149" s="78"/>
      <c r="F149" s="98"/>
      <c r="G149" s="86" t="s">
        <v>158</v>
      </c>
      <c r="H149" s="136" t="str">
        <f>IF(ISERROR(VLOOKUP($V$144,$T$148:$T$155,1,FALSE)=TRUE),"nee",IF(VLOOKUP($V$144,$T$148:$T$155,1,FALSE)=$V$144,"ja","nee"))</f>
        <v>nee</v>
      </c>
      <c r="I149" s="103"/>
      <c r="J149" s="70"/>
      <c r="K149" s="72"/>
      <c r="L149" s="295">
        <f>10.23+2.98</f>
        <v>13.21</v>
      </c>
      <c r="M149" s="121">
        <f>IF(H149="ja",ROUND(J149*(ROUND(10.23*1.004,2)+ROUND(2.98*1.01,2)),0),0)</f>
        <v>0</v>
      </c>
      <c r="Q149" s="182"/>
      <c r="R149" s="276"/>
      <c r="T149" s="141">
        <v>1349</v>
      </c>
      <c r="U149" s="141">
        <v>8121</v>
      </c>
      <c r="V149" s="141">
        <v>4280</v>
      </c>
      <c r="Y149" s="138"/>
      <c r="Z149" s="138"/>
      <c r="AA149" s="138"/>
      <c r="AB149" s="138"/>
      <c r="AC149" s="138"/>
      <c r="AD149" s="138"/>
    </row>
    <row r="150" spans="2:30" ht="13.5" customHeight="1" thickBot="1">
      <c r="B150" s="86">
        <f>B149+1</f>
        <v>405</v>
      </c>
      <c r="C150" s="135" t="s">
        <v>466</v>
      </c>
      <c r="D150" s="78"/>
      <c r="E150" s="78"/>
      <c r="F150" s="98"/>
      <c r="G150" s="86" t="s">
        <v>158</v>
      </c>
      <c r="H150" s="136" t="str">
        <f>IF(ISERROR(VLOOKUP($V$144,$U$148:$U$151,1,FALSE)=TRUE),"nee",IF(VLOOKUP($V$144,$U$148:$U$151,1,FALSE)=$V$144,"ja","nee"))</f>
        <v>nee</v>
      </c>
      <c r="I150" s="103"/>
      <c r="J150" s="70"/>
      <c r="K150" s="72"/>
      <c r="L150" s="295">
        <v>3.56</v>
      </c>
      <c r="M150" s="121">
        <f>IF(H150="ja",ROUND(J150*ROUND(L150*1.004,2),0),0)</f>
        <v>0</v>
      </c>
      <c r="Q150" s="183"/>
      <c r="R150" s="277"/>
      <c r="T150" s="141">
        <v>1360</v>
      </c>
      <c r="U150" s="141">
        <v>8214</v>
      </c>
      <c r="V150" s="141">
        <v>5420</v>
      </c>
      <c r="Y150" s="138"/>
      <c r="Z150" s="138"/>
      <c r="AA150" s="138"/>
      <c r="AB150" s="138"/>
      <c r="AC150" s="138"/>
      <c r="AD150" s="138"/>
    </row>
    <row r="151" spans="2:22" ht="13.5" customHeight="1" thickBot="1">
      <c r="B151" s="83">
        <f>B150+1</f>
        <v>406</v>
      </c>
      <c r="C151" s="84" t="str">
        <f>"Totaal toeslagen dagen (regel "&amp;B146&amp;" t/m regel "&amp;B150&amp;")"</f>
        <v>Totaal toeslagen dagen (regel 401 t/m regel 405)</v>
      </c>
      <c r="D151" s="78"/>
      <c r="E151" s="78"/>
      <c r="F151" s="78"/>
      <c r="G151" s="78"/>
      <c r="H151" s="78"/>
      <c r="I151" s="78"/>
      <c r="J151" s="78"/>
      <c r="K151" s="78"/>
      <c r="L151" s="108"/>
      <c r="M151" s="122">
        <f>SUM(M146:M150)</f>
        <v>0</v>
      </c>
      <c r="R151" s="270"/>
      <c r="T151" s="141">
        <v>1374</v>
      </c>
      <c r="U151" s="141">
        <v>8227</v>
      </c>
      <c r="V151" s="141">
        <v>8108</v>
      </c>
    </row>
    <row r="152" spans="18:22" ht="13.5" customHeight="1">
      <c r="R152" s="270"/>
      <c r="T152" s="141">
        <v>1407</v>
      </c>
      <c r="U152" s="141"/>
      <c r="V152" s="141">
        <v>8109</v>
      </c>
    </row>
    <row r="153" spans="2:22" ht="13.5" customHeight="1">
      <c r="B153" s="90" t="s">
        <v>118</v>
      </c>
      <c r="R153" s="270"/>
      <c r="T153" s="141">
        <v>8131</v>
      </c>
      <c r="U153" s="141"/>
      <c r="V153" s="141">
        <v>8111</v>
      </c>
    </row>
    <row r="154" spans="2:22" ht="13.5" customHeight="1">
      <c r="B154" s="86">
        <f>B151+1</f>
        <v>407</v>
      </c>
      <c r="C154" s="135" t="s">
        <v>120</v>
      </c>
      <c r="D154" s="78"/>
      <c r="E154" s="78"/>
      <c r="F154" s="98"/>
      <c r="G154" s="86" t="s">
        <v>158</v>
      </c>
      <c r="H154" s="86" t="str">
        <f aca="true" t="shared" si="8" ref="H154:H162">IF(AND($G$40="ja",$G$41="ja"),"ja","nee")</f>
        <v>nee</v>
      </c>
      <c r="I154" s="103"/>
      <c r="J154" s="70"/>
      <c r="K154" s="72"/>
      <c r="L154" s="71"/>
      <c r="M154" s="121">
        <f aca="true" t="shared" si="9" ref="M154:M162">IF(H154="ja",ROUND(J154*ROUND(L154*1.004,2),0),0)</f>
        <v>0</v>
      </c>
      <c r="Q154" s="104">
        <v>0</v>
      </c>
      <c r="R154" s="268">
        <v>95.4</v>
      </c>
      <c r="T154" s="141">
        <v>8225</v>
      </c>
      <c r="U154" s="141"/>
      <c r="V154" s="141">
        <v>8113</v>
      </c>
    </row>
    <row r="155" spans="2:22" ht="13.5" customHeight="1">
      <c r="B155" s="86">
        <f aca="true" t="shared" si="10" ref="B155:B161">B154+1</f>
        <v>408</v>
      </c>
      <c r="C155" s="135" t="s">
        <v>154</v>
      </c>
      <c r="D155" s="78"/>
      <c r="E155" s="78"/>
      <c r="F155" s="98"/>
      <c r="G155" s="86" t="s">
        <v>158</v>
      </c>
      <c r="H155" s="86" t="str">
        <f t="shared" si="8"/>
        <v>nee</v>
      </c>
      <c r="I155" s="103"/>
      <c r="J155" s="70"/>
      <c r="K155" s="72"/>
      <c r="L155" s="71"/>
      <c r="M155" s="121">
        <f t="shared" si="9"/>
        <v>0</v>
      </c>
      <c r="Q155" s="105">
        <v>0</v>
      </c>
      <c r="R155" s="273">
        <v>95.4</v>
      </c>
      <c r="T155" s="131">
        <v>8239</v>
      </c>
      <c r="U155" s="131"/>
      <c r="V155" s="141">
        <v>8124</v>
      </c>
    </row>
    <row r="156" spans="2:22" ht="13.5" customHeight="1">
      <c r="B156" s="86">
        <f t="shared" si="10"/>
        <v>409</v>
      </c>
      <c r="C156" s="135" t="s">
        <v>31</v>
      </c>
      <c r="D156" s="78"/>
      <c r="E156" s="78"/>
      <c r="F156" s="98"/>
      <c r="G156" s="86" t="s">
        <v>158</v>
      </c>
      <c r="H156" s="86" t="str">
        <f t="shared" si="8"/>
        <v>nee</v>
      </c>
      <c r="I156" s="103"/>
      <c r="J156" s="70"/>
      <c r="K156" s="72"/>
      <c r="L156" s="71"/>
      <c r="M156" s="121">
        <f t="shared" si="9"/>
        <v>0</v>
      </c>
      <c r="Q156" s="105">
        <v>0</v>
      </c>
      <c r="R156" s="273">
        <v>95.4</v>
      </c>
      <c r="V156" s="141">
        <v>8127</v>
      </c>
    </row>
    <row r="157" spans="2:22" ht="13.5" customHeight="1">
      <c r="B157" s="86">
        <f t="shared" si="10"/>
        <v>410</v>
      </c>
      <c r="C157" s="135" t="s">
        <v>119</v>
      </c>
      <c r="D157" s="78"/>
      <c r="E157" s="78"/>
      <c r="F157" s="98"/>
      <c r="G157" s="86" t="s">
        <v>158</v>
      </c>
      <c r="H157" s="86" t="str">
        <f t="shared" si="8"/>
        <v>nee</v>
      </c>
      <c r="I157" s="103"/>
      <c r="J157" s="70"/>
      <c r="K157" s="72"/>
      <c r="L157" s="71"/>
      <c r="M157" s="121">
        <f>IF(H157="ja",ROUND(J157*ROUND(L157*1.004,2),0),0)</f>
        <v>0</v>
      </c>
      <c r="Q157" s="105">
        <v>0</v>
      </c>
      <c r="R157" s="273">
        <v>95.4</v>
      </c>
      <c r="V157" s="141">
        <v>8136</v>
      </c>
    </row>
    <row r="158" spans="2:22" ht="13.5" customHeight="1">
      <c r="B158" s="86">
        <f t="shared" si="10"/>
        <v>411</v>
      </c>
      <c r="C158" s="135" t="s">
        <v>121</v>
      </c>
      <c r="D158" s="78"/>
      <c r="E158" s="78"/>
      <c r="F158" s="78"/>
      <c r="G158" s="86" t="s">
        <v>158</v>
      </c>
      <c r="H158" s="86" t="str">
        <f t="shared" si="8"/>
        <v>nee</v>
      </c>
      <c r="I158" s="103"/>
      <c r="J158" s="70"/>
      <c r="K158" s="72"/>
      <c r="L158" s="71"/>
      <c r="M158" s="121">
        <f t="shared" si="9"/>
        <v>0</v>
      </c>
      <c r="Q158" s="105">
        <v>0</v>
      </c>
      <c r="R158" s="273">
        <v>95.4</v>
      </c>
      <c r="V158" s="141"/>
    </row>
    <row r="159" spans="2:22" ht="13.5" customHeight="1">
      <c r="B159" s="86">
        <f t="shared" si="10"/>
        <v>412</v>
      </c>
      <c r="C159" s="135" t="s">
        <v>32</v>
      </c>
      <c r="D159" s="78"/>
      <c r="E159" s="78"/>
      <c r="F159" s="78"/>
      <c r="G159" s="86" t="s">
        <v>158</v>
      </c>
      <c r="H159" s="86" t="str">
        <f t="shared" si="8"/>
        <v>nee</v>
      </c>
      <c r="I159" s="103"/>
      <c r="J159" s="70"/>
      <c r="K159" s="72"/>
      <c r="L159" s="71"/>
      <c r="M159" s="121">
        <f t="shared" si="9"/>
        <v>0</v>
      </c>
      <c r="Q159" s="105">
        <v>0</v>
      </c>
      <c r="R159" s="273">
        <v>43.2</v>
      </c>
      <c r="V159" s="141"/>
    </row>
    <row r="160" spans="2:22" ht="13.5" customHeight="1">
      <c r="B160" s="86">
        <f t="shared" si="10"/>
        <v>413</v>
      </c>
      <c r="C160" s="135" t="s">
        <v>122</v>
      </c>
      <c r="D160" s="78"/>
      <c r="E160" s="78"/>
      <c r="F160" s="78"/>
      <c r="G160" s="86" t="s">
        <v>158</v>
      </c>
      <c r="H160" s="86" t="str">
        <f t="shared" si="8"/>
        <v>nee</v>
      </c>
      <c r="I160" s="103"/>
      <c r="J160" s="70"/>
      <c r="K160" s="72"/>
      <c r="L160" s="71"/>
      <c r="M160" s="121">
        <f t="shared" si="9"/>
        <v>0</v>
      </c>
      <c r="Q160" s="105">
        <v>0</v>
      </c>
      <c r="R160" s="273">
        <v>43.2</v>
      </c>
      <c r="V160" s="141"/>
    </row>
    <row r="161" spans="2:22" ht="13.5" customHeight="1">
      <c r="B161" s="86">
        <f t="shared" si="10"/>
        <v>414</v>
      </c>
      <c r="C161" s="135" t="s">
        <v>29</v>
      </c>
      <c r="D161" s="78"/>
      <c r="E161" s="78"/>
      <c r="F161" s="78"/>
      <c r="G161" s="86" t="s">
        <v>158</v>
      </c>
      <c r="H161" s="86" t="str">
        <f t="shared" si="8"/>
        <v>nee</v>
      </c>
      <c r="I161" s="103"/>
      <c r="J161" s="70"/>
      <c r="K161" s="72"/>
      <c r="L161" s="71"/>
      <c r="M161" s="121">
        <f t="shared" si="9"/>
        <v>0</v>
      </c>
      <c r="Q161" s="105">
        <v>0</v>
      </c>
      <c r="R161" s="273">
        <v>43.2</v>
      </c>
      <c r="V161" s="141"/>
    </row>
    <row r="162" spans="2:22" ht="13.5" customHeight="1" thickBot="1">
      <c r="B162" s="86">
        <f>B161+1</f>
        <v>415</v>
      </c>
      <c r="C162" s="135" t="s">
        <v>30</v>
      </c>
      <c r="D162" s="78"/>
      <c r="E162" s="78"/>
      <c r="F162" s="78"/>
      <c r="G162" s="86" t="s">
        <v>158</v>
      </c>
      <c r="H162" s="86" t="str">
        <f t="shared" si="8"/>
        <v>nee</v>
      </c>
      <c r="I162" s="307"/>
      <c r="J162" s="308"/>
      <c r="K162" s="309"/>
      <c r="L162" s="71"/>
      <c r="M162" s="121">
        <f t="shared" si="9"/>
        <v>0</v>
      </c>
      <c r="Q162" s="106">
        <v>0</v>
      </c>
      <c r="R162" s="269">
        <v>43.2</v>
      </c>
      <c r="V162" s="141"/>
    </row>
    <row r="163" spans="2:22" ht="13.5" customHeight="1" thickBot="1">
      <c r="B163" s="83">
        <f>B162+1</f>
        <v>416</v>
      </c>
      <c r="C163" s="84" t="str">
        <f>"Totaal toeslagen dagen ten behoeve van Cliënten met een hoge zorgvraag (regel "&amp;B154&amp;" t/m regel "&amp;B162&amp;")"</f>
        <v>Totaal toeslagen dagen ten behoeve van Cliënten met een hoge zorgvraag (regel 407 t/m regel 415)</v>
      </c>
      <c r="D163" s="78"/>
      <c r="E163" s="78"/>
      <c r="F163" s="78"/>
      <c r="G163" s="78"/>
      <c r="H163" s="78"/>
      <c r="I163" s="78"/>
      <c r="J163" s="78"/>
      <c r="K163" s="78"/>
      <c r="L163" s="108"/>
      <c r="M163" s="122">
        <f>SUM(M154:M162)</f>
        <v>0</v>
      </c>
      <c r="V163" s="141">
        <v>8137</v>
      </c>
    </row>
    <row r="164" ht="13.5" customHeight="1">
      <c r="V164" s="141">
        <v>8141</v>
      </c>
    </row>
    <row r="165" spans="2:22" ht="13.5" customHeight="1">
      <c r="B165" s="81" t="s">
        <v>0</v>
      </c>
      <c r="L165" s="91" t="s">
        <v>188</v>
      </c>
      <c r="M165" s="91" t="s">
        <v>208</v>
      </c>
      <c r="V165" s="141">
        <v>8142</v>
      </c>
    </row>
    <row r="166" spans="12:22" ht="13.5" customHeight="1">
      <c r="L166" s="92" t="s">
        <v>175</v>
      </c>
      <c r="M166" s="92" t="s">
        <v>205</v>
      </c>
      <c r="V166" s="141">
        <v>8145</v>
      </c>
    </row>
    <row r="167" spans="2:22" ht="13.5" customHeight="1">
      <c r="B167" s="133">
        <f>B163+1</f>
        <v>417</v>
      </c>
      <c r="C167" s="78" t="s">
        <v>103</v>
      </c>
      <c r="D167" s="238"/>
      <c r="E167" s="238"/>
      <c r="F167" s="238"/>
      <c r="G167" s="238"/>
      <c r="H167" s="78"/>
      <c r="I167" s="78"/>
      <c r="J167" s="78"/>
      <c r="K167" s="78"/>
      <c r="L167" s="86" t="str">
        <f>IF(AND($G$40="ja",$G$41="ja"),"ja","nee")</f>
        <v>nee</v>
      </c>
      <c r="M167" s="70"/>
      <c r="V167" s="141">
        <v>8161</v>
      </c>
    </row>
    <row r="168" spans="1:22" ht="13.5" customHeight="1">
      <c r="A168" s="238"/>
      <c r="B168" s="86">
        <f>B167+1</f>
        <v>418</v>
      </c>
      <c r="C168" s="87" t="s">
        <v>1</v>
      </c>
      <c r="D168" s="78"/>
      <c r="E168" s="78"/>
      <c r="F168" s="78"/>
      <c r="G168" s="78"/>
      <c r="H168" s="78"/>
      <c r="I168" s="78"/>
      <c r="J168" s="78"/>
      <c r="K168" s="78"/>
      <c r="L168" s="86" t="str">
        <f>IF(AND($G$40="ja",$G$41="ja"),"ja","nee")</f>
        <v>nee</v>
      </c>
      <c r="M168" s="70"/>
      <c r="V168" s="141">
        <v>8170</v>
      </c>
    </row>
    <row r="169" ht="13.5" customHeight="1">
      <c r="V169" s="141">
        <v>8173</v>
      </c>
    </row>
    <row r="170" spans="2:22" ht="13.5" customHeight="1">
      <c r="B170" s="81" t="s">
        <v>2</v>
      </c>
      <c r="M170" s="91" t="s">
        <v>180</v>
      </c>
      <c r="V170" s="141">
        <v>8187</v>
      </c>
    </row>
    <row r="171" spans="13:22" ht="13.5" customHeight="1">
      <c r="M171" s="92" t="s">
        <v>181</v>
      </c>
      <c r="V171" s="141">
        <v>8193</v>
      </c>
    </row>
    <row r="172" spans="2:22" ht="13.5" customHeight="1">
      <c r="B172" s="86">
        <f>B168+1</f>
        <v>419</v>
      </c>
      <c r="C172" s="78" t="s">
        <v>533</v>
      </c>
      <c r="D172" s="78"/>
      <c r="E172" s="78"/>
      <c r="F172" s="78"/>
      <c r="G172" s="78"/>
      <c r="H172" s="78"/>
      <c r="I172" s="78"/>
      <c r="J172" s="78"/>
      <c r="K172" s="78"/>
      <c r="L172" s="98"/>
      <c r="M172" s="177"/>
      <c r="V172" s="141">
        <v>8199</v>
      </c>
    </row>
    <row r="173" ht="13.5" customHeight="1">
      <c r="V173" s="141">
        <v>8200</v>
      </c>
    </row>
    <row r="174" spans="2:22" ht="13.5" customHeight="1">
      <c r="B174" s="81" t="s">
        <v>3</v>
      </c>
      <c r="G174" s="133"/>
      <c r="H174" s="91" t="s">
        <v>188</v>
      </c>
      <c r="I174" s="99" t="s">
        <v>189</v>
      </c>
      <c r="J174" s="91" t="s">
        <v>176</v>
      </c>
      <c r="K174" s="99" t="s">
        <v>190</v>
      </c>
      <c r="L174" s="91" t="s">
        <v>178</v>
      </c>
      <c r="M174" s="91" t="s">
        <v>180</v>
      </c>
      <c r="Q174" s="93" t="s">
        <v>187</v>
      </c>
      <c r="R174" s="94"/>
      <c r="V174" s="141">
        <v>8217</v>
      </c>
    </row>
    <row r="175" spans="3:22" ht="13.5" customHeight="1">
      <c r="C175" s="100"/>
      <c r="D175" s="101"/>
      <c r="E175" s="101"/>
      <c r="F175" s="142"/>
      <c r="G175" s="92" t="s">
        <v>155</v>
      </c>
      <c r="H175" s="92" t="s">
        <v>175</v>
      </c>
      <c r="I175" s="102" t="s">
        <v>182</v>
      </c>
      <c r="J175" s="92" t="s">
        <v>177</v>
      </c>
      <c r="K175" s="102" t="s">
        <v>179</v>
      </c>
      <c r="L175" s="92" t="s">
        <v>179</v>
      </c>
      <c r="M175" s="92" t="s">
        <v>181</v>
      </c>
      <c r="Q175" s="95" t="s">
        <v>186</v>
      </c>
      <c r="R175" s="96" t="s">
        <v>185</v>
      </c>
      <c r="V175" s="141">
        <v>8230</v>
      </c>
    </row>
    <row r="176" spans="2:22" ht="13.5" customHeight="1">
      <c r="B176" s="86">
        <f>B172+1</f>
        <v>420</v>
      </c>
      <c r="C176" s="86" t="s">
        <v>156</v>
      </c>
      <c r="D176" s="87" t="s">
        <v>157</v>
      </c>
      <c r="E176" s="78"/>
      <c r="F176" s="98"/>
      <c r="G176" s="86" t="s">
        <v>158</v>
      </c>
      <c r="H176" s="86" t="str">
        <f aca="true" t="shared" si="11" ref="H176:H182">IF($G$41="ja","ja","nee")</f>
        <v>nee</v>
      </c>
      <c r="I176" s="103"/>
      <c r="J176" s="70"/>
      <c r="K176" s="72"/>
      <c r="L176" s="71"/>
      <c r="M176" s="121">
        <f aca="true" t="shared" si="12" ref="M176:M185">IF(H176="ja",ROUND(J176*L176,0),0)</f>
        <v>0</v>
      </c>
      <c r="Q176" s="104">
        <v>0</v>
      </c>
      <c r="R176" s="199">
        <v>73.4</v>
      </c>
      <c r="V176" s="141">
        <v>8231</v>
      </c>
    </row>
    <row r="177" spans="2:22" ht="13.5" customHeight="1">
      <c r="B177" s="86">
        <f aca="true" t="shared" si="13" ref="B177:B186">B176+1</f>
        <v>421</v>
      </c>
      <c r="C177" s="86" t="s">
        <v>159</v>
      </c>
      <c r="D177" s="87" t="s">
        <v>160</v>
      </c>
      <c r="E177" s="78"/>
      <c r="F177" s="98"/>
      <c r="G177" s="86" t="s">
        <v>161</v>
      </c>
      <c r="H177" s="86" t="str">
        <f t="shared" si="11"/>
        <v>nee</v>
      </c>
      <c r="I177" s="103"/>
      <c r="J177" s="70"/>
      <c r="K177" s="72"/>
      <c r="L177" s="71"/>
      <c r="M177" s="121">
        <f t="shared" si="12"/>
        <v>0</v>
      </c>
      <c r="Q177" s="105">
        <v>0</v>
      </c>
      <c r="R177" s="199">
        <v>38.9</v>
      </c>
      <c r="V177" s="141">
        <v>8233</v>
      </c>
    </row>
    <row r="178" spans="2:22" ht="13.5" customHeight="1">
      <c r="B178" s="86">
        <f t="shared" si="13"/>
        <v>422</v>
      </c>
      <c r="C178" s="86" t="s">
        <v>162</v>
      </c>
      <c r="D178" s="87" t="s">
        <v>163</v>
      </c>
      <c r="E178" s="78"/>
      <c r="F178" s="98"/>
      <c r="G178" s="86" t="s">
        <v>158</v>
      </c>
      <c r="H178" s="86" t="str">
        <f t="shared" si="11"/>
        <v>nee</v>
      </c>
      <c r="I178" s="103"/>
      <c r="J178" s="70"/>
      <c r="K178" s="72"/>
      <c r="L178" s="71"/>
      <c r="M178" s="121">
        <f t="shared" si="12"/>
        <v>0</v>
      </c>
      <c r="Q178" s="105">
        <v>0</v>
      </c>
      <c r="R178" s="199">
        <v>57.9</v>
      </c>
      <c r="V178" s="141">
        <v>8239</v>
      </c>
    </row>
    <row r="179" spans="2:22" ht="13.5" customHeight="1">
      <c r="B179" s="86">
        <f t="shared" si="13"/>
        <v>423</v>
      </c>
      <c r="C179" s="86" t="s">
        <v>164</v>
      </c>
      <c r="D179" s="87" t="s">
        <v>165</v>
      </c>
      <c r="E179" s="78"/>
      <c r="F179" s="98"/>
      <c r="G179" s="86" t="s">
        <v>158</v>
      </c>
      <c r="H179" s="86" t="str">
        <f t="shared" si="11"/>
        <v>nee</v>
      </c>
      <c r="I179" s="103"/>
      <c r="J179" s="70"/>
      <c r="K179" s="72"/>
      <c r="L179" s="71"/>
      <c r="M179" s="121">
        <f t="shared" si="12"/>
        <v>0</v>
      </c>
      <c r="Q179" s="105">
        <v>0</v>
      </c>
      <c r="R179" s="199">
        <v>44.9</v>
      </c>
      <c r="V179" s="141">
        <v>8262</v>
      </c>
    </row>
    <row r="180" spans="2:22" ht="13.5" customHeight="1">
      <c r="B180" s="86">
        <f t="shared" si="13"/>
        <v>424</v>
      </c>
      <c r="C180" s="86" t="s">
        <v>166</v>
      </c>
      <c r="D180" s="87" t="s">
        <v>167</v>
      </c>
      <c r="E180" s="78"/>
      <c r="F180" s="98"/>
      <c r="G180" s="86" t="s">
        <v>158</v>
      </c>
      <c r="H180" s="86" t="str">
        <f t="shared" si="11"/>
        <v>nee</v>
      </c>
      <c r="I180" s="103"/>
      <c r="J180" s="70"/>
      <c r="K180" s="72"/>
      <c r="L180" s="71"/>
      <c r="M180" s="121">
        <f t="shared" si="12"/>
        <v>0</v>
      </c>
      <c r="Q180" s="105">
        <v>0</v>
      </c>
      <c r="R180" s="199">
        <v>44.9</v>
      </c>
      <c r="V180" s="141">
        <v>8282</v>
      </c>
    </row>
    <row r="181" spans="2:22" ht="13.5" customHeight="1">
      <c r="B181" s="86">
        <f t="shared" si="13"/>
        <v>425</v>
      </c>
      <c r="C181" s="86" t="s">
        <v>168</v>
      </c>
      <c r="D181" s="87" t="s">
        <v>169</v>
      </c>
      <c r="E181" s="78"/>
      <c r="F181" s="98"/>
      <c r="G181" s="86" t="s">
        <v>158</v>
      </c>
      <c r="H181" s="86" t="str">
        <f t="shared" si="11"/>
        <v>nee</v>
      </c>
      <c r="I181" s="103"/>
      <c r="J181" s="70"/>
      <c r="K181" s="72"/>
      <c r="L181" s="71"/>
      <c r="M181" s="121">
        <f t="shared" si="12"/>
        <v>0</v>
      </c>
      <c r="Q181" s="105">
        <v>0</v>
      </c>
      <c r="R181" s="199">
        <v>58.5</v>
      </c>
      <c r="V181" s="141">
        <v>8287</v>
      </c>
    </row>
    <row r="182" spans="2:22" ht="13.5" customHeight="1">
      <c r="B182" s="86">
        <f t="shared" si="13"/>
        <v>426</v>
      </c>
      <c r="C182" s="86" t="s">
        <v>170</v>
      </c>
      <c r="D182" s="87" t="s">
        <v>171</v>
      </c>
      <c r="E182" s="78"/>
      <c r="F182" s="98"/>
      <c r="G182" s="86" t="s">
        <v>158</v>
      </c>
      <c r="H182" s="86" t="str">
        <f t="shared" si="11"/>
        <v>nee</v>
      </c>
      <c r="I182" s="103"/>
      <c r="J182" s="70"/>
      <c r="K182" s="72"/>
      <c r="L182" s="71"/>
      <c r="M182" s="121">
        <f t="shared" si="12"/>
        <v>0</v>
      </c>
      <c r="Q182" s="105">
        <v>0</v>
      </c>
      <c r="R182" s="199">
        <v>44.9</v>
      </c>
      <c r="V182" s="141">
        <v>8303</v>
      </c>
    </row>
    <row r="183" spans="2:22" ht="13.5" customHeight="1">
      <c r="B183" s="86">
        <f t="shared" si="13"/>
        <v>427</v>
      </c>
      <c r="C183" s="86" t="s">
        <v>172</v>
      </c>
      <c r="D183" s="87" t="s">
        <v>173</v>
      </c>
      <c r="E183" s="78"/>
      <c r="F183" s="98"/>
      <c r="G183" s="86" t="s">
        <v>161</v>
      </c>
      <c r="H183" s="86" t="str">
        <f>IF(AND($G$41="ja",$G$40="ja"),"ja","nee")</f>
        <v>nee</v>
      </c>
      <c r="I183" s="103"/>
      <c r="J183" s="70"/>
      <c r="K183" s="72"/>
      <c r="L183" s="71"/>
      <c r="M183" s="121">
        <f t="shared" si="12"/>
        <v>0</v>
      </c>
      <c r="Q183" s="105">
        <v>0</v>
      </c>
      <c r="R183" s="199">
        <v>72.1</v>
      </c>
      <c r="V183" s="131">
        <v>8312</v>
      </c>
    </row>
    <row r="184" spans="2:18" ht="13.5" customHeight="1">
      <c r="B184" s="86">
        <f t="shared" si="13"/>
        <v>428</v>
      </c>
      <c r="C184" s="86" t="s">
        <v>174</v>
      </c>
      <c r="D184" s="87" t="s">
        <v>492</v>
      </c>
      <c r="E184" s="78"/>
      <c r="F184" s="98"/>
      <c r="G184" s="86" t="s">
        <v>158</v>
      </c>
      <c r="H184" s="86" t="str">
        <f>IF(AND($G$41="ja",$G$40="ja"),"ja","nee")</f>
        <v>nee</v>
      </c>
      <c r="I184" s="103"/>
      <c r="J184" s="70"/>
      <c r="K184" s="72"/>
      <c r="L184" s="71"/>
      <c r="M184" s="121">
        <f t="shared" si="12"/>
        <v>0</v>
      </c>
      <c r="Q184" s="105">
        <v>0</v>
      </c>
      <c r="R184" s="199">
        <v>128</v>
      </c>
    </row>
    <row r="185" spans="2:18" ht="13.5" customHeight="1" thickBot="1">
      <c r="B185" s="86">
        <f t="shared" si="13"/>
        <v>429</v>
      </c>
      <c r="C185" s="143" t="s">
        <v>460</v>
      </c>
      <c r="D185" s="144" t="s">
        <v>459</v>
      </c>
      <c r="E185" s="78"/>
      <c r="F185" s="78"/>
      <c r="G185" s="145" t="s">
        <v>458</v>
      </c>
      <c r="H185" s="86" t="str">
        <f>IF(AND($G$41="ja",$G$40="ja"),"ja","nee")</f>
        <v>nee</v>
      </c>
      <c r="I185" s="77"/>
      <c r="J185" s="70"/>
      <c r="K185" s="72"/>
      <c r="L185" s="71"/>
      <c r="M185" s="121">
        <f t="shared" si="12"/>
        <v>0</v>
      </c>
      <c r="Q185" s="106">
        <v>0</v>
      </c>
      <c r="R185" s="272">
        <v>22.3</v>
      </c>
    </row>
    <row r="186" spans="2:13" ht="13.5" customHeight="1" thickBot="1">
      <c r="B186" s="83">
        <f t="shared" si="13"/>
        <v>430</v>
      </c>
      <c r="C186" s="84" t="str">
        <f>"Totaal prestaties intramurale zorg (regel "&amp;B176&amp;" t/m regel "&amp;B185&amp;")"</f>
        <v>Totaal prestaties intramurale zorg (regel 420 t/m regel 429)</v>
      </c>
      <c r="D186" s="101"/>
      <c r="E186" s="101"/>
      <c r="F186" s="101"/>
      <c r="G186" s="78"/>
      <c r="H186" s="78"/>
      <c r="I186" s="78"/>
      <c r="J186" s="78"/>
      <c r="K186" s="78"/>
      <c r="L186" s="78"/>
      <c r="M186" s="122">
        <f>SUM(M176:M185)</f>
        <v>0</v>
      </c>
    </row>
    <row r="187" spans="2:22" ht="13.5" customHeight="1">
      <c r="B187" s="110" t="s">
        <v>99</v>
      </c>
      <c r="V187" s="138"/>
    </row>
    <row r="188" spans="1:11" ht="18" customHeight="1">
      <c r="A188" s="74" t="s">
        <v>207</v>
      </c>
      <c r="B188" s="73"/>
      <c r="I188" s="184"/>
      <c r="J188" s="41"/>
      <c r="K188" s="184"/>
    </row>
    <row r="189" spans="2:13" ht="18" customHeight="1">
      <c r="B189" s="75" t="str">
        <f>$B$2</f>
        <v>Budget 2006 AWBZ-instellingen sector V&amp;V</v>
      </c>
      <c r="C189" s="75"/>
      <c r="D189" s="75"/>
      <c r="E189" s="89"/>
      <c r="F189" s="123" t="str">
        <f>$F$2</f>
        <v>650 / </v>
      </c>
      <c r="G189" s="75"/>
      <c r="H189" s="76"/>
      <c r="I189" s="75"/>
      <c r="J189" s="76" t="str">
        <f>$J$2</f>
        <v>versie: 29-08-2006</v>
      </c>
      <c r="K189" s="76"/>
      <c r="L189" s="78"/>
      <c r="M189" s="79">
        <f>M141+1</f>
        <v>5</v>
      </c>
    </row>
    <row r="190" ht="12.75"/>
    <row r="191" spans="2:8" ht="13.5" customHeight="1">
      <c r="B191" s="81" t="s">
        <v>4</v>
      </c>
      <c r="H191" s="279"/>
    </row>
    <row r="192" spans="7:18" ht="13.5" customHeight="1">
      <c r="G192" s="133"/>
      <c r="H192" s="91" t="s">
        <v>188</v>
      </c>
      <c r="I192" s="99" t="s">
        <v>189</v>
      </c>
      <c r="J192" s="91" t="s">
        <v>176</v>
      </c>
      <c r="K192" s="99" t="s">
        <v>190</v>
      </c>
      <c r="L192" s="91" t="s">
        <v>178</v>
      </c>
      <c r="M192" s="91" t="s">
        <v>180</v>
      </c>
      <c r="Q192" s="93" t="s">
        <v>187</v>
      </c>
      <c r="R192" s="94"/>
    </row>
    <row r="193" spans="2:18" ht="13.5" customHeight="1">
      <c r="B193" s="90" t="s">
        <v>5</v>
      </c>
      <c r="C193" s="100"/>
      <c r="D193" s="101"/>
      <c r="E193" s="101"/>
      <c r="F193" s="142"/>
      <c r="G193" s="92" t="s">
        <v>155</v>
      </c>
      <c r="H193" s="92" t="s">
        <v>175</v>
      </c>
      <c r="I193" s="102" t="s">
        <v>182</v>
      </c>
      <c r="J193" s="92" t="s">
        <v>177</v>
      </c>
      <c r="K193" s="102" t="s">
        <v>179</v>
      </c>
      <c r="L193" s="92" t="s">
        <v>179</v>
      </c>
      <c r="M193" s="92" t="s">
        <v>181</v>
      </c>
      <c r="Q193" s="95" t="s">
        <v>186</v>
      </c>
      <c r="R193" s="96" t="s">
        <v>185</v>
      </c>
    </row>
    <row r="194" spans="2:18" ht="13.5" customHeight="1">
      <c r="B194" s="86">
        <f>501</f>
        <v>501</v>
      </c>
      <c r="C194" s="86" t="s">
        <v>210</v>
      </c>
      <c r="D194" s="87" t="s">
        <v>211</v>
      </c>
      <c r="E194" s="78"/>
      <c r="F194" s="98"/>
      <c r="G194" s="86" t="s">
        <v>212</v>
      </c>
      <c r="H194" s="86" t="str">
        <f>IF($G$35="ja","ja","nee")</f>
        <v>nee</v>
      </c>
      <c r="I194" s="103"/>
      <c r="J194" s="70"/>
      <c r="K194" s="72"/>
      <c r="L194" s="71"/>
      <c r="M194" s="121">
        <f>IF(H194="ja",ROUND(J194*L194,0),0)</f>
        <v>0</v>
      </c>
      <c r="Q194" s="104">
        <v>0</v>
      </c>
      <c r="R194" s="268">
        <v>15.2</v>
      </c>
    </row>
    <row r="195" spans="2:18" ht="13.5" customHeight="1">
      <c r="B195" s="86">
        <f>B194+1</f>
        <v>502</v>
      </c>
      <c r="C195" s="86" t="s">
        <v>213</v>
      </c>
      <c r="D195" s="87" t="s">
        <v>193</v>
      </c>
      <c r="E195" s="78"/>
      <c r="F195" s="98"/>
      <c r="G195" s="86" t="s">
        <v>212</v>
      </c>
      <c r="H195" s="86" t="str">
        <f>IF($G$35="ja","ja","nee")</f>
        <v>nee</v>
      </c>
      <c r="I195" s="103"/>
      <c r="J195" s="70"/>
      <c r="K195" s="72"/>
      <c r="L195" s="71"/>
      <c r="M195" s="121">
        <f>IF(H195="ja",ROUND(J195*L195,0),0)</f>
        <v>0</v>
      </c>
      <c r="Q195" s="106">
        <v>0</v>
      </c>
      <c r="R195" s="269">
        <v>24.3</v>
      </c>
    </row>
    <row r="196" spans="13:18" ht="13.5" customHeight="1">
      <c r="M196" s="41"/>
      <c r="R196" s="270"/>
    </row>
    <row r="197" spans="2:18" ht="13.5" customHeight="1">
      <c r="B197" s="90" t="s">
        <v>6</v>
      </c>
      <c r="M197" s="41"/>
      <c r="R197" s="270"/>
    </row>
    <row r="198" spans="2:18" ht="13.5" customHeight="1">
      <c r="B198" s="86">
        <f>B195+1</f>
        <v>503</v>
      </c>
      <c r="C198" s="86" t="s">
        <v>214</v>
      </c>
      <c r="D198" s="87" t="s">
        <v>194</v>
      </c>
      <c r="E198" s="78"/>
      <c r="F198" s="98"/>
      <c r="G198" s="86" t="s">
        <v>212</v>
      </c>
      <c r="H198" s="86" t="str">
        <f>IF($G$36="ja","ja","nee")</f>
        <v>nee</v>
      </c>
      <c r="I198" s="103"/>
      <c r="J198" s="70"/>
      <c r="K198" s="72"/>
      <c r="L198" s="71"/>
      <c r="M198" s="121">
        <f>IF(H198="ja",ROUND(J198*L198,0),0)</f>
        <v>0</v>
      </c>
      <c r="Q198" s="104">
        <v>0</v>
      </c>
      <c r="R198" s="271">
        <v>41.6</v>
      </c>
    </row>
    <row r="199" spans="2:18" ht="13.5" customHeight="1">
      <c r="B199" s="86">
        <f>B198+1</f>
        <v>504</v>
      </c>
      <c r="C199" s="86" t="s">
        <v>215</v>
      </c>
      <c r="D199" s="87" t="s">
        <v>216</v>
      </c>
      <c r="E199" s="78"/>
      <c r="F199" s="98"/>
      <c r="G199" s="86" t="s">
        <v>212</v>
      </c>
      <c r="H199" s="86" t="str">
        <f>IF($G$36="ja","ja","nee")</f>
        <v>nee</v>
      </c>
      <c r="I199" s="103"/>
      <c r="J199" s="70"/>
      <c r="K199" s="72"/>
      <c r="L199" s="71"/>
      <c r="M199" s="121">
        <f>IF(H199="ja",ROUND(J199*L199,0),0)</f>
        <v>0</v>
      </c>
      <c r="Q199" s="105">
        <v>0</v>
      </c>
      <c r="R199" s="199">
        <f>R198+2.9</f>
        <v>44.5</v>
      </c>
    </row>
    <row r="200" spans="2:18" ht="13.5" customHeight="1">
      <c r="B200" s="86">
        <f>B199+1</f>
        <v>505</v>
      </c>
      <c r="C200" s="86" t="s">
        <v>49</v>
      </c>
      <c r="D200" s="87" t="s">
        <v>50</v>
      </c>
      <c r="E200" s="78"/>
      <c r="F200" s="98"/>
      <c r="G200" s="86" t="s">
        <v>212</v>
      </c>
      <c r="H200" s="86" t="str">
        <f>IF($G$36="ja","ja","nee")</f>
        <v>nee</v>
      </c>
      <c r="I200" s="103"/>
      <c r="J200" s="70"/>
      <c r="K200" s="72"/>
      <c r="L200" s="71"/>
      <c r="M200" s="121">
        <f>IF(H200="ja",ROUND(J200*L200,0),0)</f>
        <v>0</v>
      </c>
      <c r="Q200" s="106">
        <v>0</v>
      </c>
      <c r="R200" s="272">
        <v>62.1</v>
      </c>
    </row>
    <row r="201" spans="13:18" ht="13.5" customHeight="1">
      <c r="M201" s="41"/>
      <c r="R201" s="270"/>
    </row>
    <row r="202" spans="2:18" ht="13.5" customHeight="1">
      <c r="B202" s="90" t="s">
        <v>7</v>
      </c>
      <c r="M202" s="41"/>
      <c r="R202" s="270"/>
    </row>
    <row r="203" spans="2:18" ht="13.5" customHeight="1">
      <c r="B203" s="86">
        <f>B200+1</f>
        <v>506</v>
      </c>
      <c r="C203" s="86" t="s">
        <v>217</v>
      </c>
      <c r="D203" s="87" t="s">
        <v>195</v>
      </c>
      <c r="E203" s="78"/>
      <c r="F203" s="98"/>
      <c r="G203" s="86" t="s">
        <v>212</v>
      </c>
      <c r="H203" s="86" t="str">
        <f>IF($G$37="ja","ja","nee")</f>
        <v>nee</v>
      </c>
      <c r="I203" s="103"/>
      <c r="J203" s="70"/>
      <c r="K203" s="72"/>
      <c r="L203" s="71"/>
      <c r="M203" s="121">
        <f>IF(H203="ja",ROUND(J203*L203,0),0)</f>
        <v>0</v>
      </c>
      <c r="Q203" s="104">
        <v>0</v>
      </c>
      <c r="R203" s="268">
        <v>62.1</v>
      </c>
    </row>
    <row r="204" spans="2:18" ht="13.5" customHeight="1">
      <c r="B204" s="86">
        <f>B203+1</f>
        <v>507</v>
      </c>
      <c r="C204" s="86" t="s">
        <v>218</v>
      </c>
      <c r="D204" s="87" t="s">
        <v>221</v>
      </c>
      <c r="E204" s="78"/>
      <c r="F204" s="98"/>
      <c r="G204" s="86" t="s">
        <v>212</v>
      </c>
      <c r="H204" s="86" t="str">
        <f>IF($G$37="ja","ja","nee")</f>
        <v>nee</v>
      </c>
      <c r="I204" s="103"/>
      <c r="J204" s="70"/>
      <c r="K204" s="72"/>
      <c r="L204" s="71"/>
      <c r="M204" s="121">
        <f>IF(H204="ja",ROUND(J204*L204,0),0)</f>
        <v>0</v>
      </c>
      <c r="Q204" s="105">
        <v>0</v>
      </c>
      <c r="R204" s="273">
        <f>R203+4.4</f>
        <v>66.5</v>
      </c>
    </row>
    <row r="205" spans="2:18" ht="13.5" customHeight="1">
      <c r="B205" s="86">
        <f>B204+1</f>
        <v>508</v>
      </c>
      <c r="C205" s="86" t="s">
        <v>219</v>
      </c>
      <c r="D205" s="87" t="s">
        <v>222</v>
      </c>
      <c r="E205" s="78"/>
      <c r="F205" s="98"/>
      <c r="G205" s="86" t="s">
        <v>212</v>
      </c>
      <c r="H205" s="86" t="str">
        <f>IF($G$37="ja","ja","nee")</f>
        <v>nee</v>
      </c>
      <c r="I205" s="103"/>
      <c r="J205" s="70"/>
      <c r="K205" s="72"/>
      <c r="L205" s="71"/>
      <c r="M205" s="121">
        <f>IF(H205="ja",ROUND(J205*L205,0),0)</f>
        <v>0</v>
      </c>
      <c r="Q205" s="105">
        <v>0</v>
      </c>
      <c r="R205" s="273">
        <f>R203+5.1</f>
        <v>67.2</v>
      </c>
    </row>
    <row r="206" spans="2:18" ht="13.5" customHeight="1">
      <c r="B206" s="86">
        <f>B205+1</f>
        <v>509</v>
      </c>
      <c r="C206" s="86" t="s">
        <v>220</v>
      </c>
      <c r="D206" s="87" t="s">
        <v>223</v>
      </c>
      <c r="E206" s="78"/>
      <c r="F206" s="98"/>
      <c r="G206" s="86" t="s">
        <v>212</v>
      </c>
      <c r="H206" s="86" t="str">
        <f>IF($G$37="ja","ja","nee")</f>
        <v>nee</v>
      </c>
      <c r="I206" s="103"/>
      <c r="J206" s="70"/>
      <c r="K206" s="72"/>
      <c r="L206" s="71"/>
      <c r="M206" s="121">
        <f>IF(H206="ja",ROUND(J206*L206,0),0)</f>
        <v>0</v>
      </c>
      <c r="Q206" s="106">
        <v>0</v>
      </c>
      <c r="R206" s="269">
        <v>62.1</v>
      </c>
    </row>
    <row r="207" spans="3:18" ht="13.5" customHeight="1">
      <c r="C207" s="146"/>
      <c r="M207" s="41"/>
      <c r="R207" s="270"/>
    </row>
    <row r="208" spans="2:18" ht="13.5" customHeight="1">
      <c r="B208" s="90" t="s">
        <v>8</v>
      </c>
      <c r="M208" s="41"/>
      <c r="R208" s="270"/>
    </row>
    <row r="209" spans="2:18" ht="13.5" customHeight="1">
      <c r="B209" s="86">
        <f>B206+1</f>
        <v>510</v>
      </c>
      <c r="C209" s="86" t="s">
        <v>224</v>
      </c>
      <c r="D209" s="87" t="s">
        <v>227</v>
      </c>
      <c r="E209" s="78"/>
      <c r="F209" s="98"/>
      <c r="G209" s="86" t="s">
        <v>212</v>
      </c>
      <c r="H209" s="86" t="str">
        <f>IF($G$38="ja","ja","nee")</f>
        <v>nee</v>
      </c>
      <c r="I209" s="103"/>
      <c r="J209" s="70"/>
      <c r="K209" s="72"/>
      <c r="L209" s="71"/>
      <c r="M209" s="121">
        <f>IF(H209="ja",ROUND(J209*L209,0),0)</f>
        <v>0</v>
      </c>
      <c r="Q209" s="104">
        <v>0</v>
      </c>
      <c r="R209" s="271">
        <v>44.6</v>
      </c>
    </row>
    <row r="210" spans="2:18" ht="13.5" customHeight="1">
      <c r="B210" s="86">
        <f>B209+1</f>
        <v>511</v>
      </c>
      <c r="C210" s="86" t="s">
        <v>225</v>
      </c>
      <c r="D210" s="87" t="s">
        <v>228</v>
      </c>
      <c r="E210" s="78"/>
      <c r="F210" s="98"/>
      <c r="G210" s="86" t="s">
        <v>212</v>
      </c>
      <c r="H210" s="86" t="str">
        <f>IF($G$38="ja","ja","nee")</f>
        <v>nee</v>
      </c>
      <c r="I210" s="103"/>
      <c r="J210" s="70"/>
      <c r="K210" s="72"/>
      <c r="L210" s="71"/>
      <c r="M210" s="121">
        <f>IF(H210="ja",ROUND(J210*L210,0),0)</f>
        <v>0</v>
      </c>
      <c r="Q210" s="105">
        <v>0</v>
      </c>
      <c r="R210" s="199">
        <v>47.8</v>
      </c>
    </row>
    <row r="211" spans="2:18" ht="13.5" customHeight="1">
      <c r="B211" s="86">
        <f>B210+1</f>
        <v>512</v>
      </c>
      <c r="C211" s="86" t="s">
        <v>226</v>
      </c>
      <c r="D211" s="87" t="s">
        <v>67</v>
      </c>
      <c r="E211" s="78"/>
      <c r="F211" s="98"/>
      <c r="G211" s="86" t="s">
        <v>212</v>
      </c>
      <c r="H211" s="86" t="str">
        <f>IF($G$38="ja","ja","nee")</f>
        <v>nee</v>
      </c>
      <c r="I211" s="103"/>
      <c r="J211" s="70"/>
      <c r="K211" s="72"/>
      <c r="L211" s="71"/>
      <c r="M211" s="121">
        <f>IF(H211="ja",ROUND(J211*L211,0),0)</f>
        <v>0</v>
      </c>
      <c r="Q211" s="105">
        <v>0</v>
      </c>
      <c r="R211" s="199">
        <f>R209+29.2</f>
        <v>73.8</v>
      </c>
    </row>
    <row r="212" spans="2:18" ht="13.5" customHeight="1">
      <c r="B212" s="86">
        <f>B211+1</f>
        <v>513</v>
      </c>
      <c r="C212" s="86" t="s">
        <v>110</v>
      </c>
      <c r="D212" s="87" t="s">
        <v>68</v>
      </c>
      <c r="E212" s="78"/>
      <c r="F212" s="98"/>
      <c r="G212" s="86" t="s">
        <v>212</v>
      </c>
      <c r="H212" s="86" t="str">
        <f>IF($G$38="ja","ja","nee")</f>
        <v>nee</v>
      </c>
      <c r="I212" s="103"/>
      <c r="J212" s="70"/>
      <c r="K212" s="72"/>
      <c r="L212" s="71"/>
      <c r="M212" s="121">
        <f>IF(H212="ja",ROUND(J212*L212,0),0)</f>
        <v>0</v>
      </c>
      <c r="Q212" s="106">
        <v>0</v>
      </c>
      <c r="R212" s="272">
        <v>73.8</v>
      </c>
    </row>
    <row r="213" spans="13:20" ht="13.5" customHeight="1">
      <c r="M213" s="41"/>
      <c r="R213" s="270"/>
      <c r="T213" s="190" t="s">
        <v>485</v>
      </c>
    </row>
    <row r="214" spans="2:20" ht="13.5" customHeight="1">
      <c r="B214" s="90" t="s">
        <v>9</v>
      </c>
      <c r="M214" s="41"/>
      <c r="R214" s="270"/>
      <c r="T214" s="190" t="s">
        <v>486</v>
      </c>
    </row>
    <row r="215" spans="2:20" ht="13.5" customHeight="1">
      <c r="B215" s="86">
        <f>B212+1</f>
        <v>514</v>
      </c>
      <c r="C215" s="86" t="s">
        <v>229</v>
      </c>
      <c r="D215" s="87" t="s">
        <v>230</v>
      </c>
      <c r="E215" s="78"/>
      <c r="F215" s="98"/>
      <c r="G215" s="86" t="s">
        <v>212</v>
      </c>
      <c r="H215" s="86" t="str">
        <f>IF($G$39="ja","ja","nee")</f>
        <v>nee</v>
      </c>
      <c r="I215" s="103"/>
      <c r="J215" s="70"/>
      <c r="K215" s="72"/>
      <c r="L215" s="71"/>
      <c r="M215" s="121">
        <f>IF(H215="ja",ROUND(J215*L215,0),0)</f>
        <v>0</v>
      </c>
      <c r="Q215" s="104">
        <v>0</v>
      </c>
      <c r="R215" s="271">
        <v>47.5</v>
      </c>
      <c r="T215" s="65">
        <f>IF(M215&gt;0,J215,0)</f>
        <v>0</v>
      </c>
    </row>
    <row r="216" spans="2:18" ht="13.5" customHeight="1">
      <c r="B216" s="86">
        <f>B215+1</f>
        <v>515</v>
      </c>
      <c r="C216" s="109" t="s">
        <v>493</v>
      </c>
      <c r="D216" s="147" t="s">
        <v>53</v>
      </c>
      <c r="E216" s="78"/>
      <c r="F216" s="98"/>
      <c r="G216" s="86" t="s">
        <v>212</v>
      </c>
      <c r="H216" s="86" t="str">
        <f>IF($G$39="ja","ja","nee")</f>
        <v>nee</v>
      </c>
      <c r="I216" s="103"/>
      <c r="J216" s="70"/>
      <c r="K216" s="72"/>
      <c r="L216" s="71"/>
      <c r="M216" s="121">
        <f>IF(H216="ja",ROUND(J216*L216,0),0)</f>
        <v>0</v>
      </c>
      <c r="Q216" s="105">
        <v>0</v>
      </c>
      <c r="R216" s="199">
        <v>86.6</v>
      </c>
    </row>
    <row r="217" spans="2:20" ht="13.5" customHeight="1">
      <c r="B217" s="86">
        <f>B216+1</f>
        <v>516</v>
      </c>
      <c r="C217" s="86" t="s">
        <v>51</v>
      </c>
      <c r="D217" s="147" t="s">
        <v>54</v>
      </c>
      <c r="E217" s="78"/>
      <c r="F217" s="98"/>
      <c r="G217" s="86" t="s">
        <v>212</v>
      </c>
      <c r="H217" s="86" t="str">
        <f>IF($G$39="ja","ja","nee")</f>
        <v>nee</v>
      </c>
      <c r="I217" s="103"/>
      <c r="J217" s="70"/>
      <c r="K217" s="72"/>
      <c r="L217" s="71"/>
      <c r="M217" s="121">
        <f>IF(H217="ja",ROUND(J217*L217,0),0)</f>
        <v>0</v>
      </c>
      <c r="Q217" s="105">
        <v>0</v>
      </c>
      <c r="R217" s="199">
        <v>99.6</v>
      </c>
      <c r="T217" s="267"/>
    </row>
    <row r="218" spans="2:20" ht="13.5" customHeight="1">
      <c r="B218" s="86">
        <f>B217+1</f>
        <v>517</v>
      </c>
      <c r="C218" s="86" t="s">
        <v>52</v>
      </c>
      <c r="D218" s="147" t="s">
        <v>55</v>
      </c>
      <c r="E218" s="78"/>
      <c r="F218" s="98"/>
      <c r="G218" s="86" t="s">
        <v>212</v>
      </c>
      <c r="H218" s="86" t="str">
        <f>IF($G$39="ja","ja","nee")</f>
        <v>nee</v>
      </c>
      <c r="I218" s="103"/>
      <c r="J218" s="70"/>
      <c r="K218" s="72"/>
      <c r="L218" s="71"/>
      <c r="M218" s="121">
        <f>IF(H218="ja",ROUND(J218*L218,0),0)</f>
        <v>0</v>
      </c>
      <c r="Q218" s="106">
        <v>0</v>
      </c>
      <c r="R218" s="272">
        <v>101.8</v>
      </c>
      <c r="T218" s="267"/>
    </row>
    <row r="219" ht="13.5" customHeight="1">
      <c r="R219" s="270"/>
    </row>
    <row r="220" spans="2:18" ht="13.5" customHeight="1">
      <c r="B220" s="90" t="s">
        <v>10</v>
      </c>
      <c r="M220" s="41"/>
      <c r="R220" s="270"/>
    </row>
    <row r="221" spans="2:20" ht="13.5" customHeight="1">
      <c r="B221" s="86">
        <f>B218+1</f>
        <v>518</v>
      </c>
      <c r="C221" s="86" t="s">
        <v>56</v>
      </c>
      <c r="D221" s="87" t="s">
        <v>59</v>
      </c>
      <c r="E221" s="78"/>
      <c r="F221" s="98"/>
      <c r="G221" s="86" t="s">
        <v>212</v>
      </c>
      <c r="H221" s="86" t="str">
        <f aca="true" t="shared" si="14" ref="H221:H227">IF($G$40="ja","ja","nee")</f>
        <v>nee</v>
      </c>
      <c r="I221" s="103"/>
      <c r="J221" s="70"/>
      <c r="K221" s="72"/>
      <c r="L221" s="71"/>
      <c r="M221" s="121">
        <f aca="true" t="shared" si="15" ref="M221:M227">IF(H221="ja",ROUND(J221*L221,0),0)</f>
        <v>0</v>
      </c>
      <c r="Q221" s="104">
        <v>0</v>
      </c>
      <c r="R221" s="271">
        <v>89</v>
      </c>
      <c r="T221" s="113">
        <f aca="true" t="shared" si="16" ref="T221:T227">IF(M221&gt;0,J221,0)</f>
        <v>0</v>
      </c>
    </row>
    <row r="222" spans="2:20" ht="13.5" customHeight="1">
      <c r="B222" s="86">
        <f aca="true" t="shared" si="17" ref="B222:B227">B221+1</f>
        <v>519</v>
      </c>
      <c r="C222" s="86" t="s">
        <v>57</v>
      </c>
      <c r="D222" s="87" t="s">
        <v>60</v>
      </c>
      <c r="E222" s="78"/>
      <c r="F222" s="98"/>
      <c r="G222" s="86" t="s">
        <v>212</v>
      </c>
      <c r="H222" s="86" t="str">
        <f t="shared" si="14"/>
        <v>nee</v>
      </c>
      <c r="I222" s="103"/>
      <c r="J222" s="70"/>
      <c r="K222" s="72"/>
      <c r="L222" s="71"/>
      <c r="M222" s="121">
        <f t="shared" si="15"/>
        <v>0</v>
      </c>
      <c r="Q222" s="105">
        <v>0</v>
      </c>
      <c r="R222" s="199">
        <v>89</v>
      </c>
      <c r="T222" s="115">
        <f t="shared" si="16"/>
        <v>0</v>
      </c>
    </row>
    <row r="223" spans="2:20" ht="13.5" customHeight="1">
      <c r="B223" s="86">
        <f t="shared" si="17"/>
        <v>520</v>
      </c>
      <c r="C223" s="86" t="s">
        <v>58</v>
      </c>
      <c r="D223" s="87" t="s">
        <v>61</v>
      </c>
      <c r="E223" s="78"/>
      <c r="F223" s="98"/>
      <c r="G223" s="86" t="s">
        <v>212</v>
      </c>
      <c r="H223" s="86" t="str">
        <f t="shared" si="14"/>
        <v>nee</v>
      </c>
      <c r="I223" s="103"/>
      <c r="J223" s="70"/>
      <c r="K223" s="72"/>
      <c r="L223" s="71"/>
      <c r="M223" s="121">
        <f t="shared" si="15"/>
        <v>0</v>
      </c>
      <c r="Q223" s="105">
        <v>0</v>
      </c>
      <c r="R223" s="199">
        <v>47.5</v>
      </c>
      <c r="T223" s="115">
        <f t="shared" si="16"/>
        <v>0</v>
      </c>
    </row>
    <row r="224" spans="2:20" ht="13.5" customHeight="1">
      <c r="B224" s="86">
        <f t="shared" si="17"/>
        <v>521</v>
      </c>
      <c r="C224" s="86" t="s">
        <v>231</v>
      </c>
      <c r="D224" s="87" t="s">
        <v>235</v>
      </c>
      <c r="E224" s="78"/>
      <c r="F224" s="98"/>
      <c r="G224" s="86" t="s">
        <v>212</v>
      </c>
      <c r="H224" s="86" t="str">
        <f t="shared" si="14"/>
        <v>nee</v>
      </c>
      <c r="I224" s="103"/>
      <c r="J224" s="70"/>
      <c r="K224" s="72"/>
      <c r="L224" s="71"/>
      <c r="M224" s="121">
        <f t="shared" si="15"/>
        <v>0</v>
      </c>
      <c r="Q224" s="105">
        <v>0</v>
      </c>
      <c r="R224" s="199">
        <v>89</v>
      </c>
      <c r="T224" s="115">
        <f t="shared" si="16"/>
        <v>0</v>
      </c>
    </row>
    <row r="225" spans="2:20" ht="13.5" customHeight="1">
      <c r="B225" s="86">
        <f t="shared" si="17"/>
        <v>522</v>
      </c>
      <c r="C225" s="86" t="s">
        <v>232</v>
      </c>
      <c r="D225" s="87" t="s">
        <v>236</v>
      </c>
      <c r="E225" s="78"/>
      <c r="F225" s="98"/>
      <c r="G225" s="86" t="s">
        <v>212</v>
      </c>
      <c r="H225" s="86" t="str">
        <f t="shared" si="14"/>
        <v>nee</v>
      </c>
      <c r="I225" s="103"/>
      <c r="J225" s="70"/>
      <c r="K225" s="72"/>
      <c r="L225" s="71"/>
      <c r="M225" s="121">
        <f t="shared" si="15"/>
        <v>0</v>
      </c>
      <c r="Q225" s="105">
        <v>0</v>
      </c>
      <c r="R225" s="199">
        <v>89</v>
      </c>
      <c r="T225" s="115">
        <f t="shared" si="16"/>
        <v>0</v>
      </c>
    </row>
    <row r="226" spans="2:20" ht="13.5" customHeight="1">
      <c r="B226" s="86">
        <f t="shared" si="17"/>
        <v>523</v>
      </c>
      <c r="C226" s="86" t="s">
        <v>233</v>
      </c>
      <c r="D226" s="87" t="s">
        <v>237</v>
      </c>
      <c r="E226" s="78"/>
      <c r="F226" s="98"/>
      <c r="G226" s="86" t="s">
        <v>212</v>
      </c>
      <c r="H226" s="86" t="str">
        <f t="shared" si="14"/>
        <v>nee</v>
      </c>
      <c r="I226" s="103"/>
      <c r="J226" s="70"/>
      <c r="K226" s="72"/>
      <c r="L226" s="71"/>
      <c r="M226" s="121">
        <f t="shared" si="15"/>
        <v>0</v>
      </c>
      <c r="Q226" s="105">
        <v>0</v>
      </c>
      <c r="R226" s="199">
        <v>89</v>
      </c>
      <c r="T226" s="115">
        <f t="shared" si="16"/>
        <v>0</v>
      </c>
    </row>
    <row r="227" spans="2:20" ht="13.5" customHeight="1">
      <c r="B227" s="86">
        <f t="shared" si="17"/>
        <v>524</v>
      </c>
      <c r="C227" s="86" t="s">
        <v>234</v>
      </c>
      <c r="D227" s="87" t="s">
        <v>238</v>
      </c>
      <c r="E227" s="78"/>
      <c r="F227" s="98"/>
      <c r="G227" s="86" t="s">
        <v>212</v>
      </c>
      <c r="H227" s="86" t="str">
        <f t="shared" si="14"/>
        <v>nee</v>
      </c>
      <c r="I227" s="103"/>
      <c r="J227" s="70"/>
      <c r="K227" s="72"/>
      <c r="L227" s="71"/>
      <c r="M227" s="121">
        <f t="shared" si="15"/>
        <v>0</v>
      </c>
      <c r="Q227" s="106">
        <v>0</v>
      </c>
      <c r="R227" s="272">
        <v>89</v>
      </c>
      <c r="T227" s="117">
        <f t="shared" si="16"/>
        <v>0</v>
      </c>
    </row>
    <row r="228" ht="13.5" customHeight="1" thickBot="1">
      <c r="R228" s="270"/>
    </row>
    <row r="229" spans="2:18" ht="13.5" customHeight="1" thickBot="1">
      <c r="B229" s="83">
        <f>B227+1</f>
        <v>525</v>
      </c>
      <c r="C229" s="64" t="s">
        <v>11</v>
      </c>
      <c r="D229" s="78"/>
      <c r="E229" s="78"/>
      <c r="F229" s="78"/>
      <c r="G229" s="78"/>
      <c r="H229" s="78"/>
      <c r="I229" s="78"/>
      <c r="J229" s="78"/>
      <c r="K229" s="78"/>
      <c r="L229" s="78"/>
      <c r="M229" s="122">
        <f>SUM(M194:M195)+SUM(M198:M200)+SUM(M203:M206)+SUM(M209:M212)+SUM(M215:M218)+SUM(M221:M227)</f>
        <v>0</v>
      </c>
      <c r="R229" s="270"/>
    </row>
    <row r="230" ht="13.5" customHeight="1">
      <c r="R230" s="270"/>
    </row>
    <row r="231" spans="13:18" ht="13.5" customHeight="1">
      <c r="M231" s="41"/>
      <c r="R231" s="270"/>
    </row>
    <row r="232" spans="1:18" ht="18" customHeight="1">
      <c r="A232" s="74" t="s">
        <v>207</v>
      </c>
      <c r="B232" s="73"/>
      <c r="I232" s="184"/>
      <c r="J232" s="41"/>
      <c r="K232" s="184"/>
      <c r="R232" s="270"/>
    </row>
    <row r="233" spans="2:18" ht="18" customHeight="1">
      <c r="B233" s="75" t="str">
        <f>$B$2</f>
        <v>Budget 2006 AWBZ-instellingen sector V&amp;V</v>
      </c>
      <c r="C233" s="75"/>
      <c r="D233" s="75"/>
      <c r="E233" s="89"/>
      <c r="F233" s="123" t="str">
        <f>$F$2</f>
        <v>650 / </v>
      </c>
      <c r="G233" s="75"/>
      <c r="H233" s="76"/>
      <c r="I233" s="75"/>
      <c r="J233" s="76" t="str">
        <f>$J$2</f>
        <v>versie: 29-08-2006</v>
      </c>
      <c r="K233" s="76"/>
      <c r="L233" s="78"/>
      <c r="M233" s="79">
        <f>M189+1</f>
        <v>6</v>
      </c>
      <c r="R233" s="270"/>
    </row>
    <row r="234" ht="12.75">
      <c r="R234" s="270"/>
    </row>
    <row r="235" ht="13.5" customHeight="1">
      <c r="R235" s="270"/>
    </row>
    <row r="236" spans="7:20" ht="13.5" customHeight="1">
      <c r="G236" s="133"/>
      <c r="H236" s="91" t="s">
        <v>188</v>
      </c>
      <c r="I236" s="99" t="s">
        <v>189</v>
      </c>
      <c r="J236" s="91" t="s">
        <v>176</v>
      </c>
      <c r="K236" s="99" t="s">
        <v>190</v>
      </c>
      <c r="L236" s="91" t="s">
        <v>178</v>
      </c>
      <c r="M236" s="91" t="s">
        <v>180</v>
      </c>
      <c r="R236" s="270"/>
      <c r="T236" s="190" t="s">
        <v>485</v>
      </c>
    </row>
    <row r="237" spans="2:20" ht="13.5" customHeight="1">
      <c r="B237" s="90" t="s">
        <v>12</v>
      </c>
      <c r="G237" s="92" t="s">
        <v>155</v>
      </c>
      <c r="H237" s="92" t="s">
        <v>175</v>
      </c>
      <c r="I237" s="102" t="s">
        <v>182</v>
      </c>
      <c r="J237" s="92" t="s">
        <v>177</v>
      </c>
      <c r="K237" s="102" t="s">
        <v>179</v>
      </c>
      <c r="L237" s="92" t="s">
        <v>179</v>
      </c>
      <c r="M237" s="92" t="s">
        <v>181</v>
      </c>
      <c r="R237" s="270"/>
      <c r="T237" s="190" t="s">
        <v>486</v>
      </c>
    </row>
    <row r="238" spans="2:21" ht="13.5" customHeight="1">
      <c r="B238" s="86">
        <v>601</v>
      </c>
      <c r="C238" s="86" t="s">
        <v>239</v>
      </c>
      <c r="D238" s="87" t="s">
        <v>252</v>
      </c>
      <c r="E238" s="78"/>
      <c r="F238" s="98"/>
      <c r="G238" s="86" t="s">
        <v>255</v>
      </c>
      <c r="H238" s="86" t="str">
        <f>IF(OR($G$38="ja",$G$39="ja"),"ja","nee")</f>
        <v>nee</v>
      </c>
      <c r="I238" s="103"/>
      <c r="J238" s="70"/>
      <c r="K238" s="72"/>
      <c r="L238" s="71"/>
      <c r="M238" s="121">
        <f aca="true" t="shared" si="18" ref="M238:M248">IF(H238="ja",ROUND(J238*L238,0),0)</f>
        <v>0</v>
      </c>
      <c r="Q238" s="104">
        <v>0</v>
      </c>
      <c r="R238" s="271">
        <v>25.3</v>
      </c>
      <c r="T238" s="112">
        <f aca="true" t="shared" si="19" ref="T238:T244">IF(M238&gt;0,J238,0)</f>
        <v>0</v>
      </c>
      <c r="U238" s="111"/>
    </row>
    <row r="239" spans="2:21" ht="13.5" customHeight="1">
      <c r="B239" s="86">
        <f aca="true" t="shared" si="20" ref="B239:B244">B238+1</f>
        <v>602</v>
      </c>
      <c r="C239" s="86" t="s">
        <v>240</v>
      </c>
      <c r="D239" s="87" t="s">
        <v>253</v>
      </c>
      <c r="E239" s="78"/>
      <c r="F239" s="98"/>
      <c r="G239" s="86" t="s">
        <v>255</v>
      </c>
      <c r="H239" s="86" t="str">
        <f>IF(AND($G$40="ja",OR($G$38="ja",$G$39="ja")),"ja","nee")</f>
        <v>nee</v>
      </c>
      <c r="I239" s="103"/>
      <c r="J239" s="70"/>
      <c r="K239" s="72"/>
      <c r="L239" s="71"/>
      <c r="M239" s="121">
        <f t="shared" si="18"/>
        <v>0</v>
      </c>
      <c r="Q239" s="105">
        <v>0</v>
      </c>
      <c r="R239" s="199">
        <f>R238+24.2</f>
        <v>49.5</v>
      </c>
      <c r="T239" s="114">
        <f t="shared" si="19"/>
        <v>0</v>
      </c>
      <c r="U239" s="111"/>
    </row>
    <row r="240" spans="2:21" ht="13.5" customHeight="1">
      <c r="B240" s="86">
        <f t="shared" si="20"/>
        <v>603</v>
      </c>
      <c r="C240" s="86" t="s">
        <v>241</v>
      </c>
      <c r="D240" s="87" t="s">
        <v>254</v>
      </c>
      <c r="E240" s="78"/>
      <c r="F240" s="98"/>
      <c r="G240" s="86" t="s">
        <v>255</v>
      </c>
      <c r="H240" s="86" t="str">
        <f>IF(AND($G$40="ja",OR($G$38="ja",$G$39="ja")),"ja","nee")</f>
        <v>nee</v>
      </c>
      <c r="I240" s="103"/>
      <c r="J240" s="70"/>
      <c r="K240" s="72"/>
      <c r="L240" s="71"/>
      <c r="M240" s="121">
        <f t="shared" si="18"/>
        <v>0</v>
      </c>
      <c r="Q240" s="105">
        <v>0</v>
      </c>
      <c r="R240" s="199">
        <f>R238+24.2</f>
        <v>49.5</v>
      </c>
      <c r="T240" s="114">
        <f t="shared" si="19"/>
        <v>0</v>
      </c>
      <c r="U240" s="111"/>
    </row>
    <row r="241" spans="2:21" ht="13.5" customHeight="1">
      <c r="B241" s="86">
        <f t="shared" si="20"/>
        <v>604</v>
      </c>
      <c r="C241" s="86" t="s">
        <v>242</v>
      </c>
      <c r="D241" s="87" t="s">
        <v>248</v>
      </c>
      <c r="E241" s="78"/>
      <c r="F241" s="98"/>
      <c r="G241" s="86" t="s">
        <v>255</v>
      </c>
      <c r="H241" s="86" t="str">
        <f aca="true" t="shared" si="21" ref="H241:H248">IF(OR($G$38="ja",$G$39="ja"),"ja","nee")</f>
        <v>nee</v>
      </c>
      <c r="I241" s="103"/>
      <c r="J241" s="70"/>
      <c r="K241" s="72"/>
      <c r="L241" s="71"/>
      <c r="M241" s="121">
        <f t="shared" si="18"/>
        <v>0</v>
      </c>
      <c r="Q241" s="105">
        <v>0</v>
      </c>
      <c r="R241" s="199">
        <f>R238+26.4</f>
        <v>51.7</v>
      </c>
      <c r="T241" s="114">
        <f t="shared" si="19"/>
        <v>0</v>
      </c>
      <c r="U241" s="111"/>
    </row>
    <row r="242" spans="2:21" ht="13.5" customHeight="1">
      <c r="B242" s="86">
        <f>B241+1</f>
        <v>605</v>
      </c>
      <c r="C242" s="86" t="s">
        <v>243</v>
      </c>
      <c r="D242" s="87" t="s">
        <v>249</v>
      </c>
      <c r="E242" s="78"/>
      <c r="F242" s="98"/>
      <c r="G242" s="86" t="s">
        <v>255</v>
      </c>
      <c r="H242" s="86" t="str">
        <f t="shared" si="21"/>
        <v>nee</v>
      </c>
      <c r="I242" s="103"/>
      <c r="J242" s="70"/>
      <c r="K242" s="72"/>
      <c r="L242" s="71"/>
      <c r="M242" s="121">
        <f t="shared" si="18"/>
        <v>0</v>
      </c>
      <c r="Q242" s="105">
        <v>0</v>
      </c>
      <c r="R242" s="199">
        <f>R238+9.9</f>
        <v>35.2</v>
      </c>
      <c r="T242" s="114">
        <f t="shared" si="19"/>
        <v>0</v>
      </c>
      <c r="U242" s="111"/>
    </row>
    <row r="243" spans="2:21" ht="13.5" customHeight="1">
      <c r="B243" s="86">
        <f t="shared" si="20"/>
        <v>606</v>
      </c>
      <c r="C243" s="86" t="s">
        <v>244</v>
      </c>
      <c r="D243" s="87" t="s">
        <v>250</v>
      </c>
      <c r="E243" s="78"/>
      <c r="F243" s="98"/>
      <c r="G243" s="86" t="s">
        <v>255</v>
      </c>
      <c r="H243" s="86" t="str">
        <f t="shared" si="21"/>
        <v>nee</v>
      </c>
      <c r="I243" s="103"/>
      <c r="J243" s="70"/>
      <c r="K243" s="72"/>
      <c r="L243" s="71"/>
      <c r="M243" s="121">
        <f t="shared" si="18"/>
        <v>0</v>
      </c>
      <c r="Q243" s="105">
        <v>0</v>
      </c>
      <c r="R243" s="199">
        <f>R238+17.4</f>
        <v>42.7</v>
      </c>
      <c r="T243" s="114">
        <f t="shared" si="19"/>
        <v>0</v>
      </c>
      <c r="U243" s="111"/>
    </row>
    <row r="244" spans="2:21" ht="13.5" customHeight="1">
      <c r="B244" s="86">
        <f t="shared" si="20"/>
        <v>607</v>
      </c>
      <c r="C244" s="86" t="s">
        <v>245</v>
      </c>
      <c r="D244" s="87" t="s">
        <v>490</v>
      </c>
      <c r="E244" s="78"/>
      <c r="F244" s="98"/>
      <c r="G244" s="86" t="s">
        <v>255</v>
      </c>
      <c r="H244" s="86" t="str">
        <f t="shared" si="21"/>
        <v>nee</v>
      </c>
      <c r="I244" s="103"/>
      <c r="J244" s="70"/>
      <c r="K244" s="72"/>
      <c r="L244" s="71"/>
      <c r="M244" s="121">
        <f t="shared" si="18"/>
        <v>0</v>
      </c>
      <c r="Q244" s="105">
        <v>0</v>
      </c>
      <c r="R244" s="199">
        <f>R238+21.2</f>
        <v>46.5</v>
      </c>
      <c r="T244" s="114">
        <f t="shared" si="19"/>
        <v>0</v>
      </c>
      <c r="U244" s="111"/>
    </row>
    <row r="245" spans="2:21" ht="13.5" customHeight="1">
      <c r="B245" s="86">
        <f>B244+1</f>
        <v>608</v>
      </c>
      <c r="C245" s="86" t="s">
        <v>247</v>
      </c>
      <c r="D245" s="87" t="s">
        <v>104</v>
      </c>
      <c r="E245" s="78"/>
      <c r="F245" s="98"/>
      <c r="G245" s="86" t="s">
        <v>255</v>
      </c>
      <c r="H245" s="86" t="str">
        <f t="shared" si="21"/>
        <v>nee</v>
      </c>
      <c r="I245" s="103"/>
      <c r="J245" s="70"/>
      <c r="K245" s="72"/>
      <c r="L245" s="71"/>
      <c r="M245" s="121">
        <f t="shared" si="18"/>
        <v>0</v>
      </c>
      <c r="Q245" s="105">
        <v>0</v>
      </c>
      <c r="R245" s="199">
        <f>R238+32.7</f>
        <v>58</v>
      </c>
      <c r="T245" s="114">
        <f>IF(M245&gt;0,J245,0)</f>
        <v>0</v>
      </c>
      <c r="U245" s="111"/>
    </row>
    <row r="246" spans="2:21" ht="13.5" customHeight="1">
      <c r="B246" s="86">
        <f>B245+1</f>
        <v>609</v>
      </c>
      <c r="C246" s="86" t="s">
        <v>64</v>
      </c>
      <c r="D246" s="87" t="s">
        <v>62</v>
      </c>
      <c r="E246" s="78"/>
      <c r="F246" s="98"/>
      <c r="G246" s="86" t="s">
        <v>255</v>
      </c>
      <c r="H246" s="86" t="str">
        <f t="shared" si="21"/>
        <v>nee</v>
      </c>
      <c r="I246" s="103"/>
      <c r="J246" s="70"/>
      <c r="K246" s="72"/>
      <c r="L246" s="71"/>
      <c r="M246" s="121">
        <f>IF(H246="ja",ROUND(J246*L246,0),0)</f>
        <v>0</v>
      </c>
      <c r="Q246" s="105">
        <v>0</v>
      </c>
      <c r="R246" s="199">
        <v>65.4</v>
      </c>
      <c r="T246" s="114">
        <f>IF(M246&gt;0,J246,0)</f>
        <v>0</v>
      </c>
      <c r="U246" s="111"/>
    </row>
    <row r="247" spans="2:21" ht="13.5" customHeight="1">
      <c r="B247" s="86">
        <f>B246+1</f>
        <v>610</v>
      </c>
      <c r="C247" s="86" t="s">
        <v>65</v>
      </c>
      <c r="D247" s="87" t="s">
        <v>63</v>
      </c>
      <c r="E247" s="78"/>
      <c r="F247" s="98"/>
      <c r="G247" s="86" t="s">
        <v>255</v>
      </c>
      <c r="H247" s="86" t="str">
        <f t="shared" si="21"/>
        <v>nee</v>
      </c>
      <c r="I247" s="103"/>
      <c r="J247" s="70"/>
      <c r="K247" s="72"/>
      <c r="L247" s="71"/>
      <c r="M247" s="121">
        <f t="shared" si="18"/>
        <v>0</v>
      </c>
      <c r="Q247" s="105">
        <v>0</v>
      </c>
      <c r="R247" s="199">
        <v>65.4</v>
      </c>
      <c r="T247" s="114">
        <f>IF(M247&gt;0,J247,0)</f>
        <v>0</v>
      </c>
      <c r="U247" s="111"/>
    </row>
    <row r="248" spans="2:21" ht="13.5" customHeight="1" thickBot="1">
      <c r="B248" s="86">
        <f>B247+1</f>
        <v>611</v>
      </c>
      <c r="C248" s="86" t="s">
        <v>246</v>
      </c>
      <c r="D248" s="87" t="s">
        <v>251</v>
      </c>
      <c r="E248" s="78"/>
      <c r="F248" s="98"/>
      <c r="G248" s="86" t="s">
        <v>255</v>
      </c>
      <c r="H248" s="86" t="str">
        <f t="shared" si="21"/>
        <v>nee</v>
      </c>
      <c r="I248" s="103"/>
      <c r="J248" s="70"/>
      <c r="K248" s="72"/>
      <c r="L248" s="71"/>
      <c r="M248" s="121">
        <f t="shared" si="18"/>
        <v>0</v>
      </c>
      <c r="Q248" s="106">
        <v>0</v>
      </c>
      <c r="R248" s="272">
        <f>R238+17.1</f>
        <v>42.400000000000006</v>
      </c>
      <c r="T248" s="116">
        <f>IF(M248&gt;0,J248,0)</f>
        <v>0</v>
      </c>
      <c r="U248" s="111"/>
    </row>
    <row r="249" spans="2:18" ht="13.5" customHeight="1" thickBot="1">
      <c r="B249" s="83">
        <f>B248+1</f>
        <v>612</v>
      </c>
      <c r="C249" s="64" t="s">
        <v>377</v>
      </c>
      <c r="D249" s="78"/>
      <c r="E249" s="78"/>
      <c r="F249" s="78"/>
      <c r="G249" s="78"/>
      <c r="H249" s="78"/>
      <c r="I249" s="78"/>
      <c r="J249" s="78"/>
      <c r="K249" s="78"/>
      <c r="L249" s="78"/>
      <c r="M249" s="122">
        <f>SUM(M238:M248)</f>
        <v>0</v>
      </c>
      <c r="R249" s="270"/>
    </row>
    <row r="250" ht="13.5" customHeight="1">
      <c r="R250" s="270"/>
    </row>
    <row r="251" spans="2:18" ht="13.5" customHeight="1">
      <c r="B251" s="90" t="s">
        <v>13</v>
      </c>
      <c r="M251" s="41"/>
      <c r="R251" s="270"/>
    </row>
    <row r="252" spans="13:18" ht="13.5" customHeight="1">
      <c r="M252" s="41"/>
      <c r="R252" s="270"/>
    </row>
    <row r="253" spans="2:18" ht="13.5" customHeight="1">
      <c r="B253" s="148" t="s">
        <v>14</v>
      </c>
      <c r="M253" s="41"/>
      <c r="R253" s="270"/>
    </row>
    <row r="254" spans="2:18" ht="13.5" customHeight="1">
      <c r="B254" s="86">
        <f>B249+1</f>
        <v>613</v>
      </c>
      <c r="C254" s="86" t="s">
        <v>256</v>
      </c>
      <c r="D254" s="87" t="s">
        <v>264</v>
      </c>
      <c r="E254" s="78"/>
      <c r="F254" s="98"/>
      <c r="G254" s="86" t="s">
        <v>257</v>
      </c>
      <c r="H254" s="86" t="str">
        <f>IF($G$42="ja","ja","nee")</f>
        <v>nee</v>
      </c>
      <c r="I254" s="103"/>
      <c r="J254" s="70"/>
      <c r="K254" s="72"/>
      <c r="L254" s="71"/>
      <c r="M254" s="121">
        <f>IF(H254="ja",ROUND(J254*L254,0),0)</f>
        <v>0</v>
      </c>
      <c r="Q254" s="104">
        <v>0</v>
      </c>
      <c r="R254" s="271">
        <v>23.2</v>
      </c>
    </row>
    <row r="255" spans="2:18" ht="13.5" customHeight="1">
      <c r="B255" s="86">
        <f>B254+1</f>
        <v>614</v>
      </c>
      <c r="C255" s="86" t="s">
        <v>260</v>
      </c>
      <c r="D255" s="87" t="s">
        <v>265</v>
      </c>
      <c r="E255" s="78"/>
      <c r="F255" s="98"/>
      <c r="G255" s="86" t="s">
        <v>258</v>
      </c>
      <c r="H255" s="86" t="str">
        <f>IF($G$42="ja","ja","nee")</f>
        <v>nee</v>
      </c>
      <c r="I255" s="103"/>
      <c r="J255" s="70"/>
      <c r="K255" s="72"/>
      <c r="L255" s="71"/>
      <c r="M255" s="121">
        <f>IF(H255="ja",ROUND(J255*L255,0),0)</f>
        <v>0</v>
      </c>
      <c r="Q255" s="105">
        <v>0</v>
      </c>
      <c r="R255" s="199">
        <v>26.5</v>
      </c>
    </row>
    <row r="256" spans="2:18" ht="13.5" customHeight="1">
      <c r="B256" s="86">
        <f>B255+1</f>
        <v>615</v>
      </c>
      <c r="C256" s="86" t="s">
        <v>261</v>
      </c>
      <c r="D256" s="87" t="s">
        <v>266</v>
      </c>
      <c r="E256" s="78"/>
      <c r="F256" s="98"/>
      <c r="G256" s="86" t="s">
        <v>258</v>
      </c>
      <c r="H256" s="86" t="str">
        <f>IF($G$42="ja","ja","nee")</f>
        <v>nee</v>
      </c>
      <c r="I256" s="103"/>
      <c r="J256" s="70"/>
      <c r="K256" s="72"/>
      <c r="L256" s="71"/>
      <c r="M256" s="121">
        <f>IF(H256="ja",ROUND(J256*L256,0),0)</f>
        <v>0</v>
      </c>
      <c r="Q256" s="105">
        <v>0</v>
      </c>
      <c r="R256" s="199">
        <v>46.4</v>
      </c>
    </row>
    <row r="257" spans="2:18" ht="13.5" customHeight="1">
      <c r="B257" s="86">
        <f>B256+1</f>
        <v>616</v>
      </c>
      <c r="C257" s="86" t="s">
        <v>262</v>
      </c>
      <c r="D257" s="87" t="s">
        <v>267</v>
      </c>
      <c r="E257" s="78"/>
      <c r="F257" s="98"/>
      <c r="G257" s="86" t="s">
        <v>258</v>
      </c>
      <c r="H257" s="86" t="str">
        <f>IF($G$42="ja","ja","nee")</f>
        <v>nee</v>
      </c>
      <c r="I257" s="103"/>
      <c r="J257" s="70"/>
      <c r="K257" s="72"/>
      <c r="L257" s="71"/>
      <c r="M257" s="121">
        <f>IF(H257="ja",ROUND(J257*L257,0),0)</f>
        <v>0</v>
      </c>
      <c r="Q257" s="105">
        <v>0</v>
      </c>
      <c r="R257" s="199">
        <v>79.5</v>
      </c>
    </row>
    <row r="258" spans="2:18" ht="13.5" customHeight="1">
      <c r="B258" s="86">
        <f>B257+1</f>
        <v>617</v>
      </c>
      <c r="C258" s="86" t="s">
        <v>263</v>
      </c>
      <c r="D258" s="87" t="s">
        <v>268</v>
      </c>
      <c r="E258" s="78"/>
      <c r="F258" s="98"/>
      <c r="G258" s="86" t="s">
        <v>259</v>
      </c>
      <c r="H258" s="86" t="str">
        <f>IF($G$42="ja","ja","nee")</f>
        <v>nee</v>
      </c>
      <c r="I258" s="103"/>
      <c r="J258" s="70"/>
      <c r="K258" s="72"/>
      <c r="L258" s="71"/>
      <c r="M258" s="121">
        <f>IF(H258="ja",ROUND(J258*L258,0),0)</f>
        <v>0</v>
      </c>
      <c r="Q258" s="106">
        <v>0</v>
      </c>
      <c r="R258" s="272">
        <v>20.3</v>
      </c>
    </row>
    <row r="259" spans="13:18" ht="13.5" customHeight="1">
      <c r="M259" s="41"/>
      <c r="R259" s="270"/>
    </row>
    <row r="260" spans="2:18" ht="13.5" customHeight="1">
      <c r="B260" s="148" t="s">
        <v>15</v>
      </c>
      <c r="M260" s="41"/>
      <c r="R260" s="270"/>
    </row>
    <row r="261" spans="2:18" ht="13.5" customHeight="1">
      <c r="B261" s="86">
        <f>B258+1</f>
        <v>618</v>
      </c>
      <c r="C261" s="86" t="s">
        <v>269</v>
      </c>
      <c r="D261" s="87" t="s">
        <v>200</v>
      </c>
      <c r="E261" s="78"/>
      <c r="F261" s="98"/>
      <c r="G261" s="86" t="s">
        <v>270</v>
      </c>
      <c r="H261" s="86" t="str">
        <f>IF($G$43="ja","ja","nee")</f>
        <v>nee</v>
      </c>
      <c r="I261" s="103"/>
      <c r="J261" s="70"/>
      <c r="K261" s="72"/>
      <c r="L261" s="71"/>
      <c r="M261" s="121">
        <f>IF(H261="ja",ROUND(J261*L261,0),0)</f>
        <v>0</v>
      </c>
      <c r="Q261" s="97">
        <v>0</v>
      </c>
      <c r="R261" s="274">
        <v>62.1</v>
      </c>
    </row>
    <row r="262" spans="13:18" ht="13.5" customHeight="1">
      <c r="M262" s="41"/>
      <c r="R262" s="270"/>
    </row>
    <row r="263" spans="2:18" ht="13.5" customHeight="1">
      <c r="B263" s="148" t="s">
        <v>16</v>
      </c>
      <c r="M263" s="41"/>
      <c r="R263" s="270"/>
    </row>
    <row r="264" spans="2:18" ht="13.5" customHeight="1">
      <c r="B264" s="86">
        <f>B261+1</f>
        <v>619</v>
      </c>
      <c r="C264" s="86" t="s">
        <v>271</v>
      </c>
      <c r="D264" s="87" t="s">
        <v>273</v>
      </c>
      <c r="E264" s="78"/>
      <c r="F264" s="98"/>
      <c r="G264" s="86" t="s">
        <v>270</v>
      </c>
      <c r="H264" s="86" t="s">
        <v>183</v>
      </c>
      <c r="I264" s="103"/>
      <c r="J264" s="70"/>
      <c r="K264" s="72"/>
      <c r="L264" s="71"/>
      <c r="M264" s="121">
        <f>IF(H264="ja",ROUND(J264*L264,0),0)</f>
        <v>0</v>
      </c>
      <c r="Q264" s="104">
        <v>0</v>
      </c>
      <c r="R264" s="271">
        <v>62.1</v>
      </c>
    </row>
    <row r="265" spans="2:18" ht="13.5" customHeight="1">
      <c r="B265" s="86">
        <f>B264+1</f>
        <v>620</v>
      </c>
      <c r="C265" s="86" t="s">
        <v>272</v>
      </c>
      <c r="D265" s="87" t="s">
        <v>274</v>
      </c>
      <c r="E265" s="78"/>
      <c r="F265" s="98"/>
      <c r="G265" s="86" t="s">
        <v>270</v>
      </c>
      <c r="H265" s="86" t="s">
        <v>183</v>
      </c>
      <c r="I265" s="103"/>
      <c r="J265" s="70"/>
      <c r="K265" s="72"/>
      <c r="L265" s="71"/>
      <c r="M265" s="121">
        <f>IF(H265="ja",ROUND(J265*L265,0),0)</f>
        <v>0</v>
      </c>
      <c r="Q265" s="106">
        <v>0</v>
      </c>
      <c r="R265" s="272">
        <v>65.3</v>
      </c>
    </row>
    <row r="266" spans="13:18" ht="13.5" customHeight="1" thickBot="1">
      <c r="M266" s="41"/>
      <c r="R266" s="270"/>
    </row>
    <row r="267" spans="2:18" ht="13.5" customHeight="1" thickBot="1">
      <c r="B267" s="83">
        <f>B265+1</f>
        <v>621</v>
      </c>
      <c r="C267" s="64" t="s">
        <v>378</v>
      </c>
      <c r="D267" s="78"/>
      <c r="E267" s="78"/>
      <c r="F267" s="78"/>
      <c r="G267" s="78"/>
      <c r="H267" s="78"/>
      <c r="I267" s="78"/>
      <c r="J267" s="78"/>
      <c r="K267" s="78"/>
      <c r="L267" s="78"/>
      <c r="M267" s="122">
        <f>SUM(M254:M258)+M261+SUM(M264:M265)</f>
        <v>0</v>
      </c>
      <c r="R267" s="270"/>
    </row>
    <row r="268" spans="13:18" ht="13.5" customHeight="1">
      <c r="M268" s="41"/>
      <c r="R268" s="270"/>
    </row>
    <row r="269" spans="1:18" ht="18" customHeight="1">
      <c r="A269" s="74" t="s">
        <v>207</v>
      </c>
      <c r="B269" s="73"/>
      <c r="I269" s="184"/>
      <c r="J269" s="41"/>
      <c r="K269" s="184"/>
      <c r="R269" s="270"/>
    </row>
    <row r="270" spans="2:18" ht="18" customHeight="1">
      <c r="B270" s="75" t="str">
        <f>$B$2</f>
        <v>Budget 2006 AWBZ-instellingen sector V&amp;V</v>
      </c>
      <c r="C270" s="75"/>
      <c r="D270" s="75"/>
      <c r="E270" s="89"/>
      <c r="F270" s="123" t="str">
        <f>$F$2</f>
        <v>650 / </v>
      </c>
      <c r="G270" s="75"/>
      <c r="H270" s="76"/>
      <c r="I270" s="75"/>
      <c r="J270" s="76" t="str">
        <f>$J$2</f>
        <v>versie: 29-08-2006</v>
      </c>
      <c r="K270" s="76"/>
      <c r="L270" s="78"/>
      <c r="M270" s="79">
        <f>M233+1</f>
        <v>7</v>
      </c>
      <c r="R270" s="270"/>
    </row>
    <row r="271" ht="12.75">
      <c r="R271" s="270"/>
    </row>
    <row r="272" spans="2:18" ht="13.5" customHeight="1">
      <c r="B272" s="90" t="s">
        <v>17</v>
      </c>
      <c r="M272" s="41"/>
      <c r="R272" s="270"/>
    </row>
    <row r="273" spans="7:18" ht="13.5" customHeight="1">
      <c r="G273" s="133"/>
      <c r="H273" s="91" t="s">
        <v>188</v>
      </c>
      <c r="I273" s="99" t="s">
        <v>189</v>
      </c>
      <c r="J273" s="91" t="s">
        <v>176</v>
      </c>
      <c r="K273" s="99" t="s">
        <v>190</v>
      </c>
      <c r="L273" s="91" t="s">
        <v>178</v>
      </c>
      <c r="M273" s="91" t="s">
        <v>180</v>
      </c>
      <c r="R273" s="270"/>
    </row>
    <row r="274" spans="2:18" ht="13.5" customHeight="1">
      <c r="B274" s="148" t="s">
        <v>18</v>
      </c>
      <c r="G274" s="92" t="s">
        <v>155</v>
      </c>
      <c r="H274" s="92" t="s">
        <v>175</v>
      </c>
      <c r="I274" s="102" t="s">
        <v>182</v>
      </c>
      <c r="J274" s="92" t="s">
        <v>177</v>
      </c>
      <c r="K274" s="102" t="s">
        <v>179</v>
      </c>
      <c r="L274" s="92" t="s">
        <v>179</v>
      </c>
      <c r="M274" s="92" t="s">
        <v>181</v>
      </c>
      <c r="R274" s="270"/>
    </row>
    <row r="275" spans="2:18" ht="13.5" customHeight="1">
      <c r="B275" s="86">
        <v>701</v>
      </c>
      <c r="C275" s="86" t="s">
        <v>415</v>
      </c>
      <c r="D275" s="87" t="s">
        <v>275</v>
      </c>
      <c r="E275" s="78"/>
      <c r="F275" s="98"/>
      <c r="G275" s="86" t="s">
        <v>286</v>
      </c>
      <c r="H275" s="86" t="str">
        <f aca="true" t="shared" si="22" ref="H275:H285">IF($G$40="ja","ja","nee")</f>
        <v>nee</v>
      </c>
      <c r="I275" s="103"/>
      <c r="J275" s="70"/>
      <c r="K275" s="72"/>
      <c r="L275" s="71"/>
      <c r="M275" s="121">
        <f aca="true" t="shared" si="23" ref="M275:M285">IF(H275="ja",ROUND(J275*L275,0),0)</f>
        <v>0</v>
      </c>
      <c r="Q275" s="104">
        <v>0</v>
      </c>
      <c r="R275" s="271">
        <v>22</v>
      </c>
    </row>
    <row r="276" spans="2:18" ht="13.5" customHeight="1">
      <c r="B276" s="86">
        <f aca="true" t="shared" si="24" ref="B276:B286">B275+1</f>
        <v>702</v>
      </c>
      <c r="C276" s="86" t="s">
        <v>416</v>
      </c>
      <c r="D276" s="87" t="s">
        <v>276</v>
      </c>
      <c r="E276" s="78"/>
      <c r="F276" s="98"/>
      <c r="G276" s="86" t="s">
        <v>286</v>
      </c>
      <c r="H276" s="86" t="str">
        <f t="shared" si="22"/>
        <v>nee</v>
      </c>
      <c r="I276" s="103"/>
      <c r="J276" s="70"/>
      <c r="K276" s="72"/>
      <c r="L276" s="71"/>
      <c r="M276" s="121">
        <f t="shared" si="23"/>
        <v>0</v>
      </c>
      <c r="Q276" s="105">
        <v>0</v>
      </c>
      <c r="R276" s="199">
        <v>211</v>
      </c>
    </row>
    <row r="277" spans="2:18" ht="13.5" customHeight="1">
      <c r="B277" s="86">
        <f t="shared" si="24"/>
        <v>703</v>
      </c>
      <c r="C277" s="86" t="s">
        <v>417</v>
      </c>
      <c r="D277" s="87" t="s">
        <v>277</v>
      </c>
      <c r="E277" s="78"/>
      <c r="F277" s="98"/>
      <c r="G277" s="86" t="s">
        <v>286</v>
      </c>
      <c r="H277" s="86" t="str">
        <f t="shared" si="22"/>
        <v>nee</v>
      </c>
      <c r="I277" s="103"/>
      <c r="J277" s="70"/>
      <c r="K277" s="72"/>
      <c r="L277" s="71"/>
      <c r="M277" s="121">
        <f t="shared" si="23"/>
        <v>0</v>
      </c>
      <c r="Q277" s="105">
        <v>0</v>
      </c>
      <c r="R277" s="199">
        <v>438</v>
      </c>
    </row>
    <row r="278" spans="2:18" ht="13.5" customHeight="1">
      <c r="B278" s="86">
        <f t="shared" si="24"/>
        <v>704</v>
      </c>
      <c r="C278" s="86" t="s">
        <v>418</v>
      </c>
      <c r="D278" s="87" t="s">
        <v>278</v>
      </c>
      <c r="E278" s="78"/>
      <c r="F278" s="98"/>
      <c r="G278" s="86" t="s">
        <v>286</v>
      </c>
      <c r="H278" s="86" t="str">
        <f t="shared" si="22"/>
        <v>nee</v>
      </c>
      <c r="I278" s="103"/>
      <c r="J278" s="70"/>
      <c r="K278" s="72"/>
      <c r="L278" s="71"/>
      <c r="M278" s="121">
        <f t="shared" si="23"/>
        <v>0</v>
      </c>
      <c r="Q278" s="105">
        <v>0</v>
      </c>
      <c r="R278" s="199">
        <v>107</v>
      </c>
    </row>
    <row r="279" spans="2:18" ht="13.5" customHeight="1">
      <c r="B279" s="86">
        <f t="shared" si="24"/>
        <v>705</v>
      </c>
      <c r="C279" s="86" t="s">
        <v>419</v>
      </c>
      <c r="D279" s="87" t="s">
        <v>279</v>
      </c>
      <c r="E279" s="78"/>
      <c r="F279" s="98"/>
      <c r="G279" s="86" t="s">
        <v>287</v>
      </c>
      <c r="H279" s="86" t="str">
        <f t="shared" si="22"/>
        <v>nee</v>
      </c>
      <c r="I279" s="103"/>
      <c r="J279" s="70"/>
      <c r="K279" s="72"/>
      <c r="L279" s="71"/>
      <c r="M279" s="121">
        <f t="shared" si="23"/>
        <v>0</v>
      </c>
      <c r="Q279" s="105">
        <v>0</v>
      </c>
      <c r="R279" s="199">
        <v>72</v>
      </c>
    </row>
    <row r="280" spans="2:18" ht="13.5" customHeight="1">
      <c r="B280" s="86">
        <f t="shared" si="24"/>
        <v>706</v>
      </c>
      <c r="C280" s="86" t="s">
        <v>420</v>
      </c>
      <c r="D280" s="87" t="s">
        <v>280</v>
      </c>
      <c r="E280" s="78"/>
      <c r="F280" s="98"/>
      <c r="G280" s="86" t="s">
        <v>286</v>
      </c>
      <c r="H280" s="86" t="str">
        <f t="shared" si="22"/>
        <v>nee</v>
      </c>
      <c r="I280" s="103"/>
      <c r="J280" s="70"/>
      <c r="K280" s="72"/>
      <c r="L280" s="71"/>
      <c r="M280" s="121">
        <f t="shared" si="23"/>
        <v>0</v>
      </c>
      <c r="Q280" s="105">
        <v>0</v>
      </c>
      <c r="R280" s="199">
        <v>90</v>
      </c>
    </row>
    <row r="281" spans="2:18" ht="13.5" customHeight="1">
      <c r="B281" s="86">
        <f t="shared" si="24"/>
        <v>707</v>
      </c>
      <c r="C281" s="143" t="s">
        <v>425</v>
      </c>
      <c r="D281" s="87" t="s">
        <v>281</v>
      </c>
      <c r="E281" s="78"/>
      <c r="F281" s="98"/>
      <c r="G281" s="86" t="s">
        <v>286</v>
      </c>
      <c r="H281" s="86" t="str">
        <f t="shared" si="22"/>
        <v>nee</v>
      </c>
      <c r="I281" s="103"/>
      <c r="J281" s="70"/>
      <c r="K281" s="72"/>
      <c r="L281" s="71"/>
      <c r="M281" s="121">
        <f t="shared" si="23"/>
        <v>0</v>
      </c>
      <c r="Q281" s="105">
        <v>0</v>
      </c>
      <c r="R281" s="199">
        <v>50</v>
      </c>
    </row>
    <row r="282" spans="2:18" ht="13.5" customHeight="1">
      <c r="B282" s="86">
        <f t="shared" si="24"/>
        <v>708</v>
      </c>
      <c r="C282" s="86" t="s">
        <v>421</v>
      </c>
      <c r="D282" s="87" t="s">
        <v>282</v>
      </c>
      <c r="E282" s="78"/>
      <c r="F282" s="98"/>
      <c r="G282" s="86" t="s">
        <v>287</v>
      </c>
      <c r="H282" s="86" t="str">
        <f t="shared" si="22"/>
        <v>nee</v>
      </c>
      <c r="I282" s="103"/>
      <c r="J282" s="70"/>
      <c r="K282" s="72"/>
      <c r="L282" s="71"/>
      <c r="M282" s="121">
        <f t="shared" si="23"/>
        <v>0</v>
      </c>
      <c r="Q282" s="105">
        <v>0</v>
      </c>
      <c r="R282" s="199">
        <v>62</v>
      </c>
    </row>
    <row r="283" spans="2:18" ht="13.5" customHeight="1">
      <c r="B283" s="86">
        <f t="shared" si="24"/>
        <v>709</v>
      </c>
      <c r="C283" s="86" t="s">
        <v>422</v>
      </c>
      <c r="D283" s="87" t="s">
        <v>283</v>
      </c>
      <c r="E283" s="78"/>
      <c r="F283" s="98"/>
      <c r="G283" s="86" t="s">
        <v>286</v>
      </c>
      <c r="H283" s="86" t="str">
        <f t="shared" si="22"/>
        <v>nee</v>
      </c>
      <c r="I283" s="103"/>
      <c r="J283" s="70"/>
      <c r="K283" s="72"/>
      <c r="L283" s="71"/>
      <c r="M283" s="121">
        <f t="shared" si="23"/>
        <v>0</v>
      </c>
      <c r="Q283" s="105">
        <v>0</v>
      </c>
      <c r="R283" s="199">
        <v>218</v>
      </c>
    </row>
    <row r="284" spans="2:18" ht="13.5" customHeight="1">
      <c r="B284" s="86">
        <f t="shared" si="24"/>
        <v>710</v>
      </c>
      <c r="C284" s="86" t="s">
        <v>423</v>
      </c>
      <c r="D284" s="87" t="s">
        <v>284</v>
      </c>
      <c r="E284" s="78"/>
      <c r="F284" s="98"/>
      <c r="G284" s="86" t="s">
        <v>286</v>
      </c>
      <c r="H284" s="86" t="str">
        <f t="shared" si="22"/>
        <v>nee</v>
      </c>
      <c r="I284" s="103"/>
      <c r="J284" s="70"/>
      <c r="K284" s="72"/>
      <c r="L284" s="71"/>
      <c r="M284" s="121">
        <f t="shared" si="23"/>
        <v>0</v>
      </c>
      <c r="Q284" s="105">
        <v>0</v>
      </c>
      <c r="R284" s="199">
        <v>817</v>
      </c>
    </row>
    <row r="285" spans="2:18" ht="13.5" customHeight="1" thickBot="1">
      <c r="B285" s="86">
        <f t="shared" si="24"/>
        <v>711</v>
      </c>
      <c r="C285" s="86" t="s">
        <v>424</v>
      </c>
      <c r="D285" s="87" t="s">
        <v>285</v>
      </c>
      <c r="E285" s="78"/>
      <c r="F285" s="98"/>
      <c r="G285" s="86" t="s">
        <v>286</v>
      </c>
      <c r="H285" s="86" t="str">
        <f t="shared" si="22"/>
        <v>nee</v>
      </c>
      <c r="I285" s="103"/>
      <c r="J285" s="70"/>
      <c r="K285" s="72"/>
      <c r="L285" s="71"/>
      <c r="M285" s="121">
        <f t="shared" si="23"/>
        <v>0</v>
      </c>
      <c r="Q285" s="106">
        <v>0</v>
      </c>
      <c r="R285" s="272">
        <v>34</v>
      </c>
    </row>
    <row r="286" spans="2:18" ht="13.5" customHeight="1" thickBot="1">
      <c r="B286" s="83">
        <f t="shared" si="24"/>
        <v>712</v>
      </c>
      <c r="C286" s="64" t="s">
        <v>426</v>
      </c>
      <c r="D286" s="78"/>
      <c r="E286" s="78"/>
      <c r="F286" s="78"/>
      <c r="G286" s="78"/>
      <c r="H286" s="78"/>
      <c r="I286" s="78"/>
      <c r="J286" s="78"/>
      <c r="K286" s="78"/>
      <c r="L286" s="78"/>
      <c r="M286" s="122">
        <f>SUM(M275:M285)</f>
        <v>0</v>
      </c>
      <c r="R286" s="270"/>
    </row>
    <row r="287" ht="13.5" customHeight="1">
      <c r="R287" s="270"/>
    </row>
    <row r="288" spans="2:18" ht="13.5" customHeight="1">
      <c r="B288" s="148" t="s">
        <v>19</v>
      </c>
      <c r="M288" s="41"/>
      <c r="R288" s="270"/>
    </row>
    <row r="289" spans="2:18" ht="13.5" customHeight="1">
      <c r="B289" s="86">
        <f>B286+1</f>
        <v>713</v>
      </c>
      <c r="C289" s="86" t="s">
        <v>427</v>
      </c>
      <c r="D289" s="87" t="s">
        <v>275</v>
      </c>
      <c r="E289" s="78"/>
      <c r="F289" s="98"/>
      <c r="G289" s="86" t="s">
        <v>286</v>
      </c>
      <c r="H289" s="86" t="str">
        <f aca="true" t="shared" si="25" ref="H289:H299">IF($G$40="ja","ja","nee")</f>
        <v>nee</v>
      </c>
      <c r="I289" s="103"/>
      <c r="J289" s="70"/>
      <c r="K289" s="72"/>
      <c r="L289" s="71"/>
      <c r="M289" s="121">
        <f aca="true" t="shared" si="26" ref="M289:M299">IF(H289="ja",ROUND(J289*L289,0),0)</f>
        <v>0</v>
      </c>
      <c r="Q289" s="104">
        <v>0</v>
      </c>
      <c r="R289" s="271">
        <v>22</v>
      </c>
    </row>
    <row r="290" spans="2:18" ht="13.5" customHeight="1">
      <c r="B290" s="86">
        <f aca="true" t="shared" si="27" ref="B290:B300">B289+1</f>
        <v>714</v>
      </c>
      <c r="C290" s="86" t="s">
        <v>428</v>
      </c>
      <c r="D290" s="87" t="s">
        <v>276</v>
      </c>
      <c r="E290" s="78"/>
      <c r="F290" s="98"/>
      <c r="G290" s="86" t="s">
        <v>286</v>
      </c>
      <c r="H290" s="86" t="str">
        <f t="shared" si="25"/>
        <v>nee</v>
      </c>
      <c r="I290" s="103"/>
      <c r="J290" s="70"/>
      <c r="K290" s="72"/>
      <c r="L290" s="71"/>
      <c r="M290" s="121">
        <f t="shared" si="26"/>
        <v>0</v>
      </c>
      <c r="Q290" s="105">
        <v>0</v>
      </c>
      <c r="R290" s="199">
        <f aca="true" t="shared" si="28" ref="R290:R299">$R276</f>
        <v>211</v>
      </c>
    </row>
    <row r="291" spans="2:18" ht="13.5" customHeight="1">
      <c r="B291" s="86">
        <f t="shared" si="27"/>
        <v>715</v>
      </c>
      <c r="C291" s="86" t="s">
        <v>429</v>
      </c>
      <c r="D291" s="87" t="s">
        <v>277</v>
      </c>
      <c r="E291" s="78"/>
      <c r="F291" s="98"/>
      <c r="G291" s="86" t="s">
        <v>286</v>
      </c>
      <c r="H291" s="86" t="str">
        <f t="shared" si="25"/>
        <v>nee</v>
      </c>
      <c r="I291" s="103"/>
      <c r="J291" s="70"/>
      <c r="K291" s="72"/>
      <c r="L291" s="71"/>
      <c r="M291" s="121">
        <f t="shared" si="26"/>
        <v>0</v>
      </c>
      <c r="Q291" s="105">
        <v>0</v>
      </c>
      <c r="R291" s="199">
        <f t="shared" si="28"/>
        <v>438</v>
      </c>
    </row>
    <row r="292" spans="2:18" ht="13.5" customHeight="1">
      <c r="B292" s="86">
        <f t="shared" si="27"/>
        <v>716</v>
      </c>
      <c r="C292" s="86" t="s">
        <v>430</v>
      </c>
      <c r="D292" s="87" t="s">
        <v>278</v>
      </c>
      <c r="E292" s="78"/>
      <c r="F292" s="98"/>
      <c r="G292" s="86" t="s">
        <v>286</v>
      </c>
      <c r="H292" s="86" t="str">
        <f t="shared" si="25"/>
        <v>nee</v>
      </c>
      <c r="I292" s="103"/>
      <c r="J292" s="70"/>
      <c r="K292" s="72"/>
      <c r="L292" s="71"/>
      <c r="M292" s="121">
        <f t="shared" si="26"/>
        <v>0</v>
      </c>
      <c r="Q292" s="105">
        <v>0</v>
      </c>
      <c r="R292" s="199">
        <f t="shared" si="28"/>
        <v>107</v>
      </c>
    </row>
    <row r="293" spans="2:18" ht="13.5" customHeight="1">
      <c r="B293" s="86">
        <f t="shared" si="27"/>
        <v>717</v>
      </c>
      <c r="C293" s="86" t="s">
        <v>431</v>
      </c>
      <c r="D293" s="87" t="s">
        <v>279</v>
      </c>
      <c r="E293" s="78"/>
      <c r="F293" s="98"/>
      <c r="G293" s="86" t="s">
        <v>287</v>
      </c>
      <c r="H293" s="86" t="str">
        <f t="shared" si="25"/>
        <v>nee</v>
      </c>
      <c r="I293" s="103"/>
      <c r="J293" s="70"/>
      <c r="K293" s="72"/>
      <c r="L293" s="71"/>
      <c r="M293" s="121">
        <f t="shared" si="26"/>
        <v>0</v>
      </c>
      <c r="Q293" s="105">
        <v>0</v>
      </c>
      <c r="R293" s="199">
        <f t="shared" si="28"/>
        <v>72</v>
      </c>
    </row>
    <row r="294" spans="2:18" ht="13.5" customHeight="1">
      <c r="B294" s="86">
        <f t="shared" si="27"/>
        <v>718</v>
      </c>
      <c r="C294" s="86" t="s">
        <v>432</v>
      </c>
      <c r="D294" s="87" t="s">
        <v>280</v>
      </c>
      <c r="E294" s="78"/>
      <c r="F294" s="98"/>
      <c r="G294" s="86" t="s">
        <v>286</v>
      </c>
      <c r="H294" s="86" t="str">
        <f t="shared" si="25"/>
        <v>nee</v>
      </c>
      <c r="I294" s="103"/>
      <c r="J294" s="70"/>
      <c r="K294" s="72"/>
      <c r="L294" s="71"/>
      <c r="M294" s="121">
        <f t="shared" si="26"/>
        <v>0</v>
      </c>
      <c r="Q294" s="105">
        <v>0</v>
      </c>
      <c r="R294" s="199">
        <f t="shared" si="28"/>
        <v>90</v>
      </c>
    </row>
    <row r="295" spans="2:18" ht="13.5" customHeight="1">
      <c r="B295" s="86">
        <f t="shared" si="27"/>
        <v>719</v>
      </c>
      <c r="C295" s="143" t="s">
        <v>438</v>
      </c>
      <c r="D295" s="87" t="s">
        <v>281</v>
      </c>
      <c r="E295" s="78"/>
      <c r="F295" s="98"/>
      <c r="G295" s="86" t="s">
        <v>286</v>
      </c>
      <c r="H295" s="86" t="str">
        <f t="shared" si="25"/>
        <v>nee</v>
      </c>
      <c r="I295" s="103"/>
      <c r="J295" s="70"/>
      <c r="K295" s="72"/>
      <c r="L295" s="71"/>
      <c r="M295" s="121">
        <f t="shared" si="26"/>
        <v>0</v>
      </c>
      <c r="Q295" s="105">
        <v>0</v>
      </c>
      <c r="R295" s="199">
        <f t="shared" si="28"/>
        <v>50</v>
      </c>
    </row>
    <row r="296" spans="2:18" ht="13.5" customHeight="1">
      <c r="B296" s="86">
        <f t="shared" si="27"/>
        <v>720</v>
      </c>
      <c r="C296" s="86" t="s">
        <v>433</v>
      </c>
      <c r="D296" s="87" t="s">
        <v>282</v>
      </c>
      <c r="E296" s="78"/>
      <c r="F296" s="98"/>
      <c r="G296" s="86" t="s">
        <v>287</v>
      </c>
      <c r="H296" s="86" t="str">
        <f t="shared" si="25"/>
        <v>nee</v>
      </c>
      <c r="I296" s="103"/>
      <c r="J296" s="70"/>
      <c r="K296" s="72"/>
      <c r="L296" s="71"/>
      <c r="M296" s="121">
        <f t="shared" si="26"/>
        <v>0</v>
      </c>
      <c r="Q296" s="105">
        <v>0</v>
      </c>
      <c r="R296" s="199">
        <f t="shared" si="28"/>
        <v>62</v>
      </c>
    </row>
    <row r="297" spans="2:18" ht="13.5" customHeight="1">
      <c r="B297" s="86">
        <f t="shared" si="27"/>
        <v>721</v>
      </c>
      <c r="C297" s="86" t="s">
        <v>434</v>
      </c>
      <c r="D297" s="87" t="s">
        <v>283</v>
      </c>
      <c r="E297" s="78"/>
      <c r="F297" s="98"/>
      <c r="G297" s="86" t="s">
        <v>286</v>
      </c>
      <c r="H297" s="86" t="str">
        <f t="shared" si="25"/>
        <v>nee</v>
      </c>
      <c r="I297" s="103"/>
      <c r="J297" s="70"/>
      <c r="K297" s="72"/>
      <c r="L297" s="71"/>
      <c r="M297" s="121">
        <f t="shared" si="26"/>
        <v>0</v>
      </c>
      <c r="Q297" s="105">
        <v>0</v>
      </c>
      <c r="R297" s="199">
        <f t="shared" si="28"/>
        <v>218</v>
      </c>
    </row>
    <row r="298" spans="2:18" ht="13.5" customHeight="1">
      <c r="B298" s="86">
        <f t="shared" si="27"/>
        <v>722</v>
      </c>
      <c r="C298" s="86" t="s">
        <v>435</v>
      </c>
      <c r="D298" s="87" t="s">
        <v>284</v>
      </c>
      <c r="E298" s="78"/>
      <c r="F298" s="98"/>
      <c r="G298" s="86" t="s">
        <v>286</v>
      </c>
      <c r="H298" s="86" t="str">
        <f t="shared" si="25"/>
        <v>nee</v>
      </c>
      <c r="I298" s="103"/>
      <c r="J298" s="70"/>
      <c r="K298" s="72"/>
      <c r="L298" s="71"/>
      <c r="M298" s="121">
        <f t="shared" si="26"/>
        <v>0</v>
      </c>
      <c r="Q298" s="105">
        <v>0</v>
      </c>
      <c r="R298" s="199">
        <f t="shared" si="28"/>
        <v>817</v>
      </c>
    </row>
    <row r="299" spans="2:18" ht="13.5" customHeight="1" thickBot="1">
      <c r="B299" s="86">
        <f t="shared" si="27"/>
        <v>723</v>
      </c>
      <c r="C299" s="86" t="s">
        <v>436</v>
      </c>
      <c r="D299" s="87" t="s">
        <v>285</v>
      </c>
      <c r="E299" s="78"/>
      <c r="F299" s="98"/>
      <c r="G299" s="86" t="s">
        <v>286</v>
      </c>
      <c r="H299" s="86" t="str">
        <f t="shared" si="25"/>
        <v>nee</v>
      </c>
      <c r="I299" s="103"/>
      <c r="J299" s="70"/>
      <c r="K299" s="72"/>
      <c r="L299" s="71"/>
      <c r="M299" s="121">
        <f t="shared" si="26"/>
        <v>0</v>
      </c>
      <c r="Q299" s="106">
        <v>0</v>
      </c>
      <c r="R299" s="272">
        <f t="shared" si="28"/>
        <v>34</v>
      </c>
    </row>
    <row r="300" spans="2:18" ht="13.5" customHeight="1" thickBot="1">
      <c r="B300" s="83">
        <f t="shared" si="27"/>
        <v>724</v>
      </c>
      <c r="C300" s="64" t="s">
        <v>440</v>
      </c>
      <c r="D300" s="78"/>
      <c r="E300" s="78"/>
      <c r="F300" s="78"/>
      <c r="G300" s="78"/>
      <c r="H300" s="78"/>
      <c r="I300" s="78"/>
      <c r="J300" s="78"/>
      <c r="K300" s="78"/>
      <c r="L300" s="78"/>
      <c r="M300" s="122">
        <f>SUM(M289:M299)</f>
        <v>0</v>
      </c>
      <c r="R300" s="270"/>
    </row>
    <row r="301" spans="13:18" ht="13.5" customHeight="1">
      <c r="M301" s="41"/>
      <c r="R301" s="270"/>
    </row>
    <row r="302" spans="2:18" ht="13.5" customHeight="1">
      <c r="B302" s="148" t="s">
        <v>20</v>
      </c>
      <c r="M302" s="41"/>
      <c r="R302" s="270"/>
    </row>
    <row r="303" spans="2:18" ht="13.5" customHeight="1">
      <c r="B303" s="86">
        <f>B300+1</f>
        <v>725</v>
      </c>
      <c r="C303" s="86" t="s">
        <v>437</v>
      </c>
      <c r="D303" s="87" t="s">
        <v>275</v>
      </c>
      <c r="E303" s="78"/>
      <c r="F303" s="98"/>
      <c r="G303" s="86" t="s">
        <v>286</v>
      </c>
      <c r="H303" s="86" t="str">
        <f aca="true" t="shared" si="29" ref="H303:H313">IF($G$40="ja","ja","nee")</f>
        <v>nee</v>
      </c>
      <c r="I303" s="103"/>
      <c r="J303" s="70"/>
      <c r="K303" s="72"/>
      <c r="L303" s="71"/>
      <c r="M303" s="121">
        <f aca="true" t="shared" si="30" ref="M303:M313">IF(H303="ja",ROUND(J303*L303,0),0)</f>
        <v>0</v>
      </c>
      <c r="Q303" s="104">
        <v>0</v>
      </c>
      <c r="R303" s="271">
        <f aca="true" t="shared" si="31" ref="R303:R313">$R275</f>
        <v>22</v>
      </c>
    </row>
    <row r="304" spans="2:18" ht="13.5" customHeight="1">
      <c r="B304" s="86">
        <f aca="true" t="shared" si="32" ref="B304:B314">B303+1</f>
        <v>726</v>
      </c>
      <c r="C304" s="86" t="s">
        <v>441</v>
      </c>
      <c r="D304" s="87" t="s">
        <v>276</v>
      </c>
      <c r="E304" s="78"/>
      <c r="F304" s="98"/>
      <c r="G304" s="86" t="s">
        <v>286</v>
      </c>
      <c r="H304" s="86" t="str">
        <f t="shared" si="29"/>
        <v>nee</v>
      </c>
      <c r="I304" s="103"/>
      <c r="J304" s="70"/>
      <c r="K304" s="72"/>
      <c r="L304" s="71"/>
      <c r="M304" s="121">
        <f t="shared" si="30"/>
        <v>0</v>
      </c>
      <c r="Q304" s="105">
        <v>0</v>
      </c>
      <c r="R304" s="199">
        <f t="shared" si="31"/>
        <v>211</v>
      </c>
    </row>
    <row r="305" spans="2:18" ht="13.5" customHeight="1">
      <c r="B305" s="86">
        <f t="shared" si="32"/>
        <v>727</v>
      </c>
      <c r="C305" s="86" t="s">
        <v>442</v>
      </c>
      <c r="D305" s="87" t="s">
        <v>277</v>
      </c>
      <c r="E305" s="78"/>
      <c r="F305" s="98"/>
      <c r="G305" s="86" t="s">
        <v>286</v>
      </c>
      <c r="H305" s="86" t="str">
        <f t="shared" si="29"/>
        <v>nee</v>
      </c>
      <c r="I305" s="103"/>
      <c r="J305" s="70"/>
      <c r="K305" s="72"/>
      <c r="L305" s="71"/>
      <c r="M305" s="121">
        <f t="shared" si="30"/>
        <v>0</v>
      </c>
      <c r="Q305" s="105">
        <v>0</v>
      </c>
      <c r="R305" s="199">
        <f t="shared" si="31"/>
        <v>438</v>
      </c>
    </row>
    <row r="306" spans="2:18" ht="13.5" customHeight="1">
      <c r="B306" s="86">
        <f t="shared" si="32"/>
        <v>728</v>
      </c>
      <c r="C306" s="86" t="s">
        <v>443</v>
      </c>
      <c r="D306" s="87" t="s">
        <v>278</v>
      </c>
      <c r="E306" s="78"/>
      <c r="F306" s="98"/>
      <c r="G306" s="86" t="s">
        <v>286</v>
      </c>
      <c r="H306" s="86" t="str">
        <f t="shared" si="29"/>
        <v>nee</v>
      </c>
      <c r="I306" s="103"/>
      <c r="J306" s="70"/>
      <c r="K306" s="72"/>
      <c r="L306" s="71"/>
      <c r="M306" s="121">
        <f t="shared" si="30"/>
        <v>0</v>
      </c>
      <c r="Q306" s="105">
        <v>0</v>
      </c>
      <c r="R306" s="199">
        <f t="shared" si="31"/>
        <v>107</v>
      </c>
    </row>
    <row r="307" spans="2:18" ht="13.5" customHeight="1">
      <c r="B307" s="86">
        <f t="shared" si="32"/>
        <v>729</v>
      </c>
      <c r="C307" s="86" t="s">
        <v>444</v>
      </c>
      <c r="D307" s="87" t="s">
        <v>279</v>
      </c>
      <c r="E307" s="78"/>
      <c r="F307" s="98"/>
      <c r="G307" s="86" t="s">
        <v>287</v>
      </c>
      <c r="H307" s="86" t="str">
        <f t="shared" si="29"/>
        <v>nee</v>
      </c>
      <c r="I307" s="103"/>
      <c r="J307" s="70"/>
      <c r="K307" s="72"/>
      <c r="L307" s="71"/>
      <c r="M307" s="121">
        <f t="shared" si="30"/>
        <v>0</v>
      </c>
      <c r="Q307" s="105">
        <v>0</v>
      </c>
      <c r="R307" s="199">
        <f t="shared" si="31"/>
        <v>72</v>
      </c>
    </row>
    <row r="308" spans="2:18" ht="13.5" customHeight="1">
      <c r="B308" s="86">
        <f t="shared" si="32"/>
        <v>730</v>
      </c>
      <c r="C308" s="86" t="s">
        <v>445</v>
      </c>
      <c r="D308" s="87" t="s">
        <v>280</v>
      </c>
      <c r="E308" s="78"/>
      <c r="F308" s="98"/>
      <c r="G308" s="86" t="s">
        <v>286</v>
      </c>
      <c r="H308" s="86" t="str">
        <f t="shared" si="29"/>
        <v>nee</v>
      </c>
      <c r="I308" s="103"/>
      <c r="J308" s="70"/>
      <c r="K308" s="72"/>
      <c r="L308" s="71"/>
      <c r="M308" s="121">
        <f t="shared" si="30"/>
        <v>0</v>
      </c>
      <c r="Q308" s="105">
        <v>0</v>
      </c>
      <c r="R308" s="199">
        <f t="shared" si="31"/>
        <v>90</v>
      </c>
    </row>
    <row r="309" spans="2:18" ht="13.5" customHeight="1">
      <c r="B309" s="86">
        <f t="shared" si="32"/>
        <v>731</v>
      </c>
      <c r="C309" s="143" t="s">
        <v>450</v>
      </c>
      <c r="D309" s="87" t="s">
        <v>281</v>
      </c>
      <c r="E309" s="78"/>
      <c r="F309" s="98"/>
      <c r="G309" s="86" t="s">
        <v>286</v>
      </c>
      <c r="H309" s="86" t="str">
        <f t="shared" si="29"/>
        <v>nee</v>
      </c>
      <c r="I309" s="103"/>
      <c r="J309" s="70"/>
      <c r="K309" s="72"/>
      <c r="L309" s="71"/>
      <c r="M309" s="121">
        <f t="shared" si="30"/>
        <v>0</v>
      </c>
      <c r="Q309" s="105">
        <v>0</v>
      </c>
      <c r="R309" s="199">
        <f t="shared" si="31"/>
        <v>50</v>
      </c>
    </row>
    <row r="310" spans="2:18" ht="13.5" customHeight="1">
      <c r="B310" s="86">
        <f t="shared" si="32"/>
        <v>732</v>
      </c>
      <c r="C310" s="86" t="s">
        <v>446</v>
      </c>
      <c r="D310" s="87" t="s">
        <v>282</v>
      </c>
      <c r="E310" s="78"/>
      <c r="F310" s="98"/>
      <c r="G310" s="86" t="s">
        <v>287</v>
      </c>
      <c r="H310" s="86" t="str">
        <f t="shared" si="29"/>
        <v>nee</v>
      </c>
      <c r="I310" s="103"/>
      <c r="J310" s="70"/>
      <c r="K310" s="72"/>
      <c r="L310" s="71"/>
      <c r="M310" s="121">
        <f t="shared" si="30"/>
        <v>0</v>
      </c>
      <c r="Q310" s="105">
        <v>0</v>
      </c>
      <c r="R310" s="199">
        <f t="shared" si="31"/>
        <v>62</v>
      </c>
    </row>
    <row r="311" spans="2:18" ht="13.5" customHeight="1">
      <c r="B311" s="86">
        <f t="shared" si="32"/>
        <v>733</v>
      </c>
      <c r="C311" s="86" t="s">
        <v>447</v>
      </c>
      <c r="D311" s="87" t="s">
        <v>283</v>
      </c>
      <c r="E311" s="78"/>
      <c r="F311" s="98"/>
      <c r="G311" s="86" t="s">
        <v>286</v>
      </c>
      <c r="H311" s="86" t="str">
        <f t="shared" si="29"/>
        <v>nee</v>
      </c>
      <c r="I311" s="103"/>
      <c r="J311" s="70"/>
      <c r="K311" s="72"/>
      <c r="L311" s="71"/>
      <c r="M311" s="121">
        <f t="shared" si="30"/>
        <v>0</v>
      </c>
      <c r="Q311" s="105">
        <v>0</v>
      </c>
      <c r="R311" s="199">
        <f t="shared" si="31"/>
        <v>218</v>
      </c>
    </row>
    <row r="312" spans="2:18" ht="13.5" customHeight="1">
      <c r="B312" s="86">
        <f t="shared" si="32"/>
        <v>734</v>
      </c>
      <c r="C312" s="86" t="s">
        <v>448</v>
      </c>
      <c r="D312" s="87" t="s">
        <v>284</v>
      </c>
      <c r="E312" s="78"/>
      <c r="F312" s="98"/>
      <c r="G312" s="86" t="s">
        <v>286</v>
      </c>
      <c r="H312" s="86" t="str">
        <f t="shared" si="29"/>
        <v>nee</v>
      </c>
      <c r="I312" s="103"/>
      <c r="J312" s="70"/>
      <c r="K312" s="72"/>
      <c r="L312" s="71"/>
      <c r="M312" s="121">
        <f t="shared" si="30"/>
        <v>0</v>
      </c>
      <c r="Q312" s="105">
        <v>0</v>
      </c>
      <c r="R312" s="199">
        <f t="shared" si="31"/>
        <v>817</v>
      </c>
    </row>
    <row r="313" spans="2:18" ht="13.5" customHeight="1" thickBot="1">
      <c r="B313" s="86">
        <f t="shared" si="32"/>
        <v>735</v>
      </c>
      <c r="C313" s="86" t="s">
        <v>449</v>
      </c>
      <c r="D313" s="87" t="s">
        <v>285</v>
      </c>
      <c r="E313" s="78"/>
      <c r="F313" s="98"/>
      <c r="G313" s="86" t="s">
        <v>286</v>
      </c>
      <c r="H313" s="86" t="str">
        <f t="shared" si="29"/>
        <v>nee</v>
      </c>
      <c r="I313" s="103"/>
      <c r="J313" s="70"/>
      <c r="K313" s="72"/>
      <c r="L313" s="71"/>
      <c r="M313" s="121">
        <f t="shared" si="30"/>
        <v>0</v>
      </c>
      <c r="Q313" s="106">
        <v>0</v>
      </c>
      <c r="R313" s="272">
        <f t="shared" si="31"/>
        <v>34</v>
      </c>
    </row>
    <row r="314" spans="2:18" ht="13.5" customHeight="1" thickBot="1">
      <c r="B314" s="83">
        <f t="shared" si="32"/>
        <v>736</v>
      </c>
      <c r="C314" s="64" t="s">
        <v>439</v>
      </c>
      <c r="D314" s="78"/>
      <c r="E314" s="78"/>
      <c r="F314" s="78"/>
      <c r="G314" s="78"/>
      <c r="H314" s="78"/>
      <c r="I314" s="78"/>
      <c r="J314" s="78"/>
      <c r="K314" s="78"/>
      <c r="L314" s="78"/>
      <c r="M314" s="122">
        <f>SUM(M303:M313)</f>
        <v>0</v>
      </c>
      <c r="R314" s="270"/>
    </row>
    <row r="315" spans="1:18" ht="18" customHeight="1">
      <c r="A315" s="74" t="s">
        <v>207</v>
      </c>
      <c r="B315" s="73"/>
      <c r="I315" s="184"/>
      <c r="J315" s="41"/>
      <c r="K315" s="184"/>
      <c r="R315" s="270"/>
    </row>
    <row r="316" spans="2:18" ht="18" customHeight="1">
      <c r="B316" s="75" t="str">
        <f>$B$2</f>
        <v>Budget 2006 AWBZ-instellingen sector V&amp;V</v>
      </c>
      <c r="C316" s="75"/>
      <c r="D316" s="75"/>
      <c r="E316" s="89"/>
      <c r="F316" s="123" t="str">
        <f>$F$2</f>
        <v>650 / </v>
      </c>
      <c r="G316" s="75"/>
      <c r="H316" s="76"/>
      <c r="I316" s="75"/>
      <c r="J316" s="76" t="str">
        <f>$J$2</f>
        <v>versie: 29-08-2006</v>
      </c>
      <c r="K316" s="76"/>
      <c r="L316" s="78"/>
      <c r="M316" s="79">
        <f>M270+1</f>
        <v>8</v>
      </c>
      <c r="R316" s="270"/>
    </row>
    <row r="317" ht="12.75">
      <c r="R317" s="270"/>
    </row>
    <row r="318" ht="13.5" customHeight="1">
      <c r="R318" s="270"/>
    </row>
    <row r="319" spans="7:18" ht="13.5" customHeight="1">
      <c r="G319" s="133"/>
      <c r="H319" s="91" t="s">
        <v>188</v>
      </c>
      <c r="I319" s="99" t="s">
        <v>189</v>
      </c>
      <c r="J319" s="91" t="s">
        <v>176</v>
      </c>
      <c r="K319" s="99" t="s">
        <v>190</v>
      </c>
      <c r="L319" s="91" t="s">
        <v>178</v>
      </c>
      <c r="M319" s="91" t="s">
        <v>180</v>
      </c>
      <c r="R319" s="270"/>
    </row>
    <row r="320" spans="2:18" ht="13.5" customHeight="1">
      <c r="B320" s="148" t="s">
        <v>21</v>
      </c>
      <c r="G320" s="92" t="s">
        <v>155</v>
      </c>
      <c r="H320" s="92" t="s">
        <v>175</v>
      </c>
      <c r="I320" s="102" t="s">
        <v>182</v>
      </c>
      <c r="J320" s="92" t="s">
        <v>177</v>
      </c>
      <c r="K320" s="102" t="s">
        <v>179</v>
      </c>
      <c r="L320" s="92" t="s">
        <v>179</v>
      </c>
      <c r="M320" s="92" t="s">
        <v>181</v>
      </c>
      <c r="R320" s="270"/>
    </row>
    <row r="321" spans="2:18" ht="13.5" customHeight="1">
      <c r="B321" s="86">
        <f>M316*100+1</f>
        <v>801</v>
      </c>
      <c r="C321" s="86" t="s">
        <v>288</v>
      </c>
      <c r="D321" s="87" t="s">
        <v>275</v>
      </c>
      <c r="E321" s="78"/>
      <c r="F321" s="98"/>
      <c r="G321" s="86" t="s">
        <v>287</v>
      </c>
      <c r="H321" s="86" t="str">
        <f aca="true" t="shared" si="33" ref="H321:H331">IF($G$40="ja","ja","nee")</f>
        <v>nee</v>
      </c>
      <c r="I321" s="103"/>
      <c r="J321" s="70"/>
      <c r="K321" s="72"/>
      <c r="L321" s="71"/>
      <c r="M321" s="121">
        <f aca="true" t="shared" si="34" ref="M321:M331">IF(H321="ja",ROUND(J321*L321,0),0)</f>
        <v>0</v>
      </c>
      <c r="Q321" s="104">
        <v>0</v>
      </c>
      <c r="R321" s="271">
        <v>22</v>
      </c>
    </row>
    <row r="322" spans="2:18" ht="13.5" customHeight="1">
      <c r="B322" s="86">
        <f aca="true" t="shared" si="35" ref="B322:B332">B321+1</f>
        <v>802</v>
      </c>
      <c r="C322" s="86" t="s">
        <v>289</v>
      </c>
      <c r="D322" s="87" t="s">
        <v>276</v>
      </c>
      <c r="E322" s="78"/>
      <c r="F322" s="98"/>
      <c r="G322" s="86" t="s">
        <v>287</v>
      </c>
      <c r="H322" s="86" t="str">
        <f t="shared" si="33"/>
        <v>nee</v>
      </c>
      <c r="I322" s="103"/>
      <c r="J322" s="70"/>
      <c r="K322" s="72"/>
      <c r="L322" s="71"/>
      <c r="M322" s="121">
        <f t="shared" si="34"/>
        <v>0</v>
      </c>
      <c r="Q322" s="105">
        <v>0</v>
      </c>
      <c r="R322" s="199">
        <v>170</v>
      </c>
    </row>
    <row r="323" spans="2:18" ht="13.5" customHeight="1">
      <c r="B323" s="86">
        <f t="shared" si="35"/>
        <v>803</v>
      </c>
      <c r="C323" s="86" t="s">
        <v>290</v>
      </c>
      <c r="D323" s="87" t="s">
        <v>277</v>
      </c>
      <c r="E323" s="78"/>
      <c r="F323" s="98"/>
      <c r="G323" s="86" t="s">
        <v>286</v>
      </c>
      <c r="H323" s="86" t="str">
        <f t="shared" si="33"/>
        <v>nee</v>
      </c>
      <c r="I323" s="103"/>
      <c r="J323" s="70"/>
      <c r="K323" s="72"/>
      <c r="L323" s="71"/>
      <c r="M323" s="121">
        <f t="shared" si="34"/>
        <v>0</v>
      </c>
      <c r="Q323" s="105">
        <v>0</v>
      </c>
      <c r="R323" s="199">
        <v>465</v>
      </c>
    </row>
    <row r="324" spans="2:18" ht="13.5" customHeight="1">
      <c r="B324" s="86">
        <f t="shared" si="35"/>
        <v>804</v>
      </c>
      <c r="C324" s="86" t="s">
        <v>291</v>
      </c>
      <c r="D324" s="87" t="s">
        <v>278</v>
      </c>
      <c r="E324" s="78"/>
      <c r="F324" s="98"/>
      <c r="G324" s="86" t="s">
        <v>286</v>
      </c>
      <c r="H324" s="86" t="str">
        <f t="shared" si="33"/>
        <v>nee</v>
      </c>
      <c r="I324" s="103"/>
      <c r="J324" s="70"/>
      <c r="K324" s="72"/>
      <c r="L324" s="71"/>
      <c r="M324" s="121">
        <f t="shared" si="34"/>
        <v>0</v>
      </c>
      <c r="Q324" s="105">
        <v>0</v>
      </c>
      <c r="R324" s="199">
        <v>161</v>
      </c>
    </row>
    <row r="325" spans="2:18" ht="13.5" customHeight="1">
      <c r="B325" s="86">
        <f t="shared" si="35"/>
        <v>805</v>
      </c>
      <c r="C325" s="86" t="s">
        <v>292</v>
      </c>
      <c r="D325" s="87" t="s">
        <v>279</v>
      </c>
      <c r="E325" s="78"/>
      <c r="F325" s="98"/>
      <c r="G325" s="86" t="s">
        <v>287</v>
      </c>
      <c r="H325" s="86" t="str">
        <f t="shared" si="33"/>
        <v>nee</v>
      </c>
      <c r="I325" s="103"/>
      <c r="J325" s="70"/>
      <c r="K325" s="72"/>
      <c r="L325" s="71"/>
      <c r="M325" s="121">
        <f t="shared" si="34"/>
        <v>0</v>
      </c>
      <c r="Q325" s="105">
        <v>0</v>
      </c>
      <c r="R325" s="199">
        <v>103</v>
      </c>
    </row>
    <row r="326" spans="2:18" ht="13.5" customHeight="1">
      <c r="B326" s="86">
        <f t="shared" si="35"/>
        <v>806</v>
      </c>
      <c r="C326" s="86" t="s">
        <v>293</v>
      </c>
      <c r="D326" s="87" t="s">
        <v>280</v>
      </c>
      <c r="E326" s="78"/>
      <c r="F326" s="98"/>
      <c r="G326" s="86" t="s">
        <v>286</v>
      </c>
      <c r="H326" s="86" t="str">
        <f t="shared" si="33"/>
        <v>nee</v>
      </c>
      <c r="I326" s="103"/>
      <c r="J326" s="70"/>
      <c r="K326" s="72"/>
      <c r="L326" s="71"/>
      <c r="M326" s="121">
        <f t="shared" si="34"/>
        <v>0</v>
      </c>
      <c r="Q326" s="105">
        <v>0</v>
      </c>
      <c r="R326" s="199">
        <v>97</v>
      </c>
    </row>
    <row r="327" spans="2:18" ht="13.5" customHeight="1">
      <c r="B327" s="86">
        <f t="shared" si="35"/>
        <v>807</v>
      </c>
      <c r="C327" s="86" t="s">
        <v>298</v>
      </c>
      <c r="D327" s="87" t="s">
        <v>281</v>
      </c>
      <c r="E327" s="78"/>
      <c r="F327" s="98"/>
      <c r="G327" s="86" t="s">
        <v>286</v>
      </c>
      <c r="H327" s="86" t="str">
        <f t="shared" si="33"/>
        <v>nee</v>
      </c>
      <c r="I327" s="103"/>
      <c r="J327" s="70"/>
      <c r="K327" s="72"/>
      <c r="L327" s="71"/>
      <c r="M327" s="121">
        <f t="shared" si="34"/>
        <v>0</v>
      </c>
      <c r="Q327" s="105">
        <v>0</v>
      </c>
      <c r="R327" s="199">
        <v>52</v>
      </c>
    </row>
    <row r="328" spans="2:18" ht="13.5" customHeight="1">
      <c r="B328" s="86">
        <f t="shared" si="35"/>
        <v>808</v>
      </c>
      <c r="C328" s="86" t="s">
        <v>294</v>
      </c>
      <c r="D328" s="87" t="s">
        <v>282</v>
      </c>
      <c r="E328" s="78"/>
      <c r="F328" s="98"/>
      <c r="G328" s="86" t="s">
        <v>287</v>
      </c>
      <c r="H328" s="86" t="str">
        <f t="shared" si="33"/>
        <v>nee</v>
      </c>
      <c r="I328" s="103"/>
      <c r="J328" s="70"/>
      <c r="K328" s="72"/>
      <c r="L328" s="71"/>
      <c r="M328" s="121">
        <f t="shared" si="34"/>
        <v>0</v>
      </c>
      <c r="Q328" s="105">
        <v>0</v>
      </c>
      <c r="R328" s="199">
        <v>66</v>
      </c>
    </row>
    <row r="329" spans="2:18" ht="13.5" customHeight="1">
      <c r="B329" s="86">
        <f t="shared" si="35"/>
        <v>809</v>
      </c>
      <c r="C329" s="86" t="s">
        <v>295</v>
      </c>
      <c r="D329" s="87" t="s">
        <v>283</v>
      </c>
      <c r="E329" s="78"/>
      <c r="F329" s="98"/>
      <c r="G329" s="86" t="s">
        <v>286</v>
      </c>
      <c r="H329" s="86" t="str">
        <f t="shared" si="33"/>
        <v>nee</v>
      </c>
      <c r="I329" s="103"/>
      <c r="J329" s="70"/>
      <c r="K329" s="72"/>
      <c r="L329" s="71"/>
      <c r="M329" s="121">
        <f t="shared" si="34"/>
        <v>0</v>
      </c>
      <c r="Q329" s="105">
        <v>0</v>
      </c>
      <c r="R329" s="199">
        <v>221</v>
      </c>
    </row>
    <row r="330" spans="2:18" ht="13.5" customHeight="1">
      <c r="B330" s="86">
        <f t="shared" si="35"/>
        <v>810</v>
      </c>
      <c r="C330" s="86" t="s">
        <v>296</v>
      </c>
      <c r="D330" s="87" t="s">
        <v>284</v>
      </c>
      <c r="E330" s="78"/>
      <c r="F330" s="98"/>
      <c r="G330" s="86" t="s">
        <v>286</v>
      </c>
      <c r="H330" s="86" t="str">
        <f t="shared" si="33"/>
        <v>nee</v>
      </c>
      <c r="I330" s="103"/>
      <c r="J330" s="70"/>
      <c r="K330" s="72"/>
      <c r="L330" s="71"/>
      <c r="M330" s="121">
        <f t="shared" si="34"/>
        <v>0</v>
      </c>
      <c r="Q330" s="105">
        <v>0</v>
      </c>
      <c r="R330" s="199">
        <v>828</v>
      </c>
    </row>
    <row r="331" spans="2:18" ht="13.5" customHeight="1" thickBot="1">
      <c r="B331" s="86">
        <f t="shared" si="35"/>
        <v>811</v>
      </c>
      <c r="C331" s="86" t="s">
        <v>297</v>
      </c>
      <c r="D331" s="87" t="s">
        <v>285</v>
      </c>
      <c r="E331" s="78"/>
      <c r="F331" s="98"/>
      <c r="G331" s="86" t="s">
        <v>286</v>
      </c>
      <c r="H331" s="86" t="str">
        <f t="shared" si="33"/>
        <v>nee</v>
      </c>
      <c r="I331" s="103"/>
      <c r="J331" s="70"/>
      <c r="K331" s="72"/>
      <c r="L331" s="71"/>
      <c r="M331" s="121">
        <f t="shared" si="34"/>
        <v>0</v>
      </c>
      <c r="Q331" s="106">
        <v>0</v>
      </c>
      <c r="R331" s="272">
        <v>33</v>
      </c>
    </row>
    <row r="332" spans="2:18" ht="13.5" customHeight="1" thickBot="1">
      <c r="B332" s="83">
        <f t="shared" si="35"/>
        <v>812</v>
      </c>
      <c r="C332" s="64" t="s">
        <v>72</v>
      </c>
      <c r="D332" s="78"/>
      <c r="E332" s="78"/>
      <c r="F332" s="78"/>
      <c r="G332" s="78"/>
      <c r="H332" s="78"/>
      <c r="I332" s="78"/>
      <c r="J332" s="78"/>
      <c r="K332" s="78"/>
      <c r="L332" s="78"/>
      <c r="M332" s="122">
        <f>SUM(M321:M331)</f>
        <v>0</v>
      </c>
      <c r="R332" s="270"/>
    </row>
    <row r="333" spans="13:18" ht="13.5" customHeight="1">
      <c r="M333" s="41"/>
      <c r="R333" s="270"/>
    </row>
    <row r="334" spans="2:18" ht="13.5" customHeight="1">
      <c r="B334" s="148" t="s">
        <v>22</v>
      </c>
      <c r="M334" s="41"/>
      <c r="R334" s="270"/>
    </row>
    <row r="335" spans="2:18" ht="13.5" customHeight="1">
      <c r="B335" s="86">
        <f>B332+1</f>
        <v>813</v>
      </c>
      <c r="C335" s="86" t="s">
        <v>299</v>
      </c>
      <c r="D335" s="87" t="s">
        <v>275</v>
      </c>
      <c r="E335" s="78"/>
      <c r="F335" s="98"/>
      <c r="G335" s="86" t="s">
        <v>287</v>
      </c>
      <c r="H335" s="86" t="str">
        <f aca="true" t="shared" si="36" ref="H335:H342">IF($G$40="ja","ja","nee")</f>
        <v>nee</v>
      </c>
      <c r="I335" s="103"/>
      <c r="J335" s="70"/>
      <c r="K335" s="72"/>
      <c r="L335" s="71"/>
      <c r="M335" s="121">
        <f aca="true" t="shared" si="37" ref="M335:M342">IF(H335="ja",ROUND(J335*L335,0),0)</f>
        <v>0</v>
      </c>
      <c r="Q335" s="104">
        <v>0</v>
      </c>
      <c r="R335" s="271">
        <v>22</v>
      </c>
    </row>
    <row r="336" spans="2:18" ht="13.5" customHeight="1">
      <c r="B336" s="86">
        <f aca="true" t="shared" si="38" ref="B336:B343">B335+1</f>
        <v>814</v>
      </c>
      <c r="C336" s="86" t="s">
        <v>300</v>
      </c>
      <c r="D336" s="87" t="s">
        <v>276</v>
      </c>
      <c r="E336" s="78"/>
      <c r="F336" s="98"/>
      <c r="G336" s="86" t="s">
        <v>287</v>
      </c>
      <c r="H336" s="86" t="str">
        <f t="shared" si="36"/>
        <v>nee</v>
      </c>
      <c r="I336" s="103"/>
      <c r="J336" s="70"/>
      <c r="K336" s="72"/>
      <c r="L336" s="71"/>
      <c r="M336" s="121">
        <f t="shared" si="37"/>
        <v>0</v>
      </c>
      <c r="Q336" s="105">
        <v>0</v>
      </c>
      <c r="R336" s="199">
        <v>404</v>
      </c>
    </row>
    <row r="337" spans="2:18" ht="13.5" customHeight="1">
      <c r="B337" s="86">
        <f t="shared" si="38"/>
        <v>815</v>
      </c>
      <c r="C337" s="86" t="s">
        <v>301</v>
      </c>
      <c r="D337" s="87" t="s">
        <v>278</v>
      </c>
      <c r="E337" s="78"/>
      <c r="F337" s="98"/>
      <c r="G337" s="86" t="s">
        <v>286</v>
      </c>
      <c r="H337" s="86" t="str">
        <f t="shared" si="36"/>
        <v>nee</v>
      </c>
      <c r="I337" s="103"/>
      <c r="J337" s="70"/>
      <c r="K337" s="72"/>
      <c r="L337" s="71"/>
      <c r="M337" s="121">
        <f t="shared" si="37"/>
        <v>0</v>
      </c>
      <c r="Q337" s="105">
        <v>0</v>
      </c>
      <c r="R337" s="199">
        <v>212</v>
      </c>
    </row>
    <row r="338" spans="2:18" ht="13.5" customHeight="1">
      <c r="B338" s="86">
        <f t="shared" si="38"/>
        <v>816</v>
      </c>
      <c r="C338" s="86" t="s">
        <v>302</v>
      </c>
      <c r="D338" s="87" t="s">
        <v>279</v>
      </c>
      <c r="E338" s="78"/>
      <c r="F338" s="98"/>
      <c r="G338" s="86" t="s">
        <v>287</v>
      </c>
      <c r="H338" s="86" t="str">
        <f t="shared" si="36"/>
        <v>nee</v>
      </c>
      <c r="I338" s="103"/>
      <c r="J338" s="70"/>
      <c r="K338" s="72"/>
      <c r="L338" s="71"/>
      <c r="M338" s="121">
        <f t="shared" si="37"/>
        <v>0</v>
      </c>
      <c r="Q338" s="105">
        <v>0</v>
      </c>
      <c r="R338" s="199">
        <v>125</v>
      </c>
    </row>
    <row r="339" spans="2:18" ht="13.5" customHeight="1">
      <c r="B339" s="86">
        <f t="shared" si="38"/>
        <v>817</v>
      </c>
      <c r="C339" s="86" t="s">
        <v>303</v>
      </c>
      <c r="D339" s="87" t="s">
        <v>280</v>
      </c>
      <c r="E339" s="78"/>
      <c r="F339" s="98"/>
      <c r="G339" s="86" t="s">
        <v>286</v>
      </c>
      <c r="H339" s="86" t="str">
        <f t="shared" si="36"/>
        <v>nee</v>
      </c>
      <c r="I339" s="103"/>
      <c r="J339" s="70"/>
      <c r="K339" s="72"/>
      <c r="L339" s="71"/>
      <c r="M339" s="121">
        <f t="shared" si="37"/>
        <v>0</v>
      </c>
      <c r="Q339" s="105">
        <v>0</v>
      </c>
      <c r="R339" s="199">
        <v>115</v>
      </c>
    </row>
    <row r="340" spans="2:18" ht="13.5" customHeight="1">
      <c r="B340" s="86">
        <f t="shared" si="38"/>
        <v>818</v>
      </c>
      <c r="C340" s="86" t="s">
        <v>451</v>
      </c>
      <c r="D340" s="87" t="s">
        <v>281</v>
      </c>
      <c r="E340" s="78"/>
      <c r="F340" s="98"/>
      <c r="G340" s="86" t="s">
        <v>286</v>
      </c>
      <c r="H340" s="86" t="str">
        <f t="shared" si="36"/>
        <v>nee</v>
      </c>
      <c r="I340" s="103"/>
      <c r="J340" s="70"/>
      <c r="K340" s="72"/>
      <c r="L340" s="71"/>
      <c r="M340" s="121">
        <f t="shared" si="37"/>
        <v>0</v>
      </c>
      <c r="Q340" s="105">
        <v>0</v>
      </c>
      <c r="R340" s="199">
        <v>62</v>
      </c>
    </row>
    <row r="341" spans="2:18" ht="13.5" customHeight="1">
      <c r="B341" s="86">
        <f t="shared" si="38"/>
        <v>819</v>
      </c>
      <c r="C341" s="86" t="s">
        <v>304</v>
      </c>
      <c r="D341" s="87" t="s">
        <v>282</v>
      </c>
      <c r="E341" s="78"/>
      <c r="F341" s="98"/>
      <c r="G341" s="86" t="s">
        <v>287</v>
      </c>
      <c r="H341" s="86" t="str">
        <f t="shared" si="36"/>
        <v>nee</v>
      </c>
      <c r="I341" s="103"/>
      <c r="J341" s="70"/>
      <c r="K341" s="72"/>
      <c r="L341" s="71"/>
      <c r="M341" s="121">
        <f t="shared" si="37"/>
        <v>0</v>
      </c>
      <c r="Q341" s="105">
        <v>0</v>
      </c>
      <c r="R341" s="199">
        <v>81</v>
      </c>
    </row>
    <row r="342" spans="2:18" ht="13.5" customHeight="1" thickBot="1">
      <c r="B342" s="86">
        <f t="shared" si="38"/>
        <v>820</v>
      </c>
      <c r="C342" s="86" t="s">
        <v>305</v>
      </c>
      <c r="D342" s="87" t="s">
        <v>285</v>
      </c>
      <c r="E342" s="78"/>
      <c r="F342" s="98"/>
      <c r="G342" s="86" t="s">
        <v>286</v>
      </c>
      <c r="H342" s="86" t="str">
        <f t="shared" si="36"/>
        <v>nee</v>
      </c>
      <c r="I342" s="103"/>
      <c r="J342" s="70"/>
      <c r="K342" s="72"/>
      <c r="L342" s="71"/>
      <c r="M342" s="121">
        <f t="shared" si="37"/>
        <v>0</v>
      </c>
      <c r="Q342" s="106">
        <v>0</v>
      </c>
      <c r="R342" s="272">
        <v>94</v>
      </c>
    </row>
    <row r="343" spans="1:18" ht="13.5" customHeight="1" thickBot="1">
      <c r="A343" s="83">
        <f>A341+1</f>
        <v>1</v>
      </c>
      <c r="B343" s="83">
        <f t="shared" si="38"/>
        <v>821</v>
      </c>
      <c r="C343" s="64" t="s">
        <v>379</v>
      </c>
      <c r="D343" s="78"/>
      <c r="E343" s="78"/>
      <c r="F343" s="78"/>
      <c r="G343" s="78"/>
      <c r="H343" s="78"/>
      <c r="I343" s="78"/>
      <c r="J343" s="78"/>
      <c r="K343" s="78"/>
      <c r="L343" s="78"/>
      <c r="M343" s="122">
        <f>SUM(M335:M342)</f>
        <v>0</v>
      </c>
      <c r="R343" s="270"/>
    </row>
    <row r="344" spans="1:20" ht="13.5" customHeight="1">
      <c r="A344" s="80"/>
      <c r="M344" s="41"/>
      <c r="R344" s="270"/>
      <c r="T344" s="190" t="s">
        <v>485</v>
      </c>
    </row>
    <row r="345" spans="2:20" ht="13.5" customHeight="1">
      <c r="B345" s="148" t="s">
        <v>23</v>
      </c>
      <c r="R345" s="270"/>
      <c r="T345" s="190" t="s">
        <v>486</v>
      </c>
    </row>
    <row r="346" spans="2:20" ht="13.5" customHeight="1">
      <c r="B346" s="86">
        <f>B343+1</f>
        <v>822</v>
      </c>
      <c r="C346" s="86" t="s">
        <v>306</v>
      </c>
      <c r="D346" s="87" t="s">
        <v>329</v>
      </c>
      <c r="E346" s="78"/>
      <c r="F346" s="98"/>
      <c r="G346" s="109" t="s">
        <v>352</v>
      </c>
      <c r="H346" s="86" t="str">
        <f aca="true" t="shared" si="39" ref="H346:H359">IF($G$40="ja","ja","nee")</f>
        <v>nee</v>
      </c>
      <c r="I346" s="103"/>
      <c r="J346" s="70"/>
      <c r="K346" s="72"/>
      <c r="L346" s="71"/>
      <c r="M346" s="121">
        <f aca="true" t="shared" si="40" ref="M346:M359">IF(H346="ja",ROUND(J346*L346,0),0)</f>
        <v>0</v>
      </c>
      <c r="Q346" s="104">
        <v>0</v>
      </c>
      <c r="R346" s="271">
        <v>61</v>
      </c>
      <c r="T346" s="113">
        <f aca="true" t="shared" si="41" ref="T346:T359">IF(M346&gt;0,J346,0)</f>
        <v>0</v>
      </c>
    </row>
    <row r="347" spans="2:20" ht="13.5" customHeight="1">
      <c r="B347" s="86">
        <f aca="true" t="shared" si="42" ref="B347:B359">B346+1</f>
        <v>823</v>
      </c>
      <c r="C347" s="86" t="s">
        <v>307</v>
      </c>
      <c r="D347" s="87" t="s">
        <v>330</v>
      </c>
      <c r="E347" s="78"/>
      <c r="F347" s="98"/>
      <c r="G347" s="109" t="s">
        <v>352</v>
      </c>
      <c r="H347" s="86" t="str">
        <f t="shared" si="39"/>
        <v>nee</v>
      </c>
      <c r="I347" s="103"/>
      <c r="J347" s="70"/>
      <c r="K347" s="72"/>
      <c r="L347" s="71"/>
      <c r="M347" s="121">
        <f t="shared" si="40"/>
        <v>0</v>
      </c>
      <c r="Q347" s="105">
        <v>0</v>
      </c>
      <c r="R347" s="273">
        <v>122</v>
      </c>
      <c r="T347" s="115">
        <f t="shared" si="41"/>
        <v>0</v>
      </c>
    </row>
    <row r="348" spans="2:20" ht="13.5" customHeight="1">
      <c r="B348" s="86">
        <f t="shared" si="42"/>
        <v>824</v>
      </c>
      <c r="C348" s="86" t="s">
        <v>308</v>
      </c>
      <c r="D348" s="87" t="s">
        <v>331</v>
      </c>
      <c r="E348" s="78"/>
      <c r="F348" s="98"/>
      <c r="G348" s="109" t="s">
        <v>352</v>
      </c>
      <c r="H348" s="86" t="str">
        <f t="shared" si="39"/>
        <v>nee</v>
      </c>
      <c r="I348" s="103"/>
      <c r="J348" s="70"/>
      <c r="K348" s="72"/>
      <c r="L348" s="71"/>
      <c r="M348" s="121">
        <f t="shared" si="40"/>
        <v>0</v>
      </c>
      <c r="Q348" s="105">
        <v>0</v>
      </c>
      <c r="R348" s="273">
        <v>75</v>
      </c>
      <c r="T348" s="115">
        <f t="shared" si="41"/>
        <v>0</v>
      </c>
    </row>
    <row r="349" spans="2:20" ht="13.5" customHeight="1">
      <c r="B349" s="86">
        <f t="shared" si="42"/>
        <v>825</v>
      </c>
      <c r="C349" s="86" t="s">
        <v>309</v>
      </c>
      <c r="D349" s="87" t="s">
        <v>332</v>
      </c>
      <c r="E349" s="78"/>
      <c r="F349" s="98"/>
      <c r="G349" s="109" t="s">
        <v>352</v>
      </c>
      <c r="H349" s="86" t="str">
        <f t="shared" si="39"/>
        <v>nee</v>
      </c>
      <c r="I349" s="103"/>
      <c r="J349" s="70"/>
      <c r="K349" s="72"/>
      <c r="L349" s="71"/>
      <c r="M349" s="121">
        <f t="shared" si="40"/>
        <v>0</v>
      </c>
      <c r="Q349" s="105">
        <v>0</v>
      </c>
      <c r="R349" s="273">
        <v>151</v>
      </c>
      <c r="T349" s="115">
        <f t="shared" si="41"/>
        <v>0</v>
      </c>
    </row>
    <row r="350" spans="2:20" ht="13.5" customHeight="1">
      <c r="B350" s="86">
        <f t="shared" si="42"/>
        <v>826</v>
      </c>
      <c r="C350" s="86" t="s">
        <v>310</v>
      </c>
      <c r="D350" s="87" t="s">
        <v>333</v>
      </c>
      <c r="E350" s="78"/>
      <c r="F350" s="98"/>
      <c r="G350" s="109" t="s">
        <v>352</v>
      </c>
      <c r="H350" s="86" t="str">
        <f t="shared" si="39"/>
        <v>nee</v>
      </c>
      <c r="I350" s="103"/>
      <c r="J350" s="70"/>
      <c r="K350" s="72"/>
      <c r="L350" s="71"/>
      <c r="M350" s="121">
        <f t="shared" si="40"/>
        <v>0</v>
      </c>
      <c r="Q350" s="105">
        <v>0</v>
      </c>
      <c r="R350" s="273">
        <v>124</v>
      </c>
      <c r="T350" s="115">
        <f t="shared" si="41"/>
        <v>0</v>
      </c>
    </row>
    <row r="351" spans="2:20" ht="13.5" customHeight="1">
      <c r="B351" s="86">
        <f t="shared" si="42"/>
        <v>827</v>
      </c>
      <c r="C351" s="86" t="s">
        <v>311</v>
      </c>
      <c r="D351" s="87" t="s">
        <v>334</v>
      </c>
      <c r="E351" s="78"/>
      <c r="F351" s="98"/>
      <c r="G351" s="109" t="s">
        <v>352</v>
      </c>
      <c r="H351" s="86" t="str">
        <f t="shared" si="39"/>
        <v>nee</v>
      </c>
      <c r="I351" s="103"/>
      <c r="J351" s="70"/>
      <c r="K351" s="72"/>
      <c r="L351" s="71"/>
      <c r="M351" s="121">
        <f t="shared" si="40"/>
        <v>0</v>
      </c>
      <c r="Q351" s="105">
        <v>0</v>
      </c>
      <c r="R351" s="273">
        <v>248</v>
      </c>
      <c r="T351" s="115">
        <f t="shared" si="41"/>
        <v>0</v>
      </c>
    </row>
    <row r="352" spans="2:20" ht="13.5" customHeight="1">
      <c r="B352" s="86">
        <f t="shared" si="42"/>
        <v>828</v>
      </c>
      <c r="C352" s="86" t="s">
        <v>312</v>
      </c>
      <c r="D352" s="87" t="s">
        <v>335</v>
      </c>
      <c r="E352" s="78"/>
      <c r="F352" s="98"/>
      <c r="G352" s="109" t="s">
        <v>352</v>
      </c>
      <c r="H352" s="86" t="str">
        <f t="shared" si="39"/>
        <v>nee</v>
      </c>
      <c r="I352" s="103"/>
      <c r="J352" s="70"/>
      <c r="K352" s="72"/>
      <c r="L352" s="71"/>
      <c r="M352" s="121">
        <f t="shared" si="40"/>
        <v>0</v>
      </c>
      <c r="Q352" s="105">
        <v>0</v>
      </c>
      <c r="R352" s="273">
        <v>89</v>
      </c>
      <c r="T352" s="115">
        <f t="shared" si="41"/>
        <v>0</v>
      </c>
    </row>
    <row r="353" spans="2:20" ht="13.5" customHeight="1">
      <c r="B353" s="86">
        <f t="shared" si="42"/>
        <v>829</v>
      </c>
      <c r="C353" s="86" t="s">
        <v>313</v>
      </c>
      <c r="D353" s="87" t="s">
        <v>336</v>
      </c>
      <c r="E353" s="78"/>
      <c r="F353" s="98"/>
      <c r="G353" s="109" t="s">
        <v>352</v>
      </c>
      <c r="H353" s="86" t="str">
        <f t="shared" si="39"/>
        <v>nee</v>
      </c>
      <c r="I353" s="103"/>
      <c r="J353" s="70"/>
      <c r="K353" s="72"/>
      <c r="L353" s="71"/>
      <c r="M353" s="121">
        <f t="shared" si="40"/>
        <v>0</v>
      </c>
      <c r="Q353" s="105">
        <v>0</v>
      </c>
      <c r="R353" s="273">
        <v>178</v>
      </c>
      <c r="T353" s="115">
        <f t="shared" si="41"/>
        <v>0</v>
      </c>
    </row>
    <row r="354" spans="2:20" ht="13.5" customHeight="1">
      <c r="B354" s="86">
        <f t="shared" si="42"/>
        <v>830</v>
      </c>
      <c r="C354" s="86" t="s">
        <v>314</v>
      </c>
      <c r="D354" s="87" t="s">
        <v>337</v>
      </c>
      <c r="E354" s="78"/>
      <c r="F354" s="98"/>
      <c r="G354" s="109" t="s">
        <v>352</v>
      </c>
      <c r="H354" s="86" t="str">
        <f t="shared" si="39"/>
        <v>nee</v>
      </c>
      <c r="I354" s="103"/>
      <c r="J354" s="70"/>
      <c r="K354" s="72"/>
      <c r="L354" s="71"/>
      <c r="M354" s="121">
        <f t="shared" si="40"/>
        <v>0</v>
      </c>
      <c r="Q354" s="105">
        <v>0</v>
      </c>
      <c r="R354" s="273">
        <v>102</v>
      </c>
      <c r="T354" s="115">
        <f t="shared" si="41"/>
        <v>0</v>
      </c>
    </row>
    <row r="355" spans="2:20" ht="13.5" customHeight="1">
      <c r="B355" s="86">
        <f t="shared" si="42"/>
        <v>831</v>
      </c>
      <c r="C355" s="86" t="s">
        <v>315</v>
      </c>
      <c r="D355" s="87" t="s">
        <v>338</v>
      </c>
      <c r="E355" s="78"/>
      <c r="F355" s="98"/>
      <c r="G355" s="109" t="s">
        <v>352</v>
      </c>
      <c r="H355" s="86" t="str">
        <f t="shared" si="39"/>
        <v>nee</v>
      </c>
      <c r="I355" s="103"/>
      <c r="J355" s="70"/>
      <c r="K355" s="72"/>
      <c r="L355" s="71"/>
      <c r="M355" s="121">
        <f t="shared" si="40"/>
        <v>0</v>
      </c>
      <c r="Q355" s="105">
        <v>0</v>
      </c>
      <c r="R355" s="273">
        <v>204</v>
      </c>
      <c r="T355" s="115">
        <f t="shared" si="41"/>
        <v>0</v>
      </c>
    </row>
    <row r="356" spans="2:20" ht="13.5" customHeight="1">
      <c r="B356" s="86">
        <f t="shared" si="42"/>
        <v>832</v>
      </c>
      <c r="C356" s="86" t="s">
        <v>316</v>
      </c>
      <c r="D356" s="147" t="s">
        <v>85</v>
      </c>
      <c r="E356" s="78"/>
      <c r="F356" s="98"/>
      <c r="G356" s="109" t="s">
        <v>352</v>
      </c>
      <c r="H356" s="86" t="str">
        <f t="shared" si="39"/>
        <v>nee</v>
      </c>
      <c r="I356" s="103"/>
      <c r="J356" s="70"/>
      <c r="K356" s="72"/>
      <c r="L356" s="71"/>
      <c r="M356" s="121">
        <f t="shared" si="40"/>
        <v>0</v>
      </c>
      <c r="Q356" s="105">
        <v>0</v>
      </c>
      <c r="R356" s="273">
        <v>62</v>
      </c>
      <c r="T356" s="115">
        <f t="shared" si="41"/>
        <v>0</v>
      </c>
    </row>
    <row r="357" spans="2:20" ht="13.5" customHeight="1">
      <c r="B357" s="86">
        <f t="shared" si="42"/>
        <v>833</v>
      </c>
      <c r="C357" s="86" t="s">
        <v>317</v>
      </c>
      <c r="D357" s="147" t="s">
        <v>86</v>
      </c>
      <c r="E357" s="78"/>
      <c r="F357" s="98"/>
      <c r="G357" s="109" t="s">
        <v>352</v>
      </c>
      <c r="H357" s="86" t="str">
        <f t="shared" si="39"/>
        <v>nee</v>
      </c>
      <c r="I357" s="103"/>
      <c r="J357" s="70"/>
      <c r="K357" s="72"/>
      <c r="L357" s="71"/>
      <c r="M357" s="121">
        <f t="shared" si="40"/>
        <v>0</v>
      </c>
      <c r="Q357" s="105">
        <v>0</v>
      </c>
      <c r="R357" s="273">
        <v>123</v>
      </c>
      <c r="T357" s="115">
        <f t="shared" si="41"/>
        <v>0</v>
      </c>
    </row>
    <row r="358" spans="2:20" ht="13.5" customHeight="1">
      <c r="B358" s="86">
        <f t="shared" si="42"/>
        <v>834</v>
      </c>
      <c r="C358" s="86" t="s">
        <v>318</v>
      </c>
      <c r="D358" s="147" t="s">
        <v>87</v>
      </c>
      <c r="E358" s="78"/>
      <c r="F358" s="98"/>
      <c r="G358" s="109" t="s">
        <v>352</v>
      </c>
      <c r="H358" s="86" t="str">
        <f t="shared" si="39"/>
        <v>nee</v>
      </c>
      <c r="I358" s="103"/>
      <c r="J358" s="70"/>
      <c r="K358" s="72"/>
      <c r="L358" s="71"/>
      <c r="M358" s="121">
        <f t="shared" si="40"/>
        <v>0</v>
      </c>
      <c r="Q358" s="105">
        <v>0</v>
      </c>
      <c r="R358" s="273">
        <v>78</v>
      </c>
      <c r="T358" s="115">
        <f t="shared" si="41"/>
        <v>0</v>
      </c>
    </row>
    <row r="359" spans="2:20" ht="13.5" customHeight="1">
      <c r="B359" s="86">
        <f t="shared" si="42"/>
        <v>835</v>
      </c>
      <c r="C359" s="86" t="s">
        <v>319</v>
      </c>
      <c r="D359" s="147" t="s">
        <v>88</v>
      </c>
      <c r="E359" s="78"/>
      <c r="F359" s="98"/>
      <c r="G359" s="109" t="s">
        <v>352</v>
      </c>
      <c r="H359" s="86" t="str">
        <f t="shared" si="39"/>
        <v>nee</v>
      </c>
      <c r="I359" s="103"/>
      <c r="J359" s="70"/>
      <c r="K359" s="72"/>
      <c r="L359" s="71"/>
      <c r="M359" s="121">
        <f t="shared" si="40"/>
        <v>0</v>
      </c>
      <c r="Q359" s="106">
        <v>0</v>
      </c>
      <c r="R359" s="269">
        <v>155</v>
      </c>
      <c r="T359" s="117">
        <f t="shared" si="41"/>
        <v>0</v>
      </c>
    </row>
    <row r="360" spans="2:20" ht="13.5" customHeight="1">
      <c r="B360" s="138"/>
      <c r="C360" s="138"/>
      <c r="D360" s="198"/>
      <c r="E360" s="34"/>
      <c r="F360" s="34"/>
      <c r="G360" s="285"/>
      <c r="H360" s="138"/>
      <c r="I360" s="286"/>
      <c r="J360" s="287"/>
      <c r="K360" s="288"/>
      <c r="L360" s="289"/>
      <c r="M360" s="205"/>
      <c r="Q360" s="183"/>
      <c r="R360" s="277"/>
      <c r="T360" s="267"/>
    </row>
    <row r="361" spans="1:18" ht="18" customHeight="1">
      <c r="A361" s="74" t="s">
        <v>207</v>
      </c>
      <c r="B361" s="73"/>
      <c r="I361" s="184"/>
      <c r="J361" s="41"/>
      <c r="K361" s="184"/>
      <c r="R361" s="270"/>
    </row>
    <row r="362" spans="2:18" ht="18" customHeight="1">
      <c r="B362" s="75" t="str">
        <f>$B$2</f>
        <v>Budget 2006 AWBZ-instellingen sector V&amp;V</v>
      </c>
      <c r="C362" s="75"/>
      <c r="D362" s="75"/>
      <c r="E362" s="89"/>
      <c r="F362" s="123" t="str">
        <f>$F$2</f>
        <v>650 / </v>
      </c>
      <c r="G362" s="75"/>
      <c r="H362" s="76"/>
      <c r="I362" s="75"/>
      <c r="J362" s="76" t="str">
        <f>$J$2</f>
        <v>versie: 29-08-2006</v>
      </c>
      <c r="K362" s="76"/>
      <c r="L362" s="78"/>
      <c r="M362" s="79">
        <f>M316+1</f>
        <v>9</v>
      </c>
      <c r="R362" s="270"/>
    </row>
    <row r="363" ht="12.75">
      <c r="R363" s="270"/>
    </row>
    <row r="364" ht="13.5" customHeight="1">
      <c r="R364" s="270"/>
    </row>
    <row r="365" spans="7:18" ht="13.5" customHeight="1">
      <c r="G365" s="133"/>
      <c r="H365" s="91" t="s">
        <v>188</v>
      </c>
      <c r="I365" s="99" t="s">
        <v>189</v>
      </c>
      <c r="J365" s="91" t="s">
        <v>176</v>
      </c>
      <c r="K365" s="99" t="s">
        <v>190</v>
      </c>
      <c r="L365" s="91" t="s">
        <v>178</v>
      </c>
      <c r="M365" s="91" t="s">
        <v>180</v>
      </c>
      <c r="R365" s="270"/>
    </row>
    <row r="366" spans="2:18" ht="13.5" customHeight="1">
      <c r="B366" s="148" t="s">
        <v>24</v>
      </c>
      <c r="G366" s="92" t="s">
        <v>155</v>
      </c>
      <c r="H366" s="92" t="s">
        <v>175</v>
      </c>
      <c r="I366" s="102" t="s">
        <v>182</v>
      </c>
      <c r="J366" s="92" t="s">
        <v>177</v>
      </c>
      <c r="K366" s="102" t="s">
        <v>179</v>
      </c>
      <c r="L366" s="92" t="s">
        <v>179</v>
      </c>
      <c r="M366" s="92" t="s">
        <v>181</v>
      </c>
      <c r="R366" s="270"/>
    </row>
    <row r="367" spans="2:20" ht="13.5" customHeight="1">
      <c r="B367" s="86">
        <f>M362*100+1</f>
        <v>901</v>
      </c>
      <c r="C367" s="86" t="s">
        <v>320</v>
      </c>
      <c r="D367" s="87" t="s">
        <v>339</v>
      </c>
      <c r="E367" s="78"/>
      <c r="F367" s="98"/>
      <c r="G367" s="109" t="s">
        <v>352</v>
      </c>
      <c r="H367" s="86" t="str">
        <f aca="true" t="shared" si="43" ref="H367:H375">IF($G$40="ja","ja","nee")</f>
        <v>nee</v>
      </c>
      <c r="I367" s="103"/>
      <c r="J367" s="70"/>
      <c r="K367" s="72"/>
      <c r="L367" s="71"/>
      <c r="M367" s="121">
        <f aca="true" t="shared" si="44" ref="M367:M375">IF(H367="ja",ROUND(J367*L367,0),0)</f>
        <v>0</v>
      </c>
      <c r="Q367" s="104">
        <v>0</v>
      </c>
      <c r="R367" s="268">
        <v>70</v>
      </c>
      <c r="T367" s="113">
        <f aca="true" t="shared" si="45" ref="T367:T375">IF(M367&gt;0,J367,0)</f>
        <v>0</v>
      </c>
    </row>
    <row r="368" spans="2:20" ht="13.5" customHeight="1">
      <c r="B368" s="86">
        <f aca="true" t="shared" si="46" ref="B368:B376">B367+1</f>
        <v>902</v>
      </c>
      <c r="C368" s="86" t="s">
        <v>321</v>
      </c>
      <c r="D368" s="87" t="s">
        <v>483</v>
      </c>
      <c r="E368" s="78"/>
      <c r="F368" s="98"/>
      <c r="G368" s="109" t="s">
        <v>352</v>
      </c>
      <c r="H368" s="86" t="str">
        <f t="shared" si="43"/>
        <v>nee</v>
      </c>
      <c r="I368" s="103"/>
      <c r="J368" s="70"/>
      <c r="K368" s="72"/>
      <c r="L368" s="71"/>
      <c r="M368" s="121">
        <f t="shared" si="44"/>
        <v>0</v>
      </c>
      <c r="Q368" s="105">
        <v>0</v>
      </c>
      <c r="R368" s="273">
        <v>139</v>
      </c>
      <c r="T368" s="115">
        <f t="shared" si="45"/>
        <v>0</v>
      </c>
    </row>
    <row r="369" spans="2:20" ht="13.5" customHeight="1">
      <c r="B369" s="86">
        <f t="shared" si="46"/>
        <v>903</v>
      </c>
      <c r="C369" s="86" t="s">
        <v>322</v>
      </c>
      <c r="D369" s="87" t="s">
        <v>350</v>
      </c>
      <c r="E369" s="78"/>
      <c r="F369" s="98"/>
      <c r="G369" s="109" t="s">
        <v>352</v>
      </c>
      <c r="H369" s="86" t="str">
        <f t="shared" si="43"/>
        <v>nee</v>
      </c>
      <c r="I369" s="103"/>
      <c r="J369" s="70"/>
      <c r="K369" s="72"/>
      <c r="L369" s="71"/>
      <c r="M369" s="121">
        <f t="shared" si="44"/>
        <v>0</v>
      </c>
      <c r="Q369" s="105">
        <v>0</v>
      </c>
      <c r="R369" s="273">
        <v>88</v>
      </c>
      <c r="T369" s="115">
        <f t="shared" si="45"/>
        <v>0</v>
      </c>
    </row>
    <row r="370" spans="2:20" ht="13.5" customHeight="1">
      <c r="B370" s="86">
        <f t="shared" si="46"/>
        <v>904</v>
      </c>
      <c r="C370" s="86" t="s">
        <v>323</v>
      </c>
      <c r="D370" s="87" t="s">
        <v>351</v>
      </c>
      <c r="E370" s="78"/>
      <c r="F370" s="98"/>
      <c r="G370" s="109" t="s">
        <v>352</v>
      </c>
      <c r="H370" s="86" t="str">
        <f t="shared" si="43"/>
        <v>nee</v>
      </c>
      <c r="I370" s="103"/>
      <c r="J370" s="70"/>
      <c r="K370" s="72"/>
      <c r="L370" s="71"/>
      <c r="M370" s="121">
        <f t="shared" si="44"/>
        <v>0</v>
      </c>
      <c r="Q370" s="105">
        <v>0</v>
      </c>
      <c r="R370" s="273">
        <v>175</v>
      </c>
      <c r="T370" s="115">
        <f t="shared" si="45"/>
        <v>0</v>
      </c>
    </row>
    <row r="371" spans="2:20" ht="13.5" customHeight="1">
      <c r="B371" s="86">
        <f t="shared" si="46"/>
        <v>905</v>
      </c>
      <c r="C371" s="86" t="s">
        <v>324</v>
      </c>
      <c r="D371" s="87" t="s">
        <v>340</v>
      </c>
      <c r="E371" s="78"/>
      <c r="F371" s="98"/>
      <c r="G371" s="109" t="s">
        <v>352</v>
      </c>
      <c r="H371" s="86" t="str">
        <f t="shared" si="43"/>
        <v>nee</v>
      </c>
      <c r="I371" s="103"/>
      <c r="J371" s="70"/>
      <c r="K371" s="72"/>
      <c r="L371" s="71"/>
      <c r="M371" s="121">
        <f t="shared" si="44"/>
        <v>0</v>
      </c>
      <c r="Q371" s="105">
        <v>0</v>
      </c>
      <c r="R371" s="273">
        <v>35</v>
      </c>
      <c r="T371" s="115">
        <f t="shared" si="45"/>
        <v>0</v>
      </c>
    </row>
    <row r="372" spans="2:20" ht="13.5" customHeight="1">
      <c r="B372" s="86">
        <f t="shared" si="46"/>
        <v>906</v>
      </c>
      <c r="C372" s="86" t="s">
        <v>325</v>
      </c>
      <c r="D372" s="87" t="s">
        <v>341</v>
      </c>
      <c r="E372" s="78"/>
      <c r="F372" s="98"/>
      <c r="G372" s="109" t="s">
        <v>352</v>
      </c>
      <c r="H372" s="86" t="str">
        <f t="shared" si="43"/>
        <v>nee</v>
      </c>
      <c r="I372" s="103"/>
      <c r="J372" s="70"/>
      <c r="K372" s="72"/>
      <c r="L372" s="71"/>
      <c r="M372" s="121">
        <f t="shared" si="44"/>
        <v>0</v>
      </c>
      <c r="Q372" s="105">
        <v>0</v>
      </c>
      <c r="R372" s="273">
        <v>69</v>
      </c>
      <c r="T372" s="115">
        <f t="shared" si="45"/>
        <v>0</v>
      </c>
    </row>
    <row r="373" spans="2:20" ht="13.5" customHeight="1">
      <c r="B373" s="86">
        <f t="shared" si="46"/>
        <v>907</v>
      </c>
      <c r="C373" s="86" t="s">
        <v>326</v>
      </c>
      <c r="D373" s="87" t="s">
        <v>347</v>
      </c>
      <c r="E373" s="78"/>
      <c r="F373" s="98"/>
      <c r="G373" s="109" t="s">
        <v>352</v>
      </c>
      <c r="H373" s="86" t="str">
        <f t="shared" si="43"/>
        <v>nee</v>
      </c>
      <c r="I373" s="103"/>
      <c r="J373" s="70"/>
      <c r="K373" s="72"/>
      <c r="L373" s="71"/>
      <c r="M373" s="121">
        <f t="shared" si="44"/>
        <v>0</v>
      </c>
      <c r="Q373" s="105">
        <v>0</v>
      </c>
      <c r="R373" s="273">
        <v>49</v>
      </c>
      <c r="T373" s="115">
        <f t="shared" si="45"/>
        <v>0</v>
      </c>
    </row>
    <row r="374" spans="2:20" ht="13.5" customHeight="1">
      <c r="B374" s="86">
        <f t="shared" si="46"/>
        <v>908</v>
      </c>
      <c r="C374" s="86" t="s">
        <v>327</v>
      </c>
      <c r="D374" s="87" t="s">
        <v>348</v>
      </c>
      <c r="E374" s="78"/>
      <c r="F374" s="98"/>
      <c r="G374" s="109" t="s">
        <v>352</v>
      </c>
      <c r="H374" s="86" t="str">
        <f t="shared" si="43"/>
        <v>nee</v>
      </c>
      <c r="I374" s="103"/>
      <c r="J374" s="70"/>
      <c r="K374" s="72"/>
      <c r="L374" s="71"/>
      <c r="M374" s="121">
        <f t="shared" si="44"/>
        <v>0</v>
      </c>
      <c r="Q374" s="105">
        <v>0</v>
      </c>
      <c r="R374" s="273">
        <v>97</v>
      </c>
      <c r="T374" s="115">
        <f t="shared" si="45"/>
        <v>0</v>
      </c>
    </row>
    <row r="375" spans="2:20" ht="13.5" customHeight="1" thickBot="1">
      <c r="B375" s="86">
        <f t="shared" si="46"/>
        <v>909</v>
      </c>
      <c r="C375" s="86" t="s">
        <v>328</v>
      </c>
      <c r="D375" s="87" t="s">
        <v>349</v>
      </c>
      <c r="E375" s="78"/>
      <c r="F375" s="98"/>
      <c r="G375" s="109" t="s">
        <v>352</v>
      </c>
      <c r="H375" s="86" t="str">
        <f t="shared" si="43"/>
        <v>nee</v>
      </c>
      <c r="I375" s="103"/>
      <c r="J375" s="70"/>
      <c r="K375" s="72"/>
      <c r="L375" s="71"/>
      <c r="M375" s="121">
        <f t="shared" si="44"/>
        <v>0</v>
      </c>
      <c r="Q375" s="106">
        <v>0</v>
      </c>
      <c r="R375" s="269">
        <v>193</v>
      </c>
      <c r="T375" s="117">
        <f t="shared" si="45"/>
        <v>0</v>
      </c>
    </row>
    <row r="376" spans="2:18" ht="13.5" customHeight="1" thickBot="1">
      <c r="B376" s="83">
        <f t="shared" si="46"/>
        <v>910</v>
      </c>
      <c r="C376" s="64" t="s">
        <v>452</v>
      </c>
      <c r="D376" s="78"/>
      <c r="E376" s="78"/>
      <c r="F376" s="78"/>
      <c r="G376" s="78"/>
      <c r="H376" s="78"/>
      <c r="I376" s="78"/>
      <c r="J376" s="78"/>
      <c r="K376" s="78"/>
      <c r="L376" s="78"/>
      <c r="M376" s="122">
        <f>SUM(M346:M359)+SUM(M367:M375)</f>
        <v>0</v>
      </c>
      <c r="R376" s="270"/>
    </row>
    <row r="377" spans="13:18" ht="13.5" customHeight="1">
      <c r="M377" s="41"/>
      <c r="R377" s="270"/>
    </row>
    <row r="378" spans="2:18" ht="13.5" customHeight="1">
      <c r="B378" s="90" t="s">
        <v>25</v>
      </c>
      <c r="M378" s="41"/>
      <c r="R378" s="270"/>
    </row>
    <row r="379" spans="2:18" ht="13.5" customHeight="1">
      <c r="B379" s="86">
        <f>B376+1</f>
        <v>911</v>
      </c>
      <c r="C379" s="62" t="s">
        <v>353</v>
      </c>
      <c r="D379" s="149" t="s">
        <v>357</v>
      </c>
      <c r="E379" s="78"/>
      <c r="F379" s="98"/>
      <c r="G379" s="109" t="s">
        <v>212</v>
      </c>
      <c r="H379" s="86" t="str">
        <f>IF($G$39="ja","ja","nee")</f>
        <v>nee</v>
      </c>
      <c r="I379" s="103"/>
      <c r="J379" s="70"/>
      <c r="K379" s="72"/>
      <c r="L379" s="71"/>
      <c r="M379" s="121">
        <f>IF(H379="ja",ROUND(J379*L379,0),0)</f>
        <v>0</v>
      </c>
      <c r="Q379" s="104">
        <v>0</v>
      </c>
      <c r="R379" s="271">
        <v>132.7</v>
      </c>
    </row>
    <row r="380" spans="2:18" ht="13.5" customHeight="1">
      <c r="B380" s="86">
        <f>B379+1</f>
        <v>912</v>
      </c>
      <c r="C380" s="86" t="s">
        <v>354</v>
      </c>
      <c r="D380" s="87" t="s">
        <v>356</v>
      </c>
      <c r="E380" s="78"/>
      <c r="F380" s="98"/>
      <c r="G380" s="109" t="s">
        <v>352</v>
      </c>
      <c r="H380" s="86" t="str">
        <f>IF($G$39="ja","ja","nee")</f>
        <v>nee</v>
      </c>
      <c r="I380" s="103"/>
      <c r="J380" s="70"/>
      <c r="K380" s="72"/>
      <c r="L380" s="71"/>
      <c r="M380" s="121">
        <f>IF(H380="ja",ROUND(J380*L380,0),0)</f>
        <v>0</v>
      </c>
      <c r="Q380" s="105">
        <v>0</v>
      </c>
      <c r="R380" s="273">
        <v>152.1</v>
      </c>
    </row>
    <row r="381" spans="2:18" ht="13.5" customHeight="1">
      <c r="B381" s="86">
        <f>B380+1</f>
        <v>913</v>
      </c>
      <c r="C381" s="86" t="s">
        <v>355</v>
      </c>
      <c r="D381" s="87" t="s">
        <v>358</v>
      </c>
      <c r="E381" s="78"/>
      <c r="F381" s="98"/>
      <c r="G381" s="109" t="s">
        <v>212</v>
      </c>
      <c r="H381" s="86" t="str">
        <f>IF($G$38="ja","ja","nee")</f>
        <v>nee</v>
      </c>
      <c r="I381" s="103"/>
      <c r="J381" s="70"/>
      <c r="K381" s="72"/>
      <c r="L381" s="71"/>
      <c r="M381" s="121">
        <f>IF(H381="ja",ROUND(J381*L381,0),0)</f>
        <v>0</v>
      </c>
      <c r="Q381" s="105">
        <v>0</v>
      </c>
      <c r="R381" s="273">
        <v>80</v>
      </c>
    </row>
    <row r="382" spans="2:20" ht="13.5" customHeight="1" thickBot="1">
      <c r="B382" s="86">
        <f>B381+1</f>
        <v>914</v>
      </c>
      <c r="C382" s="86" t="s">
        <v>374</v>
      </c>
      <c r="D382" s="87" t="s">
        <v>359</v>
      </c>
      <c r="E382" s="78"/>
      <c r="F382" s="98"/>
      <c r="G382" s="109" t="s">
        <v>212</v>
      </c>
      <c r="H382" s="86" t="str">
        <f>IF(OR($G$38="ja",$G$39="ja"),"ja","nee")</f>
        <v>nee</v>
      </c>
      <c r="I382" s="103"/>
      <c r="J382" s="70"/>
      <c r="K382" s="72"/>
      <c r="L382" s="71"/>
      <c r="M382" s="121">
        <f>IF(H382="ja",ROUND(J382*L382,0),0)</f>
        <v>0</v>
      </c>
      <c r="Q382" s="106">
        <v>0</v>
      </c>
      <c r="R382" s="269">
        <v>8.2</v>
      </c>
      <c r="T382" s="65">
        <f>IF(M382&gt;0,J382,0)</f>
        <v>0</v>
      </c>
    </row>
    <row r="383" spans="2:18" ht="13.5" customHeight="1" thickBot="1">
      <c r="B383" s="83">
        <f>B382+1</f>
        <v>915</v>
      </c>
      <c r="C383" s="64" t="s">
        <v>495</v>
      </c>
      <c r="D383" s="78"/>
      <c r="E383" s="78"/>
      <c r="F383" s="78"/>
      <c r="G383" s="78"/>
      <c r="H383" s="78"/>
      <c r="I383" s="78"/>
      <c r="J383" s="78"/>
      <c r="K383" s="78"/>
      <c r="L383" s="78"/>
      <c r="M383" s="122">
        <f>SUM(M379:M382)</f>
        <v>0</v>
      </c>
      <c r="R383" s="270"/>
    </row>
    <row r="384" spans="13:18" ht="13.5" customHeight="1">
      <c r="M384" s="41"/>
      <c r="R384" s="270"/>
    </row>
    <row r="385" spans="2:20" ht="13.5" customHeight="1">
      <c r="B385" s="90" t="s">
        <v>26</v>
      </c>
      <c r="R385" s="270"/>
      <c r="S385" s="190" t="s">
        <v>457</v>
      </c>
      <c r="T385" s="190" t="s">
        <v>456</v>
      </c>
    </row>
    <row r="386" spans="2:20" ht="13.5" customHeight="1">
      <c r="B386" s="86">
        <f>B383+1</f>
        <v>916</v>
      </c>
      <c r="C386" s="86" t="s">
        <v>360</v>
      </c>
      <c r="D386" s="87" t="s">
        <v>368</v>
      </c>
      <c r="E386" s="78"/>
      <c r="F386" s="98"/>
      <c r="G386" s="109" t="s">
        <v>373</v>
      </c>
      <c r="H386" s="86" t="str">
        <f>IF(OR(M242=0,M242=""),"nee","ja")</f>
        <v>nee</v>
      </c>
      <c r="I386" s="103"/>
      <c r="J386" s="70"/>
      <c r="K386" s="72"/>
      <c r="L386" s="71"/>
      <c r="M386" s="121">
        <f aca="true" t="shared" si="47" ref="M386:M393">IF(H386="ja",ROUND(J386*L386,0),0)</f>
        <v>0</v>
      </c>
      <c r="Q386" s="104">
        <v>0</v>
      </c>
      <c r="R386" s="271">
        <v>10.5</v>
      </c>
      <c r="S386" s="112">
        <v>0</v>
      </c>
      <c r="T386" s="113">
        <f>T242</f>
        <v>0</v>
      </c>
    </row>
    <row r="387" spans="2:20" ht="13.5" customHeight="1">
      <c r="B387" s="86">
        <f aca="true" t="shared" si="48" ref="B387:B393">B386+1</f>
        <v>917</v>
      </c>
      <c r="C387" s="86" t="s">
        <v>361</v>
      </c>
      <c r="D387" s="87" t="s">
        <v>369</v>
      </c>
      <c r="E387" s="78"/>
      <c r="F387" s="98"/>
      <c r="G387" s="109" t="s">
        <v>373</v>
      </c>
      <c r="H387" s="86" t="str">
        <f>IF(OR(M243=0,M243=""),"nee","ja")</f>
        <v>nee</v>
      </c>
      <c r="I387" s="103"/>
      <c r="J387" s="70"/>
      <c r="K387" s="72"/>
      <c r="L387" s="71"/>
      <c r="M387" s="121">
        <f t="shared" si="47"/>
        <v>0</v>
      </c>
      <c r="Q387" s="105">
        <v>0</v>
      </c>
      <c r="R387" s="273">
        <v>17.6</v>
      </c>
      <c r="S387" s="114">
        <v>0</v>
      </c>
      <c r="T387" s="115">
        <f>T243</f>
        <v>0</v>
      </c>
    </row>
    <row r="388" spans="2:20" ht="13.5" customHeight="1">
      <c r="B388" s="86">
        <f t="shared" si="48"/>
        <v>918</v>
      </c>
      <c r="C388" s="86" t="s">
        <v>362</v>
      </c>
      <c r="D388" s="87" t="s">
        <v>370</v>
      </c>
      <c r="E388" s="78"/>
      <c r="F388" s="98"/>
      <c r="G388" s="109" t="s">
        <v>373</v>
      </c>
      <c r="H388" s="86" t="str">
        <f>IF(OR(M244=0,M244=""),"nee","ja")</f>
        <v>nee</v>
      </c>
      <c r="I388" s="103"/>
      <c r="J388" s="70"/>
      <c r="K388" s="72"/>
      <c r="L388" s="71"/>
      <c r="M388" s="121">
        <f t="shared" si="47"/>
        <v>0</v>
      </c>
      <c r="Q388" s="105">
        <v>0</v>
      </c>
      <c r="R388" s="273">
        <v>10.1</v>
      </c>
      <c r="S388" s="114">
        <v>0</v>
      </c>
      <c r="T388" s="115">
        <f>T244</f>
        <v>0</v>
      </c>
    </row>
    <row r="389" spans="2:20" ht="13.5" customHeight="1">
      <c r="B389" s="86">
        <f t="shared" si="48"/>
        <v>919</v>
      </c>
      <c r="C389" s="86" t="s">
        <v>66</v>
      </c>
      <c r="D389" s="147" t="s">
        <v>534</v>
      </c>
      <c r="E389" s="78"/>
      <c r="F389" s="98"/>
      <c r="G389" s="109" t="s">
        <v>373</v>
      </c>
      <c r="H389" s="86" t="str">
        <f>IF(OR(SUM(M246:M247)=0,SUM(M246:M247)=""),"nee","ja")</f>
        <v>nee</v>
      </c>
      <c r="I389" s="103"/>
      <c r="J389" s="70"/>
      <c r="K389" s="72"/>
      <c r="L389" s="71"/>
      <c r="M389" s="121">
        <f t="shared" si="47"/>
        <v>0</v>
      </c>
      <c r="Q389" s="105">
        <v>0</v>
      </c>
      <c r="R389" s="273">
        <v>21.6</v>
      </c>
      <c r="S389" s="114">
        <v>0</v>
      </c>
      <c r="T389" s="115">
        <f>T246+T247</f>
        <v>0</v>
      </c>
    </row>
    <row r="390" spans="2:20" ht="13.5" customHeight="1">
      <c r="B390" s="86">
        <f t="shared" si="48"/>
        <v>920</v>
      </c>
      <c r="C390" s="86" t="s">
        <v>363</v>
      </c>
      <c r="D390" s="87" t="s">
        <v>371</v>
      </c>
      <c r="E390" s="78"/>
      <c r="F390" s="98"/>
      <c r="G390" s="109" t="s">
        <v>373</v>
      </c>
      <c r="H390" s="86" t="str">
        <f>IF(OR(M241=0,M241=""),"nee","ja")</f>
        <v>nee</v>
      </c>
      <c r="I390" s="103"/>
      <c r="J390" s="70"/>
      <c r="K390" s="72"/>
      <c r="L390" s="71"/>
      <c r="M390" s="121">
        <f t="shared" si="47"/>
        <v>0</v>
      </c>
      <c r="Q390" s="105">
        <v>0</v>
      </c>
      <c r="R390" s="273">
        <v>18.7</v>
      </c>
      <c r="S390" s="114">
        <v>0</v>
      </c>
      <c r="T390" s="115">
        <f>T241</f>
        <v>0</v>
      </c>
    </row>
    <row r="391" spans="2:20" ht="13.5" customHeight="1">
      <c r="B391" s="86">
        <f t="shared" si="48"/>
        <v>921</v>
      </c>
      <c r="C391" s="86" t="s">
        <v>366</v>
      </c>
      <c r="D391" s="147" t="s">
        <v>69</v>
      </c>
      <c r="E391" s="78"/>
      <c r="F391" s="98"/>
      <c r="G391" s="109" t="s">
        <v>373</v>
      </c>
      <c r="H391" s="109" t="str">
        <f>IF(OR(M248=0,M248=""),"nee","ja")</f>
        <v>nee</v>
      </c>
      <c r="I391" s="103"/>
      <c r="J391" s="70"/>
      <c r="K391" s="72"/>
      <c r="L391" s="71"/>
      <c r="M391" s="121">
        <f>IF(H391="ja",ROUND(J391*L391,0),0)</f>
        <v>0</v>
      </c>
      <c r="Q391" s="105">
        <v>0</v>
      </c>
      <c r="R391" s="273">
        <v>10.1</v>
      </c>
      <c r="S391" s="114">
        <v>0</v>
      </c>
      <c r="T391" s="115">
        <f>T248</f>
        <v>0</v>
      </c>
    </row>
    <row r="392" spans="2:21" ht="13.5" customHeight="1">
      <c r="B392" s="86">
        <f t="shared" si="48"/>
        <v>922</v>
      </c>
      <c r="C392" s="86" t="s">
        <v>364</v>
      </c>
      <c r="D392" s="87" t="s">
        <v>367</v>
      </c>
      <c r="E392" s="78"/>
      <c r="F392" s="98"/>
      <c r="G392" s="109" t="s">
        <v>373</v>
      </c>
      <c r="H392" s="86" t="str">
        <f>IF(OR(SUM(M238:M240)=0,SUM(M238:M240)=""),"nee","ja")</f>
        <v>nee</v>
      </c>
      <c r="I392" s="103"/>
      <c r="J392" s="70"/>
      <c r="K392" s="72"/>
      <c r="L392" s="71"/>
      <c r="M392" s="121">
        <f t="shared" si="47"/>
        <v>0</v>
      </c>
      <c r="Q392" s="105">
        <v>0</v>
      </c>
      <c r="R392" s="273">
        <v>14.5</v>
      </c>
      <c r="S392" s="114">
        <v>0</v>
      </c>
      <c r="T392" s="115">
        <f>SUM(T238:T240)</f>
        <v>0</v>
      </c>
      <c r="U392" s="192"/>
    </row>
    <row r="393" spans="2:20" ht="13.5" customHeight="1" thickBot="1">
      <c r="B393" s="86">
        <f t="shared" si="48"/>
        <v>923</v>
      </c>
      <c r="C393" s="86" t="s">
        <v>365</v>
      </c>
      <c r="D393" s="149" t="s">
        <v>376</v>
      </c>
      <c r="E393" s="78"/>
      <c r="F393" s="98"/>
      <c r="G393" s="109" t="s">
        <v>373</v>
      </c>
      <c r="H393" s="109" t="str">
        <f>IF(OR(SUM(M346:M359)+SUM(M367:M375)+M382=0,SUM(M346:M359)+SUM(M367:M375)+M382=""),"nee","ja")</f>
        <v>nee</v>
      </c>
      <c r="I393" s="103"/>
      <c r="J393" s="70"/>
      <c r="K393" s="72"/>
      <c r="L393" s="71"/>
      <c r="M393" s="121">
        <f t="shared" si="47"/>
        <v>0</v>
      </c>
      <c r="Q393" s="106">
        <v>0</v>
      </c>
      <c r="R393" s="269">
        <v>14.6</v>
      </c>
      <c r="S393" s="116">
        <v>0</v>
      </c>
      <c r="T393" s="117">
        <f>SUM(T346:T359)+SUM(T367:T375)+T382</f>
        <v>0</v>
      </c>
    </row>
    <row r="394" spans="2:18" ht="13.5" customHeight="1" thickBot="1">
      <c r="B394" s="83">
        <f>B393+1</f>
        <v>924</v>
      </c>
      <c r="C394" s="64" t="s">
        <v>380</v>
      </c>
      <c r="D394" s="78"/>
      <c r="E394" s="78"/>
      <c r="F394" s="78"/>
      <c r="G394" s="78"/>
      <c r="H394" s="78"/>
      <c r="I394" s="78"/>
      <c r="J394" s="78"/>
      <c r="K394" s="78"/>
      <c r="L394" s="78"/>
      <c r="M394" s="122">
        <f>SUM(M386:M393)</f>
        <v>0</v>
      </c>
      <c r="R394" s="270"/>
    </row>
    <row r="395" spans="13:18" ht="13.5" customHeight="1">
      <c r="M395" s="41"/>
      <c r="R395" s="270"/>
    </row>
    <row r="396" spans="2:18" ht="13.5" customHeight="1" thickBot="1">
      <c r="B396" s="90" t="s">
        <v>27</v>
      </c>
      <c r="M396" s="41"/>
      <c r="R396" s="270"/>
    </row>
    <row r="397" spans="2:20" ht="13.5" customHeight="1" thickBot="1">
      <c r="B397" s="86">
        <f>B394+1</f>
        <v>925</v>
      </c>
      <c r="C397" s="86" t="s">
        <v>372</v>
      </c>
      <c r="D397" s="147" t="s">
        <v>70</v>
      </c>
      <c r="E397" s="78"/>
      <c r="F397" s="98"/>
      <c r="G397" s="109" t="s">
        <v>286</v>
      </c>
      <c r="H397" s="109" t="str">
        <f>IF(OR(SUM(M221:M227)=0,SUM(M221:M227)=""),"nee","ja")</f>
        <v>nee</v>
      </c>
      <c r="I397" s="103"/>
      <c r="J397" s="70"/>
      <c r="K397" s="72"/>
      <c r="L397" s="71"/>
      <c r="M397" s="122">
        <f>IF(H397="ja",ROUND(J397*L397,0),0)</f>
        <v>0</v>
      </c>
      <c r="Q397" s="97">
        <v>0</v>
      </c>
      <c r="R397" s="275">
        <v>21.9</v>
      </c>
      <c r="S397" s="340"/>
      <c r="T397" s="267"/>
    </row>
    <row r="398" ht="13.5" customHeight="1" thickBot="1">
      <c r="M398" s="41"/>
    </row>
    <row r="399" spans="2:13" ht="13.5" customHeight="1" thickBot="1">
      <c r="B399" s="83">
        <f>B397+1</f>
        <v>926</v>
      </c>
      <c r="C399" s="84" t="str">
        <f>"Totaal prestaties extramurale zorg (regel "&amp;B229&amp;"+"&amp;B249&amp;"+"&amp;B267&amp;"+"&amp;B286&amp;"+"&amp;B300&amp;"+"&amp;B314&amp;"+"&amp;B332&amp;"+"&amp;B343&amp;"+"&amp;B376&amp;"+"&amp;B383&amp;"+"&amp;B394&amp;"+"&amp;B397&amp;")"</f>
        <v>Totaal prestaties extramurale zorg (regel 525+612+621+712+724+736+812+821+910+915+924+925)</v>
      </c>
      <c r="D399" s="78"/>
      <c r="E399" s="78"/>
      <c r="F399" s="78"/>
      <c r="G399" s="78"/>
      <c r="H399" s="78"/>
      <c r="I399" s="78"/>
      <c r="J399" s="78"/>
      <c r="K399" s="78"/>
      <c r="L399" s="78"/>
      <c r="M399" s="122">
        <f>M229+M249+M267+M286+M300+M314+M332+M343+M376+M383+M394+M397</f>
        <v>0</v>
      </c>
    </row>
    <row r="400" ht="13.5" customHeight="1">
      <c r="M400" s="41"/>
    </row>
    <row r="401" ht="13.5" customHeight="1"/>
    <row r="402" spans="1:2" ht="18" customHeight="1">
      <c r="A402" s="74" t="s">
        <v>207</v>
      </c>
      <c r="B402" s="73"/>
    </row>
    <row r="403" spans="2:13" ht="18" customHeight="1">
      <c r="B403" s="75" t="str">
        <f>$B$2</f>
        <v>Budget 2006 AWBZ-instellingen sector V&amp;V</v>
      </c>
      <c r="C403" s="75"/>
      <c r="D403" s="75"/>
      <c r="E403" s="89"/>
      <c r="F403" s="123" t="str">
        <f>$F$2</f>
        <v>650 / </v>
      </c>
      <c r="G403" s="75"/>
      <c r="H403" s="76"/>
      <c r="I403" s="75"/>
      <c r="J403" s="76" t="str">
        <f>$J$2</f>
        <v>versie: 29-08-2006</v>
      </c>
      <c r="K403" s="78"/>
      <c r="L403" s="78"/>
      <c r="M403" s="79">
        <f>M362+1</f>
        <v>10</v>
      </c>
    </row>
    <row r="404" ht="12.75"/>
    <row r="405" s="124" customFormat="1" ht="16.5" customHeight="1">
      <c r="B405" s="150" t="s">
        <v>71</v>
      </c>
    </row>
    <row r="406" s="124" customFormat="1" ht="13.5" customHeight="1">
      <c r="M406" s="151"/>
    </row>
    <row r="407" spans="2:12" s="124" customFormat="1" ht="13.5" customHeight="1">
      <c r="B407" s="152" t="s">
        <v>381</v>
      </c>
      <c r="C407" s="153"/>
      <c r="D407" s="153"/>
      <c r="E407" s="153"/>
      <c r="F407" s="154"/>
      <c r="G407" s="155" t="s">
        <v>189</v>
      </c>
      <c r="H407" s="156" t="s">
        <v>389</v>
      </c>
      <c r="J407" s="291" t="s">
        <v>37</v>
      </c>
      <c r="L407" s="156" t="s">
        <v>176</v>
      </c>
    </row>
    <row r="408" spans="2:12" s="124" customFormat="1" ht="13.5" customHeight="1">
      <c r="B408" s="157">
        <f>M403*100+1</f>
        <v>1001</v>
      </c>
      <c r="C408" s="135" t="s">
        <v>75</v>
      </c>
      <c r="D408" s="129"/>
      <c r="E408" s="129"/>
      <c r="F408" s="127"/>
      <c r="G408" s="159">
        <f>L67+L75</f>
        <v>0</v>
      </c>
      <c r="H408" s="158">
        <v>25979.92</v>
      </c>
      <c r="J408" s="292">
        <v>1.004</v>
      </c>
      <c r="L408" s="121">
        <f>ROUND(ROUND(H408*J408,2)*G408,0)</f>
        <v>0</v>
      </c>
    </row>
    <row r="409" spans="2:12" s="124" customFormat="1" ht="13.5" customHeight="1">
      <c r="B409" s="157">
        <f aca="true" t="shared" si="49" ref="B409:B424">B408+1</f>
        <v>1002</v>
      </c>
      <c r="C409" s="135" t="s">
        <v>76</v>
      </c>
      <c r="D409" s="129"/>
      <c r="E409" s="129"/>
      <c r="F409" s="127"/>
      <c r="G409" s="159">
        <f>L87</f>
        <v>0</v>
      </c>
      <c r="H409" s="158">
        <v>30581.48</v>
      </c>
      <c r="J409" s="292">
        <v>1.004</v>
      </c>
      <c r="L409" s="121">
        <f aca="true" t="shared" si="50" ref="L409:L423">ROUND(ROUND(H409*J409,2)*G409,0)</f>
        <v>0</v>
      </c>
    </row>
    <row r="410" spans="2:12" s="124" customFormat="1" ht="13.5" customHeight="1">
      <c r="B410" s="157">
        <f t="shared" si="49"/>
        <v>1003</v>
      </c>
      <c r="C410" s="135" t="s">
        <v>78</v>
      </c>
      <c r="D410" s="129"/>
      <c r="E410" s="129"/>
      <c r="F410" s="127"/>
      <c r="G410" s="159">
        <f>M67+M75-G411</f>
        <v>0</v>
      </c>
      <c r="H410" s="158">
        <v>47.3</v>
      </c>
      <c r="J410" s="292">
        <v>1.004</v>
      </c>
      <c r="L410" s="121">
        <f t="shared" si="50"/>
        <v>0</v>
      </c>
    </row>
    <row r="411" spans="2:12" s="124" customFormat="1" ht="13.5" customHeight="1">
      <c r="B411" s="157">
        <f>B410+1</f>
        <v>1004</v>
      </c>
      <c r="C411" s="135" t="s">
        <v>77</v>
      </c>
      <c r="D411" s="129"/>
      <c r="E411" s="129"/>
      <c r="F411" s="127"/>
      <c r="G411" s="159">
        <f>M85</f>
        <v>0</v>
      </c>
      <c r="H411" s="158">
        <v>6.87</v>
      </c>
      <c r="J411" s="292">
        <v>1.004</v>
      </c>
      <c r="L411" s="121">
        <f t="shared" si="50"/>
        <v>0</v>
      </c>
    </row>
    <row r="412" spans="2:12" s="124" customFormat="1" ht="13.5" customHeight="1">
      <c r="B412" s="157">
        <f>B411+1</f>
        <v>1005</v>
      </c>
      <c r="C412" s="135" t="s">
        <v>79</v>
      </c>
      <c r="D412" s="129"/>
      <c r="E412" s="129"/>
      <c r="F412" s="127"/>
      <c r="G412" s="159">
        <f>M87</f>
        <v>0</v>
      </c>
      <c r="H412" s="158">
        <v>56.82</v>
      </c>
      <c r="J412" s="292">
        <v>1.004</v>
      </c>
      <c r="L412" s="121">
        <f t="shared" si="50"/>
        <v>0</v>
      </c>
    </row>
    <row r="413" spans="2:18" s="124" customFormat="1" ht="13.5" customHeight="1">
      <c r="B413" s="157">
        <f t="shared" si="49"/>
        <v>1006</v>
      </c>
      <c r="C413" s="160" t="s">
        <v>471</v>
      </c>
      <c r="D413" s="129"/>
      <c r="E413" s="161" t="s">
        <v>472</v>
      </c>
      <c r="F413" s="283"/>
      <c r="G413" s="159">
        <f>G408+G409</f>
        <v>0</v>
      </c>
      <c r="H413" s="158">
        <f>IF($F$413=1,$R$414,IF($F$413=2,$R$415,IF($F$413=3,$R$416,0)))</f>
        <v>0</v>
      </c>
      <c r="J413" s="292">
        <v>1.004</v>
      </c>
      <c r="L413" s="121">
        <f t="shared" si="50"/>
        <v>0</v>
      </c>
      <c r="Q413" s="180" t="s">
        <v>484</v>
      </c>
      <c r="R413" s="181"/>
    </row>
    <row r="414" spans="2:18" s="124" customFormat="1" ht="13.5" customHeight="1">
      <c r="B414" s="157">
        <f t="shared" si="49"/>
        <v>1007</v>
      </c>
      <c r="C414" s="135" t="s">
        <v>473</v>
      </c>
      <c r="D414" s="129"/>
      <c r="E414" s="129"/>
      <c r="F414" s="283"/>
      <c r="G414" s="159">
        <f>IF(F414="ja",G408+G409,0)</f>
        <v>0</v>
      </c>
      <c r="H414" s="158">
        <v>103.43</v>
      </c>
      <c r="J414" s="292">
        <v>1.004</v>
      </c>
      <c r="L414" s="121">
        <f t="shared" si="50"/>
        <v>0</v>
      </c>
      <c r="Q414" s="162">
        <v>1</v>
      </c>
      <c r="R414" s="281">
        <v>303.81</v>
      </c>
    </row>
    <row r="415" spans="2:18" s="124" customFormat="1" ht="13.5" customHeight="1">
      <c r="B415" s="157">
        <f>B414+1</f>
        <v>1008</v>
      </c>
      <c r="C415" s="135" t="s">
        <v>383</v>
      </c>
      <c r="D415" s="129"/>
      <c r="E415" s="129"/>
      <c r="F415" s="127"/>
      <c r="G415" s="159">
        <f>M167</f>
        <v>0</v>
      </c>
      <c r="H415" s="158">
        <v>782.46</v>
      </c>
      <c r="J415" s="292">
        <v>1.004</v>
      </c>
      <c r="L415" s="121">
        <f t="shared" si="50"/>
        <v>0</v>
      </c>
      <c r="Q415" s="162">
        <v>2</v>
      </c>
      <c r="R415" s="281">
        <v>253.41</v>
      </c>
    </row>
    <row r="416" spans="2:18" s="124" customFormat="1" ht="13.5" customHeight="1">
      <c r="B416" s="157">
        <f t="shared" si="49"/>
        <v>1009</v>
      </c>
      <c r="C416" s="163" t="s">
        <v>475</v>
      </c>
      <c r="D416" s="129"/>
      <c r="E416" s="129"/>
      <c r="F416" s="164">
        <f>M168</f>
        <v>0</v>
      </c>
      <c r="G416" s="124">
        <f>IF(F416&gt;=6,1,0)</f>
        <v>0</v>
      </c>
      <c r="H416" s="189">
        <f>IF(AND(F416&gt;=6,F416&lt;=11),R419,IF(AND(F416&gt;=12,F416&lt;=17),R420,IF(AND(F416&gt;=18,F416&lt;=23),R421,IF(F416&gt;=24,R422,0))))</f>
        <v>0</v>
      </c>
      <c r="J416" s="292">
        <v>1.004</v>
      </c>
      <c r="L416" s="121">
        <f t="shared" si="50"/>
        <v>0</v>
      </c>
      <c r="Q416" s="162">
        <v>3</v>
      </c>
      <c r="R416" s="281">
        <v>203.71</v>
      </c>
    </row>
    <row r="417" spans="2:12" s="124" customFormat="1" ht="13.5" customHeight="1">
      <c r="B417" s="157">
        <f t="shared" si="49"/>
        <v>1010</v>
      </c>
      <c r="C417" s="135" t="s">
        <v>384</v>
      </c>
      <c r="D417" s="129"/>
      <c r="E417" s="129"/>
      <c r="F417" s="127"/>
      <c r="G417" s="284"/>
      <c r="H417" s="158">
        <v>27463.5</v>
      </c>
      <c r="J417" s="292">
        <v>1.004</v>
      </c>
      <c r="L417" s="121">
        <f t="shared" si="50"/>
        <v>0</v>
      </c>
    </row>
    <row r="418" spans="2:18" s="124" customFormat="1" ht="13.5" customHeight="1">
      <c r="B418" s="157">
        <f t="shared" si="49"/>
        <v>1011</v>
      </c>
      <c r="C418" s="135" t="s">
        <v>479</v>
      </c>
      <c r="D418" s="129"/>
      <c r="E418" s="129"/>
      <c r="F418" s="127"/>
      <c r="G418" s="159">
        <f>L110</f>
        <v>0</v>
      </c>
      <c r="H418" s="158">
        <v>10261.28</v>
      </c>
      <c r="J418" s="292">
        <v>1.004</v>
      </c>
      <c r="L418" s="121">
        <f t="shared" si="50"/>
        <v>0</v>
      </c>
      <c r="Q418" s="180" t="s">
        <v>465</v>
      </c>
      <c r="R418" s="188" t="s">
        <v>464</v>
      </c>
    </row>
    <row r="419" spans="2:18" s="124" customFormat="1" ht="13.5" customHeight="1">
      <c r="B419" s="157">
        <f t="shared" si="49"/>
        <v>1012</v>
      </c>
      <c r="C419" s="165" t="s">
        <v>476</v>
      </c>
      <c r="G419" s="159">
        <f>L118</f>
        <v>0</v>
      </c>
      <c r="H419" s="158">
        <v>4431.56</v>
      </c>
      <c r="J419" s="292">
        <v>1.004</v>
      </c>
      <c r="L419" s="121">
        <f t="shared" si="50"/>
        <v>0</v>
      </c>
      <c r="Q419" s="187" t="s">
        <v>461</v>
      </c>
      <c r="R419" s="282">
        <v>43762</v>
      </c>
    </row>
    <row r="420" spans="2:18" s="124" customFormat="1" ht="13.5" customHeight="1">
      <c r="B420" s="157">
        <f t="shared" si="49"/>
        <v>1013</v>
      </c>
      <c r="C420" s="135" t="s">
        <v>478</v>
      </c>
      <c r="D420" s="129"/>
      <c r="E420" s="129"/>
      <c r="F420" s="127"/>
      <c r="G420" s="159">
        <f>L124</f>
        <v>0</v>
      </c>
      <c r="H420" s="158">
        <v>10477.88</v>
      </c>
      <c r="J420" s="292">
        <v>1.004</v>
      </c>
      <c r="L420" s="121">
        <f t="shared" si="50"/>
        <v>0</v>
      </c>
      <c r="Q420" s="162" t="s">
        <v>462</v>
      </c>
      <c r="R420" s="282">
        <v>61266</v>
      </c>
    </row>
    <row r="421" spans="2:18" s="124" customFormat="1" ht="13.5" customHeight="1">
      <c r="B421" s="157">
        <f t="shared" si="49"/>
        <v>1014</v>
      </c>
      <c r="C421" s="165" t="s">
        <v>477</v>
      </c>
      <c r="G421" s="159">
        <f>L132</f>
        <v>0</v>
      </c>
      <c r="H421" s="158">
        <f>H419</f>
        <v>4431.56</v>
      </c>
      <c r="J421" s="292">
        <v>1.004</v>
      </c>
      <c r="L421" s="121">
        <f t="shared" si="50"/>
        <v>0</v>
      </c>
      <c r="Q421" s="162" t="s">
        <v>463</v>
      </c>
      <c r="R421" s="282">
        <v>72936</v>
      </c>
    </row>
    <row r="422" spans="2:18" s="124" customFormat="1" ht="13.5" customHeight="1">
      <c r="B422" s="157">
        <f t="shared" si="49"/>
        <v>1015</v>
      </c>
      <c r="C422" s="135" t="s">
        <v>480</v>
      </c>
      <c r="D422" s="129"/>
      <c r="E422" s="129"/>
      <c r="F422" s="127"/>
      <c r="G422" s="159">
        <f>M110+M124</f>
        <v>0</v>
      </c>
      <c r="H422" s="158">
        <v>16.25</v>
      </c>
      <c r="J422" s="292">
        <v>1.004</v>
      </c>
      <c r="L422" s="121">
        <f t="shared" si="50"/>
        <v>0</v>
      </c>
      <c r="Q422" s="162">
        <v>24</v>
      </c>
      <c r="R422" s="282">
        <v>78771</v>
      </c>
    </row>
    <row r="423" spans="2:12" s="124" customFormat="1" ht="13.5" customHeight="1" thickBot="1">
      <c r="B423" s="166">
        <f t="shared" si="49"/>
        <v>1016</v>
      </c>
      <c r="C423" s="165" t="s">
        <v>481</v>
      </c>
      <c r="G423" s="167">
        <f>M118+M132</f>
        <v>0</v>
      </c>
      <c r="H423" s="168">
        <v>6.87</v>
      </c>
      <c r="J423" s="292">
        <v>1.004</v>
      </c>
      <c r="L423" s="121">
        <f t="shared" si="50"/>
        <v>0</v>
      </c>
    </row>
    <row r="424" spans="2:13" s="124" customFormat="1" ht="13.5" customHeight="1" thickBot="1">
      <c r="B424" s="125">
        <f t="shared" si="49"/>
        <v>1017</v>
      </c>
      <c r="C424" s="169" t="s">
        <v>390</v>
      </c>
      <c r="D424" s="129"/>
      <c r="E424" s="129"/>
      <c r="F424" s="129"/>
      <c r="G424" s="129"/>
      <c r="H424" s="129"/>
      <c r="J424" s="185"/>
      <c r="L424" s="127"/>
      <c r="M424" s="107">
        <f>SUM(L408:L423)</f>
        <v>0</v>
      </c>
    </row>
    <row r="425" s="124" customFormat="1" ht="13.5" customHeight="1">
      <c r="J425" s="185"/>
    </row>
    <row r="426" spans="2:12" s="124" customFormat="1" ht="13.5" customHeight="1">
      <c r="B426" s="152" t="s">
        <v>382</v>
      </c>
      <c r="C426" s="153"/>
      <c r="D426" s="153"/>
      <c r="E426" s="153"/>
      <c r="F426" s="154"/>
      <c r="G426" s="125" t="s">
        <v>189</v>
      </c>
      <c r="H426" s="125" t="s">
        <v>389</v>
      </c>
      <c r="J426" s="66" t="s">
        <v>37</v>
      </c>
      <c r="L426" s="125" t="s">
        <v>176</v>
      </c>
    </row>
    <row r="427" spans="2:12" s="124" customFormat="1" ht="13.5" customHeight="1">
      <c r="B427" s="157">
        <f>B424+1</f>
        <v>1018</v>
      </c>
      <c r="C427" s="170" t="s">
        <v>80</v>
      </c>
      <c r="D427" s="129"/>
      <c r="E427" s="129"/>
      <c r="F427" s="127"/>
      <c r="G427" s="159">
        <f>G408</f>
        <v>0</v>
      </c>
      <c r="H427" s="158">
        <v>3751.74</v>
      </c>
      <c r="J427" s="265">
        <v>1.01</v>
      </c>
      <c r="L427" s="121">
        <f>ROUND(ROUND(H427*J427,2)*G427,0)</f>
        <v>0</v>
      </c>
    </row>
    <row r="428" spans="2:12" s="124" customFormat="1" ht="13.5" customHeight="1">
      <c r="B428" s="157">
        <f aca="true" t="shared" si="51" ref="B428:B434">B427+1</f>
        <v>1019</v>
      </c>
      <c r="C428" s="170" t="s">
        <v>81</v>
      </c>
      <c r="D428" s="129"/>
      <c r="E428" s="129"/>
      <c r="F428" s="127"/>
      <c r="G428" s="159">
        <f>G409</f>
        <v>0</v>
      </c>
      <c r="H428" s="158">
        <v>4807.32</v>
      </c>
      <c r="J428" s="265">
        <v>1.01</v>
      </c>
      <c r="L428" s="121">
        <f aca="true" t="shared" si="52" ref="L428:L434">ROUND(ROUND(H428*J428,2)*G428,0)</f>
        <v>0</v>
      </c>
    </row>
    <row r="429" spans="2:12" s="124" customFormat="1" ht="13.5" customHeight="1">
      <c r="B429" s="157">
        <f t="shared" si="51"/>
        <v>1020</v>
      </c>
      <c r="C429" s="170" t="s">
        <v>84</v>
      </c>
      <c r="D429" s="129"/>
      <c r="E429" s="129"/>
      <c r="F429" s="127"/>
      <c r="G429" s="159">
        <f>M67+M75</f>
        <v>0</v>
      </c>
      <c r="H429" s="158">
        <v>10.31</v>
      </c>
      <c r="J429" s="265">
        <v>1.01</v>
      </c>
      <c r="L429" s="121">
        <f t="shared" si="52"/>
        <v>0</v>
      </c>
    </row>
    <row r="430" spans="2:12" s="124" customFormat="1" ht="13.5" customHeight="1">
      <c r="B430" s="157">
        <f t="shared" si="51"/>
        <v>1021</v>
      </c>
      <c r="C430" s="170" t="s">
        <v>82</v>
      </c>
      <c r="D430" s="129"/>
      <c r="E430" s="129"/>
      <c r="F430" s="127"/>
      <c r="G430" s="159">
        <f>G412</f>
        <v>0</v>
      </c>
      <c r="H430" s="158">
        <v>10.49</v>
      </c>
      <c r="J430" s="265">
        <v>1.01</v>
      </c>
      <c r="L430" s="121">
        <f t="shared" si="52"/>
        <v>0</v>
      </c>
    </row>
    <row r="431" spans="2:12" s="124" customFormat="1" ht="13.5" customHeight="1">
      <c r="B431" s="157">
        <f t="shared" si="51"/>
        <v>1022</v>
      </c>
      <c r="C431" s="170" t="s">
        <v>385</v>
      </c>
      <c r="D431" s="129"/>
      <c r="E431" s="129"/>
      <c r="F431" s="127"/>
      <c r="G431" s="310">
        <f>G417</f>
        <v>0</v>
      </c>
      <c r="H431" s="158">
        <v>13991.55</v>
      </c>
      <c r="J431" s="265">
        <v>1.01</v>
      </c>
      <c r="L431" s="121">
        <f t="shared" si="52"/>
        <v>0</v>
      </c>
    </row>
    <row r="432" spans="2:12" s="124" customFormat="1" ht="13.5" customHeight="1">
      <c r="B432" s="157">
        <f t="shared" si="51"/>
        <v>1023</v>
      </c>
      <c r="C432" s="170" t="s">
        <v>386</v>
      </c>
      <c r="D432" s="129"/>
      <c r="E432" s="129"/>
      <c r="F432" s="127"/>
      <c r="G432" s="159">
        <f>G418+G419</f>
        <v>0</v>
      </c>
      <c r="H432" s="158">
        <v>1997.62</v>
      </c>
      <c r="J432" s="265">
        <v>1.01</v>
      </c>
      <c r="L432" s="121">
        <f t="shared" si="52"/>
        <v>0</v>
      </c>
    </row>
    <row r="433" spans="2:12" s="124" customFormat="1" ht="13.5" customHeight="1">
      <c r="B433" s="157">
        <f t="shared" si="51"/>
        <v>1024</v>
      </c>
      <c r="C433" s="170" t="s">
        <v>387</v>
      </c>
      <c r="D433" s="129"/>
      <c r="E433" s="129"/>
      <c r="F433" s="127"/>
      <c r="G433" s="159">
        <f>G420+G421</f>
        <v>0</v>
      </c>
      <c r="H433" s="158">
        <v>2334.55</v>
      </c>
      <c r="J433" s="265">
        <v>1.01</v>
      </c>
      <c r="L433" s="121">
        <f t="shared" si="52"/>
        <v>0</v>
      </c>
    </row>
    <row r="434" spans="2:12" s="124" customFormat="1" ht="13.5" customHeight="1" thickBot="1">
      <c r="B434" s="157">
        <f t="shared" si="51"/>
        <v>1025</v>
      </c>
      <c r="C434" s="170" t="s">
        <v>388</v>
      </c>
      <c r="D434" s="129"/>
      <c r="E434" s="129"/>
      <c r="F434" s="127"/>
      <c r="G434" s="159">
        <f>G422+G423</f>
        <v>0</v>
      </c>
      <c r="H434" s="158">
        <v>5.25</v>
      </c>
      <c r="J434" s="265">
        <v>1.01</v>
      </c>
      <c r="L434" s="121">
        <f t="shared" si="52"/>
        <v>0</v>
      </c>
    </row>
    <row r="435" spans="2:13" s="124" customFormat="1" ht="13.5" customHeight="1" thickBot="1">
      <c r="B435" s="125">
        <f>B434+1</f>
        <v>1026</v>
      </c>
      <c r="C435" s="169" t="s">
        <v>391</v>
      </c>
      <c r="D435" s="129"/>
      <c r="E435" s="129"/>
      <c r="F435" s="129"/>
      <c r="G435" s="129"/>
      <c r="H435" s="129"/>
      <c r="J435" s="185"/>
      <c r="L435" s="127"/>
      <c r="M435" s="107">
        <f>SUM(L427:L434)</f>
        <v>0</v>
      </c>
    </row>
    <row r="436" s="124" customFormat="1" ht="13.5" customHeight="1" thickBot="1">
      <c r="B436" s="128"/>
    </row>
    <row r="437" spans="2:13" s="124" customFormat="1" ht="13.5" customHeight="1" thickBot="1">
      <c r="B437" s="125">
        <f>B435+1</f>
        <v>1027</v>
      </c>
      <c r="C437" s="169" t="str">
        <f>"Toeslagen dagen (excl. toeslagen Cliënten met een hoge zorgvraag) (regel "&amp;B151&amp;")"</f>
        <v>Toeslagen dagen (excl. toeslagen Cliënten met een hoge zorgvraag) (regel 406)</v>
      </c>
      <c r="D437" s="129"/>
      <c r="E437" s="129"/>
      <c r="F437" s="129"/>
      <c r="G437" s="129"/>
      <c r="H437" s="129"/>
      <c r="J437" s="185"/>
      <c r="L437" s="127"/>
      <c r="M437" s="107">
        <f>M151</f>
        <v>0</v>
      </c>
    </row>
    <row r="438" spans="2:13" s="124" customFormat="1" ht="13.5" customHeight="1" thickBot="1">
      <c r="B438" s="171"/>
      <c r="C438" s="61"/>
      <c r="D438" s="61"/>
      <c r="E438" s="61"/>
      <c r="F438" s="61"/>
      <c r="G438" s="61"/>
      <c r="H438" s="61"/>
      <c r="J438" s="61"/>
      <c r="L438" s="61"/>
      <c r="M438" s="61"/>
    </row>
    <row r="439" spans="2:13" s="124" customFormat="1" ht="13.5" customHeight="1" thickBot="1">
      <c r="B439" s="125">
        <f>B437+1</f>
        <v>1028</v>
      </c>
      <c r="C439" s="169" t="str">
        <f>"Intramurale zorgprestaties (regel "&amp;B186&amp;")"</f>
        <v>Intramurale zorgprestaties (regel 430)</v>
      </c>
      <c r="D439" s="129"/>
      <c r="E439" s="129"/>
      <c r="F439" s="129"/>
      <c r="G439" s="129"/>
      <c r="H439" s="129"/>
      <c r="J439" s="185"/>
      <c r="L439" s="127"/>
      <c r="M439" s="107">
        <f>M186</f>
        <v>0</v>
      </c>
    </row>
    <row r="440" spans="2:13" s="124" customFormat="1" ht="13.5" customHeight="1" thickBot="1">
      <c r="B440" s="171"/>
      <c r="C440" s="172"/>
      <c r="D440" s="172"/>
      <c r="E440" s="172"/>
      <c r="F440" s="172"/>
      <c r="G440" s="172"/>
      <c r="H440" s="61"/>
      <c r="J440" s="61"/>
      <c r="L440" s="61"/>
      <c r="M440" s="61"/>
    </row>
    <row r="441" spans="2:13" s="124" customFormat="1" ht="13.5" customHeight="1" thickBot="1">
      <c r="B441" s="125">
        <f>B439+1</f>
        <v>1029</v>
      </c>
      <c r="C441" s="169" t="str">
        <f>"Extramurale zorgprestaties (excl. AIV Preventie en Voedingsvoorlichting) (regel "&amp;B399&amp;" -/- "&amp;B264&amp;" -/- "&amp;B265&amp;")"</f>
        <v>Extramurale zorgprestaties (excl. AIV Preventie en Voedingsvoorlichting) (regel 926 -/- 619 -/- 620)</v>
      </c>
      <c r="D441" s="129"/>
      <c r="E441" s="129"/>
      <c r="F441" s="129"/>
      <c r="G441" s="129"/>
      <c r="H441" s="129"/>
      <c r="J441" s="185"/>
      <c r="L441" s="127"/>
      <c r="M441" s="107">
        <f>M399-M264-M265</f>
        <v>0</v>
      </c>
    </row>
    <row r="442" spans="2:13" s="124" customFormat="1" ht="13.5" customHeight="1" thickBot="1">
      <c r="B442" s="171"/>
      <c r="C442" s="61"/>
      <c r="D442" s="172"/>
      <c r="E442" s="172"/>
      <c r="F442" s="172"/>
      <c r="G442" s="172"/>
      <c r="H442" s="173"/>
      <c r="J442" s="172"/>
      <c r="L442" s="61"/>
      <c r="M442" s="61"/>
    </row>
    <row r="443" spans="2:13" s="124" customFormat="1" ht="13.5" customHeight="1" thickBot="1">
      <c r="B443" s="125">
        <f>B441+1</f>
        <v>1030</v>
      </c>
      <c r="C443" s="169" t="s">
        <v>83</v>
      </c>
      <c r="D443" s="129"/>
      <c r="E443" s="129"/>
      <c r="F443" s="129"/>
      <c r="G443" s="129"/>
      <c r="H443" s="129"/>
      <c r="J443" s="185"/>
      <c r="L443" s="127"/>
      <c r="M443" s="290">
        <v>0</v>
      </c>
    </row>
    <row r="444" spans="2:13" s="124" customFormat="1" ht="13.5" customHeight="1" thickBot="1">
      <c r="B444" s="171"/>
      <c r="C444" s="61"/>
      <c r="D444" s="172"/>
      <c r="E444" s="172"/>
      <c r="F444" s="172"/>
      <c r="G444" s="172"/>
      <c r="H444" s="173"/>
      <c r="J444" s="172"/>
      <c r="L444" s="61"/>
      <c r="M444" s="61"/>
    </row>
    <row r="445" spans="2:13" s="124" customFormat="1" ht="13.5" customHeight="1" thickBot="1">
      <c r="B445" s="125">
        <f>B443+1</f>
        <v>1031</v>
      </c>
      <c r="C445" s="169" t="str">
        <f>"Kleinschalig wonen (regel "&amp;'Kleinschalig wonen'!B162&amp;")"</f>
        <v>Kleinschalig wonen (regel 1421)</v>
      </c>
      <c r="D445" s="129"/>
      <c r="E445" s="129"/>
      <c r="F445" s="129"/>
      <c r="G445" s="129"/>
      <c r="H445" s="129"/>
      <c r="J445" s="185"/>
      <c r="L445" s="127"/>
      <c r="M445" s="107">
        <f>'Kleinschalig wonen'!L162</f>
        <v>0</v>
      </c>
    </row>
    <row r="446" spans="2:13" s="124" customFormat="1" ht="13.5" customHeight="1" thickBot="1">
      <c r="B446" s="171"/>
      <c r="C446" s="61"/>
      <c r="D446" s="172"/>
      <c r="E446" s="172"/>
      <c r="F446" s="172"/>
      <c r="G446" s="172"/>
      <c r="H446" s="173"/>
      <c r="J446" s="172"/>
      <c r="L446" s="61"/>
      <c r="M446" s="61"/>
    </row>
    <row r="447" spans="2:13" s="124" customFormat="1" ht="13.5" customHeight="1" thickBot="1">
      <c r="B447" s="174">
        <f>B445+1</f>
        <v>1032</v>
      </c>
      <c r="C447" s="175" t="str">
        <f>"Totaal beslag t.l.v. contracteerruimte 2006 excl. geoormerkte gelden (regel "&amp;B424&amp;" + "&amp;B435&amp;" t/m "&amp;B445&amp;")"</f>
        <v>Totaal beslag t.l.v. contracteerruimte 2006 excl. geoormerkte gelden (regel 1017 + 1026 t/m 1031)</v>
      </c>
      <c r="D447" s="126"/>
      <c r="E447" s="126"/>
      <c r="F447" s="126"/>
      <c r="G447" s="126"/>
      <c r="H447" s="126"/>
      <c r="J447" s="185"/>
      <c r="L447" s="176"/>
      <c r="M447" s="107">
        <f>M424+M435+M439+M441+M437+M443+M445</f>
        <v>0</v>
      </c>
    </row>
    <row r="448" s="124" customFormat="1" ht="13.5" customHeight="1">
      <c r="B448" s="128"/>
    </row>
    <row r="449" spans="17:18" ht="13.5" customHeight="1" hidden="1">
      <c r="Q449" s="124"/>
      <c r="R449" s="124"/>
    </row>
    <row r="450" spans="17:18" ht="13.5" customHeight="1" hidden="1">
      <c r="Q450" s="124"/>
      <c r="R450" s="124"/>
    </row>
    <row r="451" ht="13.5" customHeight="1"/>
    <row r="452" ht="13.5" customHeight="1"/>
    <row r="453" ht="13.5" customHeight="1"/>
    <row r="454" ht="13.5" customHeight="1"/>
    <row r="455" ht="13.5" customHeight="1"/>
    <row r="456" ht="13.5" customHeight="1"/>
  </sheetData>
  <sheetProtection password="C796" sheet="1" objects="1" scenarios="1"/>
  <conditionalFormatting sqref="J386:J393 J261 J264:J265 L261 L264:L265 J275:J285 L275:L285 J289:J299 J303:J313 J321:J331 J335:J342 L346:L359 J367:J375 J379:J382 J397 L397 L379:L382 L367:L375 L258 L335:L342 L321:L331 L303:L313 L289:L299 L386:L393 J346:J359 J176:J185 L176:L185 J200:L200 J212:L212 J217:L218 J221:L227 J246:L248 J257:L257 J258 J154:J162 L154:L162">
    <cfRule type="expression" priority="1" dxfId="1" stopIfTrue="1">
      <formula>$H154&lt;&gt;"nee"</formula>
    </cfRule>
  </conditionalFormatting>
  <conditionalFormatting sqref="G417 M172 G35:G43 M18 M20 M22">
    <cfRule type="expression" priority="2" dxfId="1" stopIfTrue="1">
      <formula>$B$1=TRUE</formula>
    </cfRule>
  </conditionalFormatting>
  <conditionalFormatting sqref="L56:L57 L83 G111:G115 G119:G121 G125:G129 G133:G135 H67:H72 G68:G72 G61:H62 H87:H88 G76:G80 J67:J72 J75:J80 J87:J88 H75:H80 G88 M85">
    <cfRule type="expression" priority="3" dxfId="1" stopIfTrue="1">
      <formula>$D$55&lt;&gt;"nee"</formula>
    </cfRule>
  </conditionalFormatting>
  <conditionalFormatting sqref="L101 J124:J129 H110:H115 J132:J135 J110:J115 H118:H121 J118:J121 H124:H129 G105:H105 H132:H135">
    <cfRule type="expression" priority="4" dxfId="1" stopIfTrue="1">
      <formula>$D$100&lt;&gt;"nee"</formula>
    </cfRule>
  </conditionalFormatting>
  <conditionalFormatting sqref="M443">
    <cfRule type="expression" priority="5" dxfId="1" stopIfTrue="1">
      <formula>$B$1=TRUE</formula>
    </cfRule>
  </conditionalFormatting>
  <conditionalFormatting sqref="F413:F414">
    <cfRule type="expression" priority="6" dxfId="1" stopIfTrue="1">
      <formula>$B$1=TRUE</formula>
    </cfRule>
  </conditionalFormatting>
  <conditionalFormatting sqref="L245 J245">
    <cfRule type="expression" priority="7" dxfId="1" stopIfTrue="1">
      <formula>$H$245&lt;&gt;"nee"</formula>
    </cfRule>
  </conditionalFormatting>
  <conditionalFormatting sqref="J254 L254">
    <cfRule type="expression" priority="8" dxfId="1" stopIfTrue="1">
      <formula>$H$254&lt;&gt;"nee"</formula>
    </cfRule>
  </conditionalFormatting>
  <conditionalFormatting sqref="J255 L255">
    <cfRule type="expression" priority="9" dxfId="1" stopIfTrue="1">
      <formula>$H$255&lt;&gt;"nee"</formula>
    </cfRule>
  </conditionalFormatting>
  <conditionalFormatting sqref="L256 J256">
    <cfRule type="expression" priority="10" dxfId="1" stopIfTrue="1">
      <formula>$H$256&lt;&gt;"nee"</formula>
    </cfRule>
  </conditionalFormatting>
  <conditionalFormatting sqref="J242 L242">
    <cfRule type="expression" priority="11" dxfId="1" stopIfTrue="1">
      <formula>$H$242&lt;&gt;"nee"</formula>
    </cfRule>
  </conditionalFormatting>
  <conditionalFormatting sqref="J243 L243">
    <cfRule type="expression" priority="12" dxfId="1" stopIfTrue="1">
      <formula>$H$243&lt;&gt;"nee"</formula>
    </cfRule>
  </conditionalFormatting>
  <conditionalFormatting sqref="J244 L244">
    <cfRule type="expression" priority="13" dxfId="1" stopIfTrue="1">
      <formula>$H$244&lt;&gt;"nee"</formula>
    </cfRule>
  </conditionalFormatting>
  <conditionalFormatting sqref="J238 L238">
    <cfRule type="expression" priority="14" dxfId="1" stopIfTrue="1">
      <formula>$H$238&lt;&gt;"nee"</formula>
    </cfRule>
  </conditionalFormatting>
  <conditionalFormatting sqref="J239 L239">
    <cfRule type="expression" priority="15" dxfId="1" stopIfTrue="1">
      <formula>$H$239&lt;&gt;"nee"</formula>
    </cfRule>
  </conditionalFormatting>
  <conditionalFormatting sqref="J240 L240">
    <cfRule type="expression" priority="16" dxfId="1" stopIfTrue="1">
      <formula>$H$240&lt;&gt;"nee"</formula>
    </cfRule>
  </conditionalFormatting>
  <conditionalFormatting sqref="J241 L241">
    <cfRule type="expression" priority="17" dxfId="1" stopIfTrue="1">
      <formula>$H$241&lt;&gt;"nee"</formula>
    </cfRule>
  </conditionalFormatting>
  <conditionalFormatting sqref="J216 L216">
    <cfRule type="expression" priority="18" dxfId="1" stopIfTrue="1">
      <formula>$H$216&lt;&gt;"nee"</formula>
    </cfRule>
  </conditionalFormatting>
  <conditionalFormatting sqref="J194 L194">
    <cfRule type="expression" priority="19" dxfId="1" stopIfTrue="1">
      <formula>$H$194&lt;&gt;"nee"</formula>
    </cfRule>
  </conditionalFormatting>
  <conditionalFormatting sqref="J195 L195">
    <cfRule type="expression" priority="20" dxfId="1" stopIfTrue="1">
      <formula>$H$195&lt;&gt;"nee"</formula>
    </cfRule>
  </conditionalFormatting>
  <conditionalFormatting sqref="J198 L198">
    <cfRule type="expression" priority="21" dxfId="1" stopIfTrue="1">
      <formula>$H$198&lt;&gt;"nee"</formula>
    </cfRule>
  </conditionalFormatting>
  <conditionalFormatting sqref="J199 L199">
    <cfRule type="expression" priority="22" dxfId="1" stopIfTrue="1">
      <formula>$H$199&lt;&gt;"nee"</formula>
    </cfRule>
  </conditionalFormatting>
  <conditionalFormatting sqref="J203 L203">
    <cfRule type="expression" priority="23" dxfId="1" stopIfTrue="1">
      <formula>$H$203&lt;&gt;"nee"</formula>
    </cfRule>
  </conditionalFormatting>
  <conditionalFormatting sqref="J204 L204">
    <cfRule type="expression" priority="24" dxfId="1" stopIfTrue="1">
      <formula>$H$204&lt;&gt;"nee"</formula>
    </cfRule>
  </conditionalFormatting>
  <conditionalFormatting sqref="J205 L205">
    <cfRule type="expression" priority="25" dxfId="1" stopIfTrue="1">
      <formula>$H$205&lt;&gt;"nee"</formula>
    </cfRule>
  </conditionalFormatting>
  <conditionalFormatting sqref="J206 L206">
    <cfRule type="expression" priority="26" dxfId="1" stopIfTrue="1">
      <formula>$H$206&lt;&gt;"nee"</formula>
    </cfRule>
  </conditionalFormatting>
  <conditionalFormatting sqref="J209 L209">
    <cfRule type="expression" priority="27" dxfId="1" stopIfTrue="1">
      <formula>$H$209&lt;&gt;"nee"</formula>
    </cfRule>
  </conditionalFormatting>
  <conditionalFormatting sqref="J210 L210">
    <cfRule type="expression" priority="28" dxfId="1" stopIfTrue="1">
      <formula>$H$210&lt;&gt;"nee"</formula>
    </cfRule>
  </conditionalFormatting>
  <conditionalFormatting sqref="J211 L211">
    <cfRule type="expression" priority="29" dxfId="1" stopIfTrue="1">
      <formula>$H$211&lt;&gt;"nee"</formula>
    </cfRule>
  </conditionalFormatting>
  <conditionalFormatting sqref="J215 L215">
    <cfRule type="expression" priority="30" dxfId="1" stopIfTrue="1">
      <formula>$H$215&lt;&gt;"nee"</formula>
    </cfRule>
  </conditionalFormatting>
  <conditionalFormatting sqref="M167">
    <cfRule type="expression" priority="31" dxfId="1" stopIfTrue="1">
      <formula>$L$167&lt;&gt;"nee"</formula>
    </cfRule>
  </conditionalFormatting>
  <conditionalFormatting sqref="M168">
    <cfRule type="expression" priority="32" dxfId="1" stopIfTrue="1">
      <formula>$L$168&lt;&gt;"nee"</formula>
    </cfRule>
  </conditionalFormatting>
  <conditionalFormatting sqref="J146 L146">
    <cfRule type="expression" priority="33" dxfId="1" stopIfTrue="1">
      <formula>$H$146&lt;&gt;"nee"</formula>
    </cfRule>
  </conditionalFormatting>
  <conditionalFormatting sqref="J147 L147">
    <cfRule type="expression" priority="34" dxfId="1" stopIfTrue="1">
      <formula>$H$147&lt;&gt;"nee"</formula>
    </cfRule>
  </conditionalFormatting>
  <conditionalFormatting sqref="J148 L148">
    <cfRule type="expression" priority="35" dxfId="1" stopIfTrue="1">
      <formula>$H$148&lt;&gt;"nee"</formula>
    </cfRule>
  </conditionalFormatting>
  <conditionalFormatting sqref="J149">
    <cfRule type="expression" priority="36" dxfId="1" stopIfTrue="1">
      <formula>$H$149&lt;&gt;"nee"</formula>
    </cfRule>
  </conditionalFormatting>
  <conditionalFormatting sqref="J150">
    <cfRule type="expression" priority="37" dxfId="1" stopIfTrue="1">
      <formula>$H$150&lt;&gt;"nee"</formula>
    </cfRule>
  </conditionalFormatting>
  <dataValidations count="45">
    <dataValidation type="custom" allowBlank="1" showInputMessage="1" showErrorMessage="1" errorTitle="Invoer onjuist" error="Een afspraak is alleen mogelijk indien de instelling voor de betreffende functie is toegelaten.&#10;&#10;Daarnaast dient er een geheel en positief aantal te worden ingevuld." sqref="J346:J360 J194:J195 J198:J200 J203:J206 J209:J212 J215:J218 J254:J258 J261 J264:J265 J275:J285 J321:J331 J335:J342 J289:J299 J379:J382 J303:J313 J367:J375 J176:J185 J221:J227 J238:J248">
      <formula1>AND(H346="ja",J346&gt;=0,J346=ROUND(J346,0))</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1 decimaal bevatten.&#10;" sqref="N262">
      <formula1>AND(J262="ja",N262&gt;=U262,N262&lt;=V262,N262=ROUND(N262,1))</formula1>
    </dataValidation>
    <dataValidation type="custom" allowBlank="1" showInputMessage="1" showErrorMessage="1" errorTitle="Invoer onjuist" error="Er mag alleen een geheel bedrag worden ingevuld." sqref="M172">
      <formula1>M172=ROUND(M172,0)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arbij het aantal plaatsen maximaal de toelating is." sqref="H87">
      <formula1>AND($D$55="ja",H87&gt;=0,P87&lt;=P57,H87=ROUND(H87,0))</formula1>
    </dataValidation>
    <dataValidation type="custom" allowBlank="1" showInputMessage="1" showErrorMessage="1" errorTitle="Invoer onjuist" error="Er dient een geheel en positief aantal te worden ingevuld.&#10;&#10;Daarnaast mag het totaal aantal verpleegdagen niet meer bedragen dan het aantal bedden (somatisch, psychogeriatrisch en voorzieningencentrum) x 365 dagen." sqref="G101 G56:G57">
      <formula1>AND(G101&gt;=0,G101=ROUND(G101,0),(#REF!+#REF!)&lt;=(#REF!*365))</formula1>
    </dataValidation>
    <dataValidation type="custom" allowBlank="1" showInputMessage="1" showErrorMessage="1" errorTitle="Invoer onjuist" error="Het invullen van deze cel is alleen mogelijk indien de instelling voor de betreffende functie is toegelaten.&#10;&#10;Daarnaast dient er een geheel en positief aantal te worden ingevuld." sqref="L56:L57 G61:H62">
      <formula1>AND(L56&gt;=0,L56=ROUND(L56,0),$D$55="ja")</formula1>
    </dataValidation>
    <dataValidation type="custom" allowBlank="1" showInputMessage="1" showErrorMessage="1" errorTitle="Invoer onjuist" error="Het invullen van deze cel is alleen mogelijk indien de instelling voor de betreffende functie is toegelaten.&#10;&#10;Daarnaast dient er een geheel en positief aantal te worden ingevuld." sqref="L101 G105:H105">
      <formula1>AND(L101&gt;=0,L101=ROUND(L101,0),$D$100="ja")</formula1>
    </dataValidation>
    <dataValidation type="custom" allowBlank="1" showInputMessage="1" showErrorMessage="1" errorTitle="Invoer onjuist" error="Een afspraak is alleen mogelijk indien de instelling voor de betreffende functie is toegelaten.&#10;Daarnaast dient er een geheel en positief aantal te worden ingevuld dat niet groter is dan het totaal aantal bedden (kasbasis)." sqref="L83">
      <formula1>AND($D$55="ja",L83&gt;=0,L83&lt;=L73+L81,L83=ROUND(L83,0))</formula1>
    </dataValidation>
    <dataValidation type="list" allowBlank="1" showInputMessage="1" showErrorMessage="1" errorTitle="Invoer onjuist" error="Er kan alleen uit de volgende categorieën worden gekozen: 1,2 of 3." sqref="F413">
      <formula1>"1,2,3"</formula1>
    </dataValidation>
    <dataValidation type="date" allowBlank="1" showInputMessage="1" showErrorMessage="1" errorTitle="Invoer onjuist" error="De  ingevoerde datum moet een datum zijn&#10;- in het jaar 2006;&#10;- die groter is dan een hierboven ingevoerde datum;&#10;- die kleiner is dan een hieronder ingevoerde datum." sqref="G69:G71 G77:G79 G134 G120 G126:G128 G112:G114">
      <formula1>T69+1</formula1>
      <formula2>U69-1</formula2>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arbij het totaal aantal plaatsen maximaal de toelating is" sqref="H110 H124 H118 H132">
      <formula1>AND($D$100="ja",H110&gt;=0,$P$110+$P$118+$P$124+$P$132&lt;=$P$101,H110=ROUND(H110,0))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arbij het totaal van SOM en PG maximaal de toelating is." sqref="H67 H75">
      <formula1>AND($D$55="ja",H67&gt;=0,$P$67+$P$75&lt;=$P$56,H67=ROUND(H67,0))</formula1>
    </dataValidation>
    <dataValidation type="custom" allowBlank="1" showInputMessage="1" showErrorMessage="1" errorTitle="Invoer onjuist" error="Er dient een geheel aantal te worden ingevuld.&#10;&#10;Daarnaast mag het totaal aantal verpleegdagen niet meer bedragen dan het aantal bedden x 365 dagen. &#10;&#10;De totale capaciteit mag niet negatief worden." sqref="J76:J80 J88 J68:J72">
      <formula1>AND(J76=ROUND(J76,0),J76&gt;=Q76,J76&lt;=R76)</formula1>
    </dataValidation>
    <dataValidation type="custom" allowBlank="1" showInputMessage="1" showErrorMessage="1" errorTitle="Invoer onjuist" error="Er dient een geheel aantal te worden ingevuld.&#10;&#10;Daarnaast mag het totaal aantal verzorgingsdagen niet meer bedragen dan het aantal plaatsen x 365 dagen. &#10;&#10;De totale capaciteit mag niet negatief worden." sqref="J111:J115 J119:J121 J125:J129 J133:J135">
      <formula1>AND(J111=ROUND(J111,0),J111&gt;=Q111,J111&lt;=R111)</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de totale verzorgingsdagen op kasbasis" sqref="J149:J150">
      <formula1>AND(H149="ja",J149&gt;=0,J149=ROUND(J149,0),J149&lt;=$M$116+$M$122+$M$130+$M$136)</formula1>
    </dataValidation>
    <dataValidation type="list" allowBlank="1" showInputMessage="1" showErrorMessage="1" errorTitle="Invoer onjuist" error="Indien de instelling is toegelaten voor de betreffende functie, vul dan &quot;ja&quot; in." sqref="G35:G43">
      <formula1>$P$35:$P$36</formula1>
    </dataValidation>
    <dataValidation type="list" allowBlank="1" showInputMessage="1" showErrorMessage="1" errorTitle="Invoer onjuist" error="Indien u recht heeft op de separate regiotoeslag dient u in deze cel &quot;ja&quot; in te vullen." sqref="F414">
      <formula1>$P$35:$P$36</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2 decimalen bevatten.&#10;" sqref="L146:L150 L154:L162">
      <formula1>AND(H146="ja",L146&gt;=Q146,L146&lt;=R146,L146=ROUND(L146,2))</formula1>
    </dataValidation>
    <dataValidation type="custom" allowBlank="1" showInputMessage="1" showErrorMessage="1" errorTitle="Invoer onjuist" error="Een afspraak is alleen mogelijk indien de instelling voor de betreffende functie is toegelaten.&#10;&#10;Daarnaast mag de prijs:&#10;- niet hoger zijn dan de beleidsregelwaarde;&#10;- niet negatief zijn;&#10;- niet meer dan 1 decimaal bevatten.&#10;" sqref="L386:L393 L289:L299 L194:L195 L198:L200 L203:L206 L209:L212 L254:L258 L261 L264:L265 L275:L285 L335:L342 L321:L331 L303:L313 L346:L360 L367:L375 L379:L382 L397 L215:L218 L221:L227 L238:L248 L176:L185">
      <formula1>AND(H386="ja",L386&gt;=Q386,L386&lt;=R386,L386=ROUND(L386,1))</formula1>
    </dataValidation>
    <dataValidation type="list" allowBlank="1" showInputMessage="1" showErrorMessage="1" errorTitle="Invoer onjuist" error="Indien de instelling is toegelaten voor de betreffende functie, vul dan &quot;ja&quot; in." sqref="I35:I43">
      <formula1>$P$35</formula1>
    </dataValidation>
    <dataValidation allowBlank="1" showInputMessage="1" showErrorMessage="1" errorTitle="Invoer onjuist" error="Een afspraak is alleen mogelijk indien de instelling is toegelaten voor plaatsen met 'verblijf' zonder 'behandeling'.&#10;&#10;Daarnaast dient er een geheel positief aantal te worden ingevuld." sqref="G431"/>
    <dataValidation type="custom" allowBlank="1" showInputMessage="1" showErrorMessage="1" errorTitle="Invoer onjuist" error="Een afspraak is alleen mogelijk indien de instelling voor de betreffende functie is toegelaten.&#10;&#10;Tevens moet het aantal geheel en positief zijn en niet hoger dan de afgesproken aantallen bij de bijbehorende prestaties." sqref="J397">
      <formula1>AND(H397="ja",J397&gt;=0,J397=ROUND(J397,0))</formula1>
    </dataValidation>
    <dataValidation type="custom" allowBlank="1" showInputMessage="1" showErrorMessage="1" errorTitle="Invoer onjuist" error="Er dient een geheel en positief aantal te worden ingevuld.&#10;&#10;Daarnaast mag het totaal aantal verzorgingsdagen niet meer bedragen dan het aantal plaatsen x 365 dagen." sqref="J110 J118 J124 J132">
      <formula1>AND(J110=ROUND(J110,0),J110&lt;=R110,J110&gt;=Q110)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68:H72">
      <formula1>AND($D$55="ja",W68&gt;0,H68=ROUND(H68,0),$H$73&gt;=0)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76:H80">
      <formula1>AND($D$55="ja",W76&gt;0,H76=ROUND(H76,0),$H$81&gt;=0)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11:H115">
      <formula1>AND($D$100="ja",W111&gt;0,H111=ROUND(H111,0),$H$116&gt;=0)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19:H121">
      <formula1>AND($D$100="ja",W119&gt;0,H119=ROUND(H119,0),$H$122&gt;=0)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25:H129">
      <formula1>AND($D$100="ja",W125&gt;0,H125=ROUND(H125,0),$H$130&gt;=0)</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33:H135">
      <formula1>AND($D$100="ja",W133&gt;0,H133=ROUND(H133,0),$H$136&gt;=0)</formula1>
    </dataValidation>
    <dataValidation type="custom" allowBlank="1" showInputMessage="1" showErrorMessage="1" errorTitle="Invoer onjuist" error="Een afspraak is alleen mogelijk indien de instelling voor de betreffende functie is toegelaten.&#10;&#10;Tevens moet het aantal geheel en positief zijn en niet hoger dan het afgesproken aantal van de bijbehorende prestatie." sqref="J386:J391">
      <formula1>AND(H386="ja",J386&gt;=S386,J386&lt;=T386,J386=ROUND(J386,0))</formula1>
    </dataValidation>
    <dataValidation type="custom" allowBlank="1" showInputMessage="1" showErrorMessage="1" errorTitle="Invoer onjuist" error="Een afspraak is alleen mogelijk indien de instelling voor de betreffende functie is toegelaten.&#10;&#10;Tevens moet het aantal geheel en positief zijn en niet hoger dan de afgesproken aantallen van de bijbehorende prestaties." sqref="J392:J393">
      <formula1>AND(H392="ja",J392&gt;=S392,J392&lt;=T392,J392=ROUND(J392,0))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de totale verpleegdagen op kasbasis." sqref="J146:J147">
      <formula1>AND(H146="ja",J146&gt;=0,J146=ROUND(J146,0),J146&lt;=($M$73+$M$81+$M$89))</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het totaal aantal verpleegdagen." sqref="J154:J162">
      <formula1>AND(H154="ja",J154&gt;=0,J154=ROUND(J154,0),J154&lt;=$M$73+$M$81+$M$89)</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88">
      <formula1>AND($D$55="ja",W88&gt;0,H88=ROUND(H88,0),$H$89&gt;=0)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hoger is dan het tot. aant. verzorg- en verpleegdgn" sqref="J148">
      <formula1>AND(H148="ja",J148&gt;=0,J148=ROUND(J148,0),J148&lt;=(M73+M81+M89+M116+M122+M130+M136))</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wat niet groter is dan de totale verpleegdagen op kasbasis." sqref="M85">
      <formula1>AND($D$55="ja",M85&gt;=0,M85&lt;=M73+M81,M85=ROUND(M85,0))</formula1>
    </dataValidation>
    <dataValidation type="whole" operator="lessThanOrEqual" allowBlank="1" showInputMessage="1" showErrorMessage="1" errorTitle="Onjuiste invoer" error="Hier kan een geheel en negatief bedrag worden ingevuld als er een prijsafspraak (onder de normbedragen) over de intramurale zorg is gemaakt." sqref="M443">
      <formula1>0</formula1>
    </dataValidation>
    <dataValidation type="custom" allowBlank="1" showInputMessage="1" showErrorMessage="1" errorTitle="Invoer onjuist" error="Er dient een geheel positief aantal te worden ingevuld.&#10;&#10;Daarnaast mag het totaal aantal verpleegdagen niet meer bedragen dan het aantal bedden x 365 dagen." sqref="J67 J75 J87">
      <formula1>AND(J67=ROUND(J67,0),J67&gt;=Q67,J67&lt;=R67)</formula1>
    </dataValidation>
    <dataValidation type="date" allowBlank="1" showInputMessage="1" showErrorMessage="1" errorTitle="Invoer onjuist" error="De  ingevoerde datum moet een datum zijn&#10;- in het jaar 2006;&#10;- die groter is dan of gelijk is aan een hierboven ingevoerde datum;&#10;- die kleiner is dan een hieronder ingevoerde datum." sqref="G68 G76 G133 G111 G119 G125">
      <formula1>T68</formula1>
      <formula2>U68-1</formula2>
    </dataValidation>
    <dataValidation type="date" allowBlank="1" showInputMessage="1" showErrorMessage="1" errorTitle="Invoer onjuist" error="De  ingevoerde datum moet een datum zijn&#10;- in het jaar 2006;&#10;- die groter is dan een hierboven ingevoerde datum." sqref="G72 G80 G115 G121 G129 G135">
      <formula1>T72+1</formula1>
      <formula2>U72-1</formula2>
    </dataValidation>
    <dataValidation type="date" allowBlank="1" showInputMessage="1" showErrorMessage="1" errorTitle="Invoer onjuist" error="De  ingevoerde datum moet een datum zijn&#10;- in het jaar 2006;&#10;- die groter is dan of gelijk is aan een hierboven ingevoerde datum.&#10;" sqref="G88">
      <formula1>T88</formula1>
      <formula2>U88-1</formula2>
    </dataValidation>
    <dataValidation type="custom" allowBlank="1" showInputMessage="1" showErrorMessage="1" errorTitle="Invoer onjuist" error="Het invullen van dit veld is alleen mogelijk indien de instelling is toegelaten voor plaatsen met 'verblijf zonder behandeling'.&#10;&#10;Daarnaast dient er een geheel en positief aantal te worden ingevuld." sqref="G417">
      <formula1>AND($P$101&gt;0,G417&gt;=0,G417=ROUND(G417,0))</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sqref="M167:M168">
      <formula1>AND(L167="ja",M167&gt;=0,M167=ROUND(M167,0))</formula1>
    </dataValidation>
    <dataValidation type="whole" operator="greaterThanOrEqual" allowBlank="1" showInputMessage="1" showErrorMessage="1" errorTitle="Onjuiste invoer" error="Indien van toepassing, dient hier een geheel positief bedrag te worden ingevuld" sqref="M20">
      <formula1>0</formula1>
    </dataValidation>
    <dataValidation type="whole" operator="greaterThanOrEqual" allowBlank="1" showInputMessage="1" showErrorMessage="1" errorTitle="Onjuiste invoer" error="Indien van toepassing, dient hier een geheel positief bedrag te worden ingevuld." sqref="M18">
      <formula1>0</formula1>
    </dataValidation>
  </dataValidations>
  <printOptions/>
  <pageMargins left="0.26" right="0.29" top="0.21" bottom="0.21" header="0.3" footer="0.33"/>
  <pageSetup horizontalDpi="600" verticalDpi="600" orientation="landscape" scale="90" r:id="rId2"/>
  <rowBreaks count="9" manualBreakCount="9">
    <brk id="47" min="1" max="12" man="1"/>
    <brk id="93" max="255" man="1"/>
    <brk id="139" min="1" max="12" man="1"/>
    <brk id="187" min="1" max="12" man="1"/>
    <brk id="231" min="1" max="12" man="1"/>
    <brk id="268" min="1" max="12" man="1"/>
    <brk id="314" max="255" man="1"/>
    <brk id="360" min="1" max="12" man="1"/>
    <brk id="401" min="1" max="12" man="1"/>
  </rowBreaks>
  <drawing r:id="rId1"/>
</worksheet>
</file>

<file path=xl/worksheets/sheet4.xml><?xml version="1.0" encoding="utf-8"?>
<worksheet xmlns="http://schemas.openxmlformats.org/spreadsheetml/2006/main" xmlns:r="http://schemas.openxmlformats.org/officeDocument/2006/relationships">
  <dimension ref="A1:Z162"/>
  <sheetViews>
    <sheetView showGridLines="0" workbookViewId="0" topLeftCell="B1">
      <selection activeCell="L9" sqref="L9"/>
    </sheetView>
  </sheetViews>
  <sheetFormatPr defaultColWidth="9.140625" defaultRowHeight="12.75" zeroHeight="1"/>
  <cols>
    <col min="1" max="1" width="0.9921875" style="0" hidden="1" customWidth="1"/>
    <col min="2" max="2" width="6.7109375" style="0" customWidth="1"/>
    <col min="3" max="3" width="9.7109375" style="0" customWidth="1"/>
    <col min="4" max="4" width="20.7109375" style="0" customWidth="1"/>
    <col min="5" max="5" width="26.7109375" style="0" customWidth="1"/>
    <col min="6" max="6" width="10.7109375" style="0" customWidth="1"/>
    <col min="7" max="7" width="10.8515625" style="0" customWidth="1"/>
    <col min="8" max="8" width="11.8515625" style="0" customWidth="1"/>
    <col min="9" max="9" width="0" style="0" hidden="1" customWidth="1"/>
    <col min="10" max="10" width="11.00390625" style="0" customWidth="1"/>
    <col min="11" max="11" width="1.28515625" style="0" hidden="1" customWidth="1"/>
    <col min="12" max="12" width="10.57421875" style="0" customWidth="1"/>
    <col min="13" max="13" width="10.00390625" style="0" customWidth="1"/>
    <col min="14" max="16" width="7.8515625" style="0" customWidth="1"/>
    <col min="17" max="17" width="4.57421875" style="0" customWidth="1"/>
    <col min="18" max="18" width="15.28125" style="0" hidden="1" customWidth="1"/>
    <col min="19" max="19" width="7.421875" style="0" hidden="1" customWidth="1"/>
    <col min="20" max="20" width="9.140625" style="0" hidden="1" customWidth="1"/>
    <col min="21" max="21" width="11.57421875" style="0" hidden="1" customWidth="1"/>
    <col min="22" max="22" width="10.140625" style="0" hidden="1" customWidth="1"/>
    <col min="23" max="23" width="10.57421875" style="0" hidden="1" customWidth="1"/>
    <col min="24" max="24" width="8.140625" style="0" hidden="1" customWidth="1"/>
    <col min="25" max="25" width="12.57421875" style="0" hidden="1" customWidth="1"/>
    <col min="26" max="16384" width="9.140625" style="0" hidden="1" customWidth="1"/>
  </cols>
  <sheetData>
    <row r="1" spans="1:11" s="27" customFormat="1" ht="18" customHeight="1">
      <c r="A1" s="74" t="s">
        <v>207</v>
      </c>
      <c r="B1" s="73" t="b">
        <f>Voorblad!A1</f>
        <v>1</v>
      </c>
      <c r="I1" s="74" t="s">
        <v>207</v>
      </c>
      <c r="K1" s="74" t="s">
        <v>207</v>
      </c>
    </row>
    <row r="2" spans="2:16" s="27" customFormat="1" ht="18" customHeight="1">
      <c r="B2" s="75" t="s">
        <v>36</v>
      </c>
      <c r="C2" s="75"/>
      <c r="D2" s="75"/>
      <c r="E2" s="89"/>
      <c r="F2" s="123" t="str">
        <f>CONCATENATE(Voorblad!$E$11," / ",Voorblad!$F$11)</f>
        <v>650 / </v>
      </c>
      <c r="G2" s="75"/>
      <c r="H2" s="76"/>
      <c r="I2" s="75"/>
      <c r="J2" s="76" t="str">
        <f>"versie: "&amp;TEXT(Voorblad!$M$9,"dd-mm-jjjj")</f>
        <v>versie: 29-08-2006</v>
      </c>
      <c r="K2" s="76"/>
      <c r="L2" s="78"/>
      <c r="M2" s="321"/>
      <c r="P2" s="322">
        <f>'Budget 2006'!M403+1</f>
        <v>11</v>
      </c>
    </row>
    <row r="3" s="27" customFormat="1" ht="12.75">
      <c r="B3" s="80"/>
    </row>
    <row r="4" spans="2:17" ht="12.75">
      <c r="B4" s="80"/>
      <c r="C4" s="27"/>
      <c r="D4" s="27"/>
      <c r="E4" s="27"/>
      <c r="F4" s="27"/>
      <c r="G4" s="27"/>
      <c r="H4" s="4"/>
      <c r="I4" s="27"/>
      <c r="J4" s="27"/>
      <c r="K4" s="27"/>
      <c r="L4" s="27"/>
      <c r="M4" s="27"/>
      <c r="N4" s="27"/>
      <c r="O4" s="27"/>
      <c r="P4" s="27"/>
      <c r="Q4" s="27"/>
    </row>
    <row r="5" ht="15.75">
      <c r="B5" s="81" t="s">
        <v>550</v>
      </c>
    </row>
    <row r="6" ht="12.75">
      <c r="L6" s="91" t="s">
        <v>189</v>
      </c>
    </row>
    <row r="7" spans="2:12" s="27" customFormat="1" ht="13.5" customHeight="1">
      <c r="B7" s="81" t="s">
        <v>553</v>
      </c>
      <c r="L7" s="211" t="s">
        <v>558</v>
      </c>
    </row>
    <row r="8" s="27" customFormat="1" ht="13.5" customHeight="1">
      <c r="L8" s="211" t="s">
        <v>506</v>
      </c>
    </row>
    <row r="9" spans="2:12" s="27" customFormat="1" ht="13.5" customHeight="1">
      <c r="B9" s="86">
        <f>P2*100+1</f>
        <v>1101</v>
      </c>
      <c r="C9" s="87" t="s">
        <v>579</v>
      </c>
      <c r="D9" s="78"/>
      <c r="E9" s="78"/>
      <c r="F9" s="78"/>
      <c r="G9" s="317"/>
      <c r="H9" s="78"/>
      <c r="I9" s="101"/>
      <c r="J9" s="78"/>
      <c r="L9" s="213"/>
    </row>
    <row r="10" spans="2:12" s="27" customFormat="1" ht="13.5" customHeight="1">
      <c r="B10" s="138"/>
      <c r="C10" s="34"/>
      <c r="D10" s="34"/>
      <c r="E10" s="34"/>
      <c r="F10" s="34"/>
      <c r="G10" s="319"/>
      <c r="H10" s="34"/>
      <c r="I10" s="34"/>
      <c r="J10" s="34"/>
      <c r="K10" s="34"/>
      <c r="L10" s="320"/>
    </row>
    <row r="11" spans="2:17" s="27" customFormat="1" ht="13.5" customHeight="1">
      <c r="B11" s="90" t="s">
        <v>607</v>
      </c>
      <c r="H11" s="63"/>
      <c r="I11" s="63"/>
      <c r="J11" s="63"/>
      <c r="L11" s="63"/>
      <c r="Q11" s="318"/>
    </row>
    <row r="12" spans="2:17" s="27" customFormat="1" ht="13.5" customHeight="1">
      <c r="B12" s="90"/>
      <c r="H12" s="63"/>
      <c r="I12" s="63"/>
      <c r="J12" s="63"/>
      <c r="L12" s="63"/>
      <c r="Q12" s="318"/>
    </row>
    <row r="13" spans="2:17" s="27" customFormat="1" ht="13.5" customHeight="1">
      <c r="B13" s="212" t="s">
        <v>206</v>
      </c>
      <c r="C13" s="98"/>
      <c r="D13" s="86" t="str">
        <f>IF(AND('Budget 2006'!G40="JA",'Budget 2006'!G41="ja"),"ja","nee")</f>
        <v>nee</v>
      </c>
      <c r="H13" s="63"/>
      <c r="I13" s="63"/>
      <c r="J13" s="63"/>
      <c r="L13" s="63"/>
      <c r="Q13" s="318"/>
    </row>
    <row r="14" spans="6:17" s="27" customFormat="1" ht="13.5" customHeight="1">
      <c r="F14" s="63"/>
      <c r="G14" s="91" t="s">
        <v>516</v>
      </c>
      <c r="H14" s="91" t="s">
        <v>517</v>
      </c>
      <c r="J14" s="91" t="s">
        <v>176</v>
      </c>
      <c r="L14" s="91" t="s">
        <v>517</v>
      </c>
      <c r="M14" s="91" t="s">
        <v>176</v>
      </c>
      <c r="N14" s="369" t="s">
        <v>557</v>
      </c>
      <c r="O14" s="370"/>
      <c r="P14" s="371"/>
      <c r="Q14" s="63"/>
    </row>
    <row r="15" spans="2:21" s="27" customFormat="1" ht="13.5" customHeight="1">
      <c r="B15" s="323" t="s">
        <v>555</v>
      </c>
      <c r="C15" s="222"/>
      <c r="F15" s="63"/>
      <c r="G15" s="211" t="s">
        <v>518</v>
      </c>
      <c r="H15" s="211" t="s">
        <v>542</v>
      </c>
      <c r="J15" s="211" t="s">
        <v>554</v>
      </c>
      <c r="L15" s="211" t="s">
        <v>542</v>
      </c>
      <c r="M15" s="211" t="s">
        <v>554</v>
      </c>
      <c r="N15" s="91" t="s">
        <v>556</v>
      </c>
      <c r="O15" s="91" t="s">
        <v>556</v>
      </c>
      <c r="P15" s="91" t="s">
        <v>556</v>
      </c>
      <c r="Q15" s="63"/>
      <c r="R15" s="214">
        <f>R19+R23+R30+R34+R41+R45+R58</f>
        <v>0</v>
      </c>
      <c r="U15" s="3">
        <v>39083</v>
      </c>
    </row>
    <row r="16" spans="2:26" s="27" customFormat="1" ht="13.5" customHeight="1">
      <c r="B16" s="80"/>
      <c r="F16" s="132"/>
      <c r="G16" s="223"/>
      <c r="H16" s="92" t="s">
        <v>522</v>
      </c>
      <c r="J16" s="92" t="s">
        <v>522</v>
      </c>
      <c r="L16" s="92" t="s">
        <v>205</v>
      </c>
      <c r="M16" s="92" t="s">
        <v>205</v>
      </c>
      <c r="N16" s="211">
        <v>1</v>
      </c>
      <c r="O16" s="211">
        <v>2</v>
      </c>
      <c r="P16" s="211">
        <v>3</v>
      </c>
      <c r="Q16" s="63"/>
      <c r="R16" s="3" t="s">
        <v>559</v>
      </c>
      <c r="S16" s="3" t="s">
        <v>524</v>
      </c>
      <c r="T16" s="3" t="s">
        <v>525</v>
      </c>
      <c r="U16" s="3" t="s">
        <v>526</v>
      </c>
      <c r="V16" s="3" t="s">
        <v>527</v>
      </c>
      <c r="W16" s="224" t="s">
        <v>528</v>
      </c>
      <c r="X16" s="224" t="s">
        <v>518</v>
      </c>
      <c r="Y16" s="224" t="s">
        <v>529</v>
      </c>
      <c r="Z16" s="225"/>
    </row>
    <row r="17" spans="2:26" s="27" customFormat="1" ht="13.5" customHeight="1">
      <c r="B17" s="86">
        <f>B9+1</f>
        <v>1102</v>
      </c>
      <c r="C17" s="87" t="s">
        <v>563</v>
      </c>
      <c r="D17" s="78"/>
      <c r="E17" s="78"/>
      <c r="F17" s="98"/>
      <c r="G17" s="226">
        <v>38718</v>
      </c>
      <c r="H17" s="213"/>
      <c r="I17" s="213"/>
      <c r="J17" s="213"/>
      <c r="K17" s="228"/>
      <c r="L17" s="230">
        <f>H17</f>
        <v>0</v>
      </c>
      <c r="M17" s="230">
        <f>J17</f>
        <v>0</v>
      </c>
      <c r="N17" s="338"/>
      <c r="O17" s="338"/>
      <c r="P17" s="338"/>
      <c r="S17" s="231">
        <v>0</v>
      </c>
      <c r="T17" s="231">
        <f>H17*365</f>
        <v>0</v>
      </c>
      <c r="U17" s="231">
        <f>IF(OR(G17=0,H17=0),0,$U$15-G17)</f>
        <v>0</v>
      </c>
      <c r="V17" s="232">
        <v>38718</v>
      </c>
      <c r="W17" s="232">
        <v>38718</v>
      </c>
      <c r="X17" s="233">
        <v>38718</v>
      </c>
      <c r="Y17" s="233"/>
      <c r="Z17" s="2"/>
    </row>
    <row r="18" spans="2:26" s="27" customFormat="1" ht="13.5" customHeight="1">
      <c r="B18" s="86">
        <f>B17+1</f>
        <v>1103</v>
      </c>
      <c r="C18" s="87" t="s">
        <v>565</v>
      </c>
      <c r="D18" s="78"/>
      <c r="E18" s="78"/>
      <c r="F18" s="98"/>
      <c r="G18" s="278"/>
      <c r="H18" s="213"/>
      <c r="I18" s="213"/>
      <c r="J18" s="213"/>
      <c r="K18" s="228"/>
      <c r="L18" s="229">
        <f>IF(AND(G18="",H18="",J18=""),"",ROUND(H18/365*$U18,2))</f>
      </c>
      <c r="M18" s="230">
        <f>IF(AND(G18="",H18="",J18=""),"",ROUND(J18/365*$U18,0))</f>
      </c>
      <c r="N18" s="338"/>
      <c r="O18" s="338"/>
      <c r="P18" s="338"/>
      <c r="S18" s="242">
        <f>IF(H18&lt;0,MAX(H18*365,-SUM(J17)),0)</f>
        <v>0</v>
      </c>
      <c r="T18" s="242">
        <f>IF(H18&gt;0,H18*365,0)</f>
        <v>0</v>
      </c>
      <c r="U18" s="242">
        <f>IF(OR(G18=0,H18=0),0,$U$15-G18)</f>
        <v>0</v>
      </c>
      <c r="V18" s="243">
        <f>MAX(X17:X$42)</f>
        <v>38718</v>
      </c>
      <c r="W18" s="243">
        <v>39083</v>
      </c>
      <c r="X18" s="246">
        <f>IF(G18=0,X17,IF(G18&lt;MAX(X17:X17),MAX(X17:X17),G18))</f>
        <v>38718</v>
      </c>
      <c r="Y18" s="246">
        <f>IF(G18="",0,G18)</f>
        <v>0</v>
      </c>
      <c r="Z18" s="2"/>
    </row>
    <row r="19" spans="2:26" s="27" customFormat="1" ht="13.5" customHeight="1">
      <c r="B19" s="247">
        <f>B18+1</f>
        <v>1104</v>
      </c>
      <c r="C19" s="248" t="s">
        <v>564</v>
      </c>
      <c r="D19" s="249"/>
      <c r="E19" s="249"/>
      <c r="F19" s="249"/>
      <c r="G19" s="250"/>
      <c r="H19" s="251">
        <f>SUM(H17:H18)</f>
        <v>0</v>
      </c>
      <c r="I19" s="252"/>
      <c r="J19" s="251">
        <f>SUM(J17:J18)</f>
        <v>0</v>
      </c>
      <c r="K19" s="252"/>
      <c r="L19" s="253">
        <f>SUM(L17:L18)</f>
        <v>0</v>
      </c>
      <c r="M19" s="251">
        <f>SUM(M17:M18)</f>
        <v>0</v>
      </c>
      <c r="N19" s="251">
        <f>SUM(N17:N18)</f>
        <v>0</v>
      </c>
      <c r="O19" s="251">
        <f>SUM(O17:O18)</f>
        <v>0</v>
      </c>
      <c r="P19" s="251">
        <f>SUM(P17:P18)</f>
        <v>0</v>
      </c>
      <c r="R19" s="214">
        <f>H19</f>
        <v>0</v>
      </c>
      <c r="V19" s="34"/>
      <c r="W19" s="34"/>
      <c r="X19" s="34"/>
      <c r="Y19" s="34"/>
      <c r="Z19" s="34"/>
    </row>
    <row r="20" spans="2:20" s="27" customFormat="1" ht="13.5" customHeight="1">
      <c r="B20" s="80"/>
      <c r="H20" s="228"/>
      <c r="I20" s="228"/>
      <c r="J20" s="228"/>
      <c r="K20" s="228"/>
      <c r="L20" s="228"/>
      <c r="M20" s="228"/>
      <c r="T20" s="255"/>
    </row>
    <row r="21" spans="2:26" s="27" customFormat="1" ht="13.5" customHeight="1">
      <c r="B21" s="86">
        <f>B19+1</f>
        <v>1105</v>
      </c>
      <c r="C21" s="87" t="s">
        <v>567</v>
      </c>
      <c r="D21" s="78"/>
      <c r="E21" s="78"/>
      <c r="F21" s="98"/>
      <c r="G21" s="226">
        <v>38718</v>
      </c>
      <c r="H21" s="213"/>
      <c r="I21" s="213"/>
      <c r="J21" s="213"/>
      <c r="K21" s="228"/>
      <c r="L21" s="230">
        <f>H21</f>
        <v>0</v>
      </c>
      <c r="M21" s="230">
        <f>J21</f>
        <v>0</v>
      </c>
      <c r="S21" s="231">
        <v>0</v>
      </c>
      <c r="T21" s="231">
        <f>H21*365</f>
        <v>0</v>
      </c>
      <c r="U21" s="231">
        <f>IF(OR(G21=0,H21=0),0,$U$15-G21)</f>
        <v>0</v>
      </c>
      <c r="V21" s="232">
        <v>38718</v>
      </c>
      <c r="W21" s="232">
        <v>38718</v>
      </c>
      <c r="X21" s="233">
        <v>38718</v>
      </c>
      <c r="Y21" s="233"/>
      <c r="Z21" s="2"/>
    </row>
    <row r="22" spans="2:26" s="27" customFormat="1" ht="13.5" customHeight="1">
      <c r="B22" s="86">
        <f>B21+1</f>
        <v>1106</v>
      </c>
      <c r="C22" s="87" t="s">
        <v>568</v>
      </c>
      <c r="D22" s="78"/>
      <c r="E22" s="78"/>
      <c r="F22" s="98"/>
      <c r="G22" s="278"/>
      <c r="H22" s="213"/>
      <c r="I22" s="213"/>
      <c r="J22" s="213"/>
      <c r="K22" s="228"/>
      <c r="L22" s="229">
        <f>IF(AND(G22="",H22="",J22=""),"",ROUND(H22/365*$U22,2))</f>
      </c>
      <c r="M22" s="230">
        <f>IF(AND(G22="",H22="",J22=""),"",ROUND(J22/365*$U22,0))</f>
      </c>
      <c r="S22" s="242">
        <f>IF(H22&lt;0,MAX(H22*365,-SUM(J21)),0)</f>
        <v>0</v>
      </c>
      <c r="T22" s="242">
        <f>IF(H22&gt;0,H22*365,0)</f>
        <v>0</v>
      </c>
      <c r="U22" s="242">
        <f>IF(OR(G22=0,H22=0),0,$U$15-G22)</f>
        <v>0</v>
      </c>
      <c r="V22" s="243">
        <f>MAX(X21:X$50)</f>
        <v>38718</v>
      </c>
      <c r="W22" s="243">
        <v>39083</v>
      </c>
      <c r="X22" s="246">
        <f>IF(G22=0,X21,IF(G22&lt;MAX(X21:X21),MAX(X21:X21),G22))</f>
        <v>38718</v>
      </c>
      <c r="Y22" s="246">
        <f>IF(G22="",0,G22)</f>
        <v>0</v>
      </c>
      <c r="Z22" s="2"/>
    </row>
    <row r="23" spans="2:26" s="27" customFormat="1" ht="13.5" customHeight="1">
      <c r="B23" s="247">
        <f>B22+1</f>
        <v>1107</v>
      </c>
      <c r="C23" s="248" t="s">
        <v>566</v>
      </c>
      <c r="D23" s="249"/>
      <c r="E23" s="249"/>
      <c r="F23" s="249"/>
      <c r="G23" s="250"/>
      <c r="H23" s="251">
        <f>SUM(H21:H22)</f>
        <v>0</v>
      </c>
      <c r="I23" s="252"/>
      <c r="J23" s="251">
        <f>SUM(J21:J22)</f>
        <v>0</v>
      </c>
      <c r="K23" s="252"/>
      <c r="L23" s="253">
        <f>SUM(L21:L22)</f>
        <v>0</v>
      </c>
      <c r="M23" s="251">
        <f>SUM(M21:M22)</f>
        <v>0</v>
      </c>
      <c r="R23" s="214">
        <f>H23</f>
        <v>0</v>
      </c>
      <c r="V23" s="34"/>
      <c r="W23" s="34"/>
      <c r="X23" s="34"/>
      <c r="Y23" s="34"/>
      <c r="Z23" s="34"/>
    </row>
    <row r="24" spans="2:13" s="27" customFormat="1" ht="13.5" customHeight="1">
      <c r="B24" s="80"/>
      <c r="H24" s="228"/>
      <c r="I24" s="228"/>
      <c r="J24" s="228"/>
      <c r="K24" s="228"/>
      <c r="L24" s="228"/>
      <c r="M24" s="228"/>
    </row>
    <row r="25" ht="12.75"/>
    <row r="26" ht="15">
      <c r="B26" s="323" t="s">
        <v>560</v>
      </c>
    </row>
    <row r="27" ht="12.75">
      <c r="B27" s="216"/>
    </row>
    <row r="28" spans="2:26" s="27" customFormat="1" ht="13.5" customHeight="1">
      <c r="B28" s="86">
        <f>B23+1</f>
        <v>1108</v>
      </c>
      <c r="C28" s="87" t="s">
        <v>563</v>
      </c>
      <c r="D28" s="78"/>
      <c r="E28" s="78"/>
      <c r="F28" s="98"/>
      <c r="G28" s="226">
        <v>38718</v>
      </c>
      <c r="H28" s="213"/>
      <c r="I28" s="213"/>
      <c r="J28" s="213"/>
      <c r="K28" s="228"/>
      <c r="L28" s="230">
        <f>H28</f>
        <v>0</v>
      </c>
      <c r="M28" s="230">
        <f>J28</f>
        <v>0</v>
      </c>
      <c r="N28" s="338"/>
      <c r="O28" s="338"/>
      <c r="P28" s="338"/>
      <c r="S28" s="231">
        <v>0</v>
      </c>
      <c r="T28" s="231">
        <f>H28*365</f>
        <v>0</v>
      </c>
      <c r="U28" s="231">
        <f>IF(OR(G28=0,H28=0),0,$U$15-G28)</f>
        <v>0</v>
      </c>
      <c r="V28" s="232">
        <v>38718</v>
      </c>
      <c r="W28" s="232">
        <v>38718</v>
      </c>
      <c r="X28" s="233">
        <v>38718</v>
      </c>
      <c r="Y28" s="233"/>
      <c r="Z28" s="2"/>
    </row>
    <row r="29" spans="2:26" s="27" customFormat="1" ht="13.5" customHeight="1">
      <c r="B29" s="86">
        <f>B28+1</f>
        <v>1109</v>
      </c>
      <c r="C29" s="87" t="s">
        <v>565</v>
      </c>
      <c r="D29" s="78"/>
      <c r="E29" s="78"/>
      <c r="F29" s="98"/>
      <c r="G29" s="278"/>
      <c r="H29" s="213"/>
      <c r="I29" s="213"/>
      <c r="J29" s="213"/>
      <c r="K29" s="228"/>
      <c r="L29" s="229">
        <f>IF(AND(G29="",H29="",J29=""),"",ROUND(H29/365*$U29,2))</f>
      </c>
      <c r="M29" s="230">
        <f>IF(AND(G29="",H29="",J29=""),"",ROUND(J29/365*$U29,0))</f>
      </c>
      <c r="N29" s="338"/>
      <c r="O29" s="338"/>
      <c r="P29" s="338"/>
      <c r="S29" s="242">
        <f>IF(H29&lt;0,MAX(H29*365,-SUM(J28)),0)</f>
        <v>0</v>
      </c>
      <c r="T29" s="242">
        <f>IF(H29&gt;0,H29*365,0)</f>
        <v>0</v>
      </c>
      <c r="U29" s="242">
        <f>IF(OR(G29=0,H29=0),0,$U$15-G29)</f>
        <v>0</v>
      </c>
      <c r="V29" s="243">
        <f>MAX(X28:X$42)</f>
        <v>38718</v>
      </c>
      <c r="W29" s="243">
        <v>39083</v>
      </c>
      <c r="X29" s="246">
        <f>IF(G29=0,X28,IF(G29&lt;MAX(X28:X28),MAX(X28:X28),G29))</f>
        <v>38718</v>
      </c>
      <c r="Y29" s="246">
        <f>IF(G29="",0,G29)</f>
        <v>0</v>
      </c>
      <c r="Z29" s="2"/>
    </row>
    <row r="30" spans="2:26" s="27" customFormat="1" ht="13.5" customHeight="1">
      <c r="B30" s="247">
        <f>B29+1</f>
        <v>1110</v>
      </c>
      <c r="C30" s="248" t="s">
        <v>564</v>
      </c>
      <c r="D30" s="249"/>
      <c r="E30" s="249"/>
      <c r="F30" s="249"/>
      <c r="G30" s="250"/>
      <c r="H30" s="251">
        <f>SUM(H28:H29)</f>
        <v>0</v>
      </c>
      <c r="I30" s="252"/>
      <c r="J30" s="251">
        <f>SUM(J28:J29)</f>
        <v>0</v>
      </c>
      <c r="K30" s="252"/>
      <c r="L30" s="253">
        <f>SUM(L28:L29)</f>
        <v>0</v>
      </c>
      <c r="M30" s="251">
        <f>SUM(M28:M29)</f>
        <v>0</v>
      </c>
      <c r="N30" s="251">
        <f>SUM(N28:N29)</f>
        <v>0</v>
      </c>
      <c r="O30" s="251">
        <f>SUM(O28:O29)</f>
        <v>0</v>
      </c>
      <c r="P30" s="251">
        <f>SUM(P28:P29)</f>
        <v>0</v>
      </c>
      <c r="R30" s="214">
        <f>H30</f>
        <v>0</v>
      </c>
      <c r="V30" s="34"/>
      <c r="W30" s="34"/>
      <c r="X30" s="34"/>
      <c r="Y30" s="34"/>
      <c r="Z30" s="34"/>
    </row>
    <row r="31" spans="2:20" s="27" customFormat="1" ht="13.5" customHeight="1">
      <c r="B31" s="80"/>
      <c r="H31" s="228"/>
      <c r="I31" s="228"/>
      <c r="J31" s="228"/>
      <c r="K31" s="228"/>
      <c r="L31" s="228"/>
      <c r="M31" s="228"/>
      <c r="T31" s="255"/>
    </row>
    <row r="32" spans="2:26" s="27" customFormat="1" ht="13.5" customHeight="1">
      <c r="B32" s="86">
        <f>B30+1</f>
        <v>1111</v>
      </c>
      <c r="C32" s="87" t="s">
        <v>606</v>
      </c>
      <c r="D32" s="78"/>
      <c r="E32" s="78"/>
      <c r="F32" s="98"/>
      <c r="G32" s="226">
        <v>38718</v>
      </c>
      <c r="H32" s="213"/>
      <c r="I32" s="213"/>
      <c r="J32" s="213"/>
      <c r="K32" s="228"/>
      <c r="L32" s="230">
        <f>H32</f>
        <v>0</v>
      </c>
      <c r="M32" s="230">
        <f>J32</f>
        <v>0</v>
      </c>
      <c r="S32" s="231">
        <v>0</v>
      </c>
      <c r="T32" s="231">
        <f>H32*365</f>
        <v>0</v>
      </c>
      <c r="U32" s="231">
        <f>IF(OR(G32=0,H32=0),0,$U$15-G32)</f>
        <v>0</v>
      </c>
      <c r="V32" s="232">
        <v>38718</v>
      </c>
      <c r="W32" s="232">
        <v>38718</v>
      </c>
      <c r="X32" s="233">
        <v>38718</v>
      </c>
      <c r="Y32" s="233"/>
      <c r="Z32" s="2"/>
    </row>
    <row r="33" spans="2:26" s="27" customFormat="1" ht="13.5" customHeight="1">
      <c r="B33" s="86">
        <f>B32+1</f>
        <v>1112</v>
      </c>
      <c r="C33" s="87" t="s">
        <v>568</v>
      </c>
      <c r="D33" s="78"/>
      <c r="E33" s="78"/>
      <c r="F33" s="98"/>
      <c r="G33" s="278"/>
      <c r="H33" s="213"/>
      <c r="I33" s="213"/>
      <c r="J33" s="213"/>
      <c r="K33" s="228"/>
      <c r="L33" s="229">
        <f>IF(AND(G33="",H33="",J33=""),"",ROUND(H33/365*$U33,2))</f>
      </c>
      <c r="M33" s="230">
        <f>IF(AND(G33="",H33="",J33=""),"",ROUND(J33/365*$U33,0))</f>
      </c>
      <c r="S33" s="242">
        <f>IF(H33&lt;0,MAX(H33*365,-SUM(J32)),0)</f>
        <v>0</v>
      </c>
      <c r="T33" s="242">
        <f>IF(H33&gt;0,H33*365,0)</f>
        <v>0</v>
      </c>
      <c r="U33" s="242">
        <f>IF(OR(G33=0,H33=0),0,$U$15-G33)</f>
        <v>0</v>
      </c>
      <c r="V33" s="243">
        <f>MAX(X32:X$50)</f>
        <v>38718</v>
      </c>
      <c r="W33" s="243">
        <v>39083</v>
      </c>
      <c r="X33" s="246">
        <f>IF(G33=0,X32,IF(G33&lt;MAX(X32:X32),MAX(X32:X32),G33))</f>
        <v>38718</v>
      </c>
      <c r="Y33" s="246">
        <f>IF(G33="",0,G33)</f>
        <v>0</v>
      </c>
      <c r="Z33" s="2"/>
    </row>
    <row r="34" spans="2:26" s="27" customFormat="1" ht="13.5" customHeight="1">
      <c r="B34" s="247">
        <f>B33+1</f>
        <v>1113</v>
      </c>
      <c r="C34" s="248" t="s">
        <v>566</v>
      </c>
      <c r="D34" s="249"/>
      <c r="E34" s="249"/>
      <c r="F34" s="249"/>
      <c r="G34" s="250"/>
      <c r="H34" s="251">
        <f>SUM(H32:H33)</f>
        <v>0</v>
      </c>
      <c r="I34" s="252"/>
      <c r="J34" s="251">
        <f>SUM(J32:J33)</f>
        <v>0</v>
      </c>
      <c r="K34" s="252"/>
      <c r="L34" s="253">
        <f>SUM(L32:L33)</f>
        <v>0</v>
      </c>
      <c r="M34" s="251">
        <f>SUM(M32:M33)</f>
        <v>0</v>
      </c>
      <c r="R34" s="214">
        <f>H34</f>
        <v>0</v>
      </c>
      <c r="V34" s="34"/>
      <c r="W34" s="34"/>
      <c r="X34" s="34"/>
      <c r="Y34" s="34"/>
      <c r="Z34" s="34"/>
    </row>
    <row r="35" ht="12.75"/>
    <row r="36" ht="12.75"/>
    <row r="37" ht="15">
      <c r="B37" s="323" t="s">
        <v>561</v>
      </c>
    </row>
    <row r="38" ht="12.75">
      <c r="B38" s="216"/>
    </row>
    <row r="39" spans="2:26" s="27" customFormat="1" ht="13.5" customHeight="1">
      <c r="B39" s="86">
        <f>B34+1</f>
        <v>1114</v>
      </c>
      <c r="C39" s="87" t="s">
        <v>563</v>
      </c>
      <c r="D39" s="78"/>
      <c r="E39" s="78"/>
      <c r="F39" s="98"/>
      <c r="G39" s="226">
        <v>38718</v>
      </c>
      <c r="H39" s="213"/>
      <c r="I39" s="213"/>
      <c r="J39" s="213"/>
      <c r="K39" s="228"/>
      <c r="L39" s="230">
        <f>H39</f>
        <v>0</v>
      </c>
      <c r="M39" s="230">
        <f>J39</f>
        <v>0</v>
      </c>
      <c r="N39" s="338"/>
      <c r="O39" s="338"/>
      <c r="P39" s="338"/>
      <c r="S39" s="231">
        <v>0</v>
      </c>
      <c r="T39" s="231">
        <f>H39*365</f>
        <v>0</v>
      </c>
      <c r="U39" s="231">
        <f>IF(OR(G39=0,H39=0),0,$U$15-G39)</f>
        <v>0</v>
      </c>
      <c r="V39" s="232">
        <v>38718</v>
      </c>
      <c r="W39" s="232">
        <v>38718</v>
      </c>
      <c r="X39" s="233">
        <v>38718</v>
      </c>
      <c r="Y39" s="233"/>
      <c r="Z39" s="2"/>
    </row>
    <row r="40" spans="2:26" s="27" customFormat="1" ht="13.5" customHeight="1">
      <c r="B40" s="86">
        <f>B39+1</f>
        <v>1115</v>
      </c>
      <c r="C40" s="87" t="s">
        <v>565</v>
      </c>
      <c r="D40" s="78"/>
      <c r="E40" s="78"/>
      <c r="F40" s="98"/>
      <c r="G40" s="278"/>
      <c r="H40" s="213"/>
      <c r="I40" s="213"/>
      <c r="J40" s="213"/>
      <c r="K40" s="228"/>
      <c r="L40" s="229">
        <f>IF(AND(G40="",H40="",J40=""),"",ROUND(H40/365*$U40,2))</f>
      </c>
      <c r="M40" s="230">
        <f>IF(AND(G40="",H40="",J40=""),"",ROUND(J40/365*$U40,0))</f>
      </c>
      <c r="N40" s="338"/>
      <c r="O40" s="338"/>
      <c r="P40" s="338"/>
      <c r="S40" s="242">
        <f>IF(H40&lt;0,MAX(H40*365,-SUM(J39)),0)</f>
        <v>0</v>
      </c>
      <c r="T40" s="242">
        <f>IF(H40&gt;0,H40*365,0)</f>
        <v>0</v>
      </c>
      <c r="U40" s="242">
        <f>IF(OR(G40=0,H40=0),0,$U$15-G40)</f>
        <v>0</v>
      </c>
      <c r="V40" s="243">
        <f>MAX(X39:X$42)</f>
        <v>38718</v>
      </c>
      <c r="W40" s="243">
        <v>39083</v>
      </c>
      <c r="X40" s="246">
        <f>IF(G40=0,X39,IF(G40&lt;MAX(X39:X39),MAX(X39:X39),G40))</f>
        <v>38718</v>
      </c>
      <c r="Y40" s="246">
        <f>IF(G40="",0,G40)</f>
        <v>0</v>
      </c>
      <c r="Z40" s="2"/>
    </row>
    <row r="41" spans="2:26" s="27" customFormat="1" ht="13.5" customHeight="1">
      <c r="B41" s="247">
        <f>B40+1</f>
        <v>1116</v>
      </c>
      <c r="C41" s="248" t="s">
        <v>564</v>
      </c>
      <c r="D41" s="249"/>
      <c r="E41" s="249"/>
      <c r="F41" s="249"/>
      <c r="G41" s="250"/>
      <c r="H41" s="251">
        <f>SUM(H39:H40)</f>
        <v>0</v>
      </c>
      <c r="I41" s="252"/>
      <c r="J41" s="251">
        <f>SUM(J39:J40)</f>
        <v>0</v>
      </c>
      <c r="K41" s="252"/>
      <c r="L41" s="253">
        <f>SUM(L39:L40)</f>
        <v>0</v>
      </c>
      <c r="M41" s="251">
        <f>SUM(M39:M40)</f>
        <v>0</v>
      </c>
      <c r="N41" s="251">
        <f>SUM(N39:N40)</f>
        <v>0</v>
      </c>
      <c r="O41" s="251">
        <f>SUM(O39:O40)</f>
        <v>0</v>
      </c>
      <c r="P41" s="251">
        <f>SUM(P39:P40)</f>
        <v>0</v>
      </c>
      <c r="R41" s="214">
        <f>H41</f>
        <v>0</v>
      </c>
      <c r="V41" s="34"/>
      <c r="W41" s="34"/>
      <c r="X41" s="34"/>
      <c r="Y41" s="34"/>
      <c r="Z41" s="34"/>
    </row>
    <row r="42" spans="2:20" s="27" customFormat="1" ht="13.5" customHeight="1">
      <c r="B42" s="80"/>
      <c r="H42" s="228"/>
      <c r="I42" s="228"/>
      <c r="J42" s="228"/>
      <c r="K42" s="228"/>
      <c r="L42" s="228"/>
      <c r="M42" s="228"/>
      <c r="T42" s="255"/>
    </row>
    <row r="43" spans="2:26" s="27" customFormat="1" ht="13.5" customHeight="1">
      <c r="B43" s="86">
        <f>B41+1</f>
        <v>1117</v>
      </c>
      <c r="C43" s="87" t="s">
        <v>567</v>
      </c>
      <c r="D43" s="78"/>
      <c r="E43" s="78"/>
      <c r="F43" s="98"/>
      <c r="G43" s="226">
        <v>38718</v>
      </c>
      <c r="H43" s="213"/>
      <c r="I43" s="213"/>
      <c r="J43" s="213"/>
      <c r="K43" s="228"/>
      <c r="L43" s="230">
        <f>H43</f>
        <v>0</v>
      </c>
      <c r="M43" s="230">
        <f>J43</f>
        <v>0</v>
      </c>
      <c r="S43" s="231">
        <v>0</v>
      </c>
      <c r="T43" s="231">
        <f>H43*365</f>
        <v>0</v>
      </c>
      <c r="U43" s="231">
        <f>IF(OR(G43=0,H43=0),0,$U$15-G43)</f>
        <v>0</v>
      </c>
      <c r="V43" s="232">
        <v>38718</v>
      </c>
      <c r="W43" s="232">
        <v>38718</v>
      </c>
      <c r="X43" s="233">
        <v>38718</v>
      </c>
      <c r="Y43" s="233"/>
      <c r="Z43" s="2"/>
    </row>
    <row r="44" spans="2:26" s="27" customFormat="1" ht="13.5" customHeight="1">
      <c r="B44" s="86">
        <f>B43+1</f>
        <v>1118</v>
      </c>
      <c r="C44" s="87" t="s">
        <v>568</v>
      </c>
      <c r="D44" s="78"/>
      <c r="E44" s="78"/>
      <c r="F44" s="98"/>
      <c r="G44" s="278"/>
      <c r="H44" s="213"/>
      <c r="I44" s="213"/>
      <c r="J44" s="213"/>
      <c r="K44" s="228"/>
      <c r="L44" s="229">
        <f>IF(AND(G44="",H44="",J44=""),"",ROUND(H44/365*$U44,2))</f>
      </c>
      <c r="M44" s="230">
        <f>IF(AND(G44="",H44="",J44=""),"",ROUND(J44/365*$U44,0))</f>
      </c>
      <c r="S44" s="242">
        <f>IF(H44&lt;0,MAX(H44*365,-SUM(J43)),0)</f>
        <v>0</v>
      </c>
      <c r="T44" s="242">
        <f>IF(H44&gt;0,H44*365,0)</f>
        <v>0</v>
      </c>
      <c r="U44" s="242">
        <f>IF(OR(G44=0,H44=0),0,$U$15-G44)</f>
        <v>0</v>
      </c>
      <c r="V44" s="243">
        <f>MAX(X43:X$50)</f>
        <v>38718</v>
      </c>
      <c r="W44" s="243">
        <v>39083</v>
      </c>
      <c r="X44" s="246">
        <f>IF(G44=0,X43,IF(G44&lt;MAX(X43:X43),MAX(X43:X43),G44))</f>
        <v>38718</v>
      </c>
      <c r="Y44" s="246">
        <f>IF(G44="",0,G44)</f>
        <v>0</v>
      </c>
      <c r="Z44" s="2"/>
    </row>
    <row r="45" spans="2:26" s="27" customFormat="1" ht="13.5" customHeight="1">
      <c r="B45" s="247">
        <f>B44+1</f>
        <v>1119</v>
      </c>
      <c r="C45" s="248" t="s">
        <v>566</v>
      </c>
      <c r="D45" s="249"/>
      <c r="E45" s="249"/>
      <c r="F45" s="249"/>
      <c r="G45" s="250"/>
      <c r="H45" s="251">
        <f>SUM(H43:H44)</f>
        <v>0</v>
      </c>
      <c r="I45" s="252"/>
      <c r="J45" s="251">
        <f>SUM(J43:J44)</f>
        <v>0</v>
      </c>
      <c r="K45" s="252"/>
      <c r="L45" s="253">
        <f>SUM(L43:L44)</f>
        <v>0</v>
      </c>
      <c r="M45" s="251">
        <f>SUM(M43:M44)</f>
        <v>0</v>
      </c>
      <c r="R45" s="214">
        <f>H45</f>
        <v>0</v>
      </c>
      <c r="V45" s="34"/>
      <c r="W45" s="34"/>
      <c r="X45" s="34"/>
      <c r="Y45" s="34"/>
      <c r="Z45" s="34"/>
    </row>
    <row r="46" ht="12.75"/>
    <row r="47" ht="12.75">
      <c r="B47" s="134" t="s">
        <v>40</v>
      </c>
    </row>
    <row r="48" spans="1:11" s="27" customFormat="1" ht="12.75" customHeight="1">
      <c r="A48" s="74" t="s">
        <v>207</v>
      </c>
      <c r="B48" s="134" t="s">
        <v>89</v>
      </c>
      <c r="I48" s="74" t="s">
        <v>207</v>
      </c>
      <c r="K48" s="74" t="s">
        <v>207</v>
      </c>
    </row>
    <row r="49" spans="1:11" s="27" customFormat="1" ht="18" customHeight="1">
      <c r="A49" s="74"/>
      <c r="B49" s="134"/>
      <c r="I49" s="74"/>
      <c r="K49" s="74"/>
    </row>
    <row r="50" spans="2:16" s="27" customFormat="1" ht="18" customHeight="1">
      <c r="B50" s="75" t="s">
        <v>36</v>
      </c>
      <c r="C50" s="75"/>
      <c r="D50" s="75"/>
      <c r="E50" s="89"/>
      <c r="F50" s="123" t="str">
        <f>CONCATENATE(Voorblad!$E$11," / ",Voorblad!$F$11)</f>
        <v>650 / </v>
      </c>
      <c r="G50" s="75"/>
      <c r="H50" s="76"/>
      <c r="I50" s="75"/>
      <c r="J50" s="76" t="str">
        <f>"versie: "&amp;TEXT(Voorblad!$M$9,"dd-mm-jjjj")</f>
        <v>versie: 29-08-2006</v>
      </c>
      <c r="K50" s="76"/>
      <c r="L50" s="78"/>
      <c r="M50" s="321"/>
      <c r="P50" s="322">
        <f>P2+1</f>
        <v>12</v>
      </c>
    </row>
    <row r="51" s="27" customFormat="1" ht="12.75">
      <c r="B51" s="80"/>
    </row>
    <row r="52" ht="12.75"/>
    <row r="53" spans="2:12" s="27" customFormat="1" ht="13.5" customHeight="1">
      <c r="B53" s="90" t="s">
        <v>608</v>
      </c>
      <c r="L53" s="63"/>
    </row>
    <row r="54" spans="2:12" s="27" customFormat="1" ht="13.5" customHeight="1">
      <c r="B54" s="90"/>
      <c r="L54" s="63"/>
    </row>
    <row r="55" spans="2:12" s="27" customFormat="1" ht="13.5" customHeight="1">
      <c r="B55" s="212" t="s">
        <v>206</v>
      </c>
      <c r="C55" s="98"/>
      <c r="D55" s="86" t="str">
        <f>IF('Budget 2006'!G41="JA","ja","nee")</f>
        <v>nee</v>
      </c>
      <c r="L55" s="63"/>
    </row>
    <row r="56" spans="2:17" s="27" customFormat="1" ht="13.5" customHeight="1">
      <c r="B56" s="82"/>
      <c r="H56" s="63"/>
      <c r="I56" s="63"/>
      <c r="J56" s="63"/>
      <c r="L56" s="63"/>
      <c r="Q56" s="318"/>
    </row>
    <row r="57" spans="2:17" s="27" customFormat="1" ht="13.5" customHeight="1">
      <c r="B57" s="323" t="s">
        <v>562</v>
      </c>
      <c r="F57" s="63"/>
      <c r="G57" s="91" t="s">
        <v>516</v>
      </c>
      <c r="H57" s="91" t="s">
        <v>517</v>
      </c>
      <c r="J57" s="91" t="s">
        <v>176</v>
      </c>
      <c r="L57" s="91" t="s">
        <v>517</v>
      </c>
      <c r="M57" s="91" t="s">
        <v>176</v>
      </c>
      <c r="N57" s="369" t="s">
        <v>557</v>
      </c>
      <c r="O57" s="370"/>
      <c r="P57" s="371"/>
      <c r="Q57" s="63"/>
    </row>
    <row r="58" spans="3:21" s="27" customFormat="1" ht="13.5" customHeight="1">
      <c r="C58" s="222"/>
      <c r="F58" s="63"/>
      <c r="G58" s="211" t="s">
        <v>518</v>
      </c>
      <c r="H58" s="211" t="s">
        <v>542</v>
      </c>
      <c r="J58" s="211" t="s">
        <v>554</v>
      </c>
      <c r="L58" s="211" t="s">
        <v>542</v>
      </c>
      <c r="M58" s="211" t="s">
        <v>554</v>
      </c>
      <c r="N58" s="91" t="s">
        <v>556</v>
      </c>
      <c r="O58" s="91" t="s">
        <v>556</v>
      </c>
      <c r="P58" s="91" t="s">
        <v>556</v>
      </c>
      <c r="Q58" s="63"/>
      <c r="R58" s="214">
        <f>R62+R66+R72+R76+R91+R95+R101+R105+R112+R116+R122+R126</f>
        <v>0</v>
      </c>
      <c r="U58" s="3">
        <v>39083</v>
      </c>
    </row>
    <row r="59" spans="2:26" s="27" customFormat="1" ht="13.5" customHeight="1">
      <c r="B59" s="80"/>
      <c r="F59" s="132"/>
      <c r="G59" s="223"/>
      <c r="H59" s="92" t="s">
        <v>522</v>
      </c>
      <c r="J59" s="92" t="s">
        <v>522</v>
      </c>
      <c r="L59" s="92" t="s">
        <v>205</v>
      </c>
      <c r="M59" s="92" t="s">
        <v>205</v>
      </c>
      <c r="N59" s="211">
        <v>1</v>
      </c>
      <c r="O59" s="211">
        <v>2</v>
      </c>
      <c r="P59" s="211">
        <v>3</v>
      </c>
      <c r="Q59" s="63"/>
      <c r="R59" s="3" t="s">
        <v>559</v>
      </c>
      <c r="S59" s="3" t="s">
        <v>524</v>
      </c>
      <c r="T59" s="3" t="s">
        <v>525</v>
      </c>
      <c r="U59" s="3" t="s">
        <v>526</v>
      </c>
      <c r="V59" s="3" t="s">
        <v>527</v>
      </c>
      <c r="W59" s="224" t="s">
        <v>528</v>
      </c>
      <c r="X59" s="224" t="s">
        <v>518</v>
      </c>
      <c r="Y59" s="224" t="s">
        <v>529</v>
      </c>
      <c r="Z59" s="225"/>
    </row>
    <row r="60" spans="2:26" s="27" customFormat="1" ht="13.5" customHeight="1">
      <c r="B60" s="86">
        <f>P50*100+1</f>
        <v>1201</v>
      </c>
      <c r="C60" s="87" t="s">
        <v>563</v>
      </c>
      <c r="D60" s="78"/>
      <c r="E60" s="78"/>
      <c r="F60" s="98"/>
      <c r="G60" s="226">
        <v>38718</v>
      </c>
      <c r="H60" s="213"/>
      <c r="I60" s="213"/>
      <c r="J60" s="213"/>
      <c r="K60" s="228"/>
      <c r="L60" s="230">
        <f>H60</f>
        <v>0</v>
      </c>
      <c r="M60" s="230">
        <f>J60</f>
        <v>0</v>
      </c>
      <c r="N60" s="338"/>
      <c r="O60" s="338"/>
      <c r="P60" s="338"/>
      <c r="S60" s="231">
        <v>0</v>
      </c>
      <c r="T60" s="231">
        <f>H60*365</f>
        <v>0</v>
      </c>
      <c r="U60" s="231">
        <f>IF(OR(G60=0,H60=0),0,$U$15-G60)</f>
        <v>0</v>
      </c>
      <c r="V60" s="232">
        <v>38718</v>
      </c>
      <c r="W60" s="232">
        <v>38718</v>
      </c>
      <c r="X60" s="233">
        <v>38718</v>
      </c>
      <c r="Y60" s="233"/>
      <c r="Z60" s="2"/>
    </row>
    <row r="61" spans="2:26" s="27" customFormat="1" ht="13.5" customHeight="1">
      <c r="B61" s="86">
        <f>B60+1</f>
        <v>1202</v>
      </c>
      <c r="C61" s="87" t="s">
        <v>565</v>
      </c>
      <c r="D61" s="78"/>
      <c r="E61" s="78"/>
      <c r="F61" s="98"/>
      <c r="G61" s="278"/>
      <c r="H61" s="213"/>
      <c r="I61" s="213"/>
      <c r="J61" s="213"/>
      <c r="K61" s="228"/>
      <c r="L61" s="229">
        <f>IF(AND(G61="",H61="",J61=""),"",ROUND(H61/365*$U61,2))</f>
      </c>
      <c r="M61" s="230">
        <f>IF(AND(G61="",H61="",J61=""),"",ROUND(J61/365*$U61,0))</f>
      </c>
      <c r="N61" s="338"/>
      <c r="O61" s="338"/>
      <c r="P61" s="338"/>
      <c r="S61" s="242">
        <f>IF(H61&lt;0,MAX(H61*365,-SUM(J60)),0)</f>
        <v>0</v>
      </c>
      <c r="T61" s="242">
        <f>IF(H61&gt;0,H61*365,0)</f>
        <v>0</v>
      </c>
      <c r="U61" s="242">
        <f>IF(OR(G61=0,H61=0),0,$U$15-G61)</f>
        <v>0</v>
      </c>
      <c r="V61" s="243">
        <f>MAX(X$42:X60)</f>
        <v>38718</v>
      </c>
      <c r="W61" s="243">
        <v>39083</v>
      </c>
      <c r="X61" s="246">
        <f>IF(G61=0,X60,IF(G61&lt;MAX(X60:X60),MAX(X60:X60),G61))</f>
        <v>38718</v>
      </c>
      <c r="Y61" s="246">
        <f>IF(G61="",0,G61)</f>
        <v>0</v>
      </c>
      <c r="Z61" s="2"/>
    </row>
    <row r="62" spans="2:26" s="27" customFormat="1" ht="13.5" customHeight="1">
      <c r="B62" s="247">
        <f>B61+1</f>
        <v>1203</v>
      </c>
      <c r="C62" s="248" t="s">
        <v>564</v>
      </c>
      <c r="D62" s="249"/>
      <c r="E62" s="249"/>
      <c r="F62" s="249"/>
      <c r="G62" s="250"/>
      <c r="H62" s="251">
        <f>SUM(H60:H61)</f>
        <v>0</v>
      </c>
      <c r="I62" s="252"/>
      <c r="J62" s="251">
        <f>SUM(J60:J61)</f>
        <v>0</v>
      </c>
      <c r="K62" s="252"/>
      <c r="L62" s="253">
        <f>SUM(L60:L61)</f>
        <v>0</v>
      </c>
      <c r="M62" s="251">
        <f>SUM(M60:M61)</f>
        <v>0</v>
      </c>
      <c r="N62" s="251">
        <f>SUM(N60:N61)</f>
        <v>0</v>
      </c>
      <c r="O62" s="251">
        <f>SUM(O60:O61)</f>
        <v>0</v>
      </c>
      <c r="P62" s="251">
        <f>SUM(P60:P61)</f>
        <v>0</v>
      </c>
      <c r="R62" s="214">
        <f>H62</f>
        <v>0</v>
      </c>
      <c r="V62" s="34"/>
      <c r="W62" s="34"/>
      <c r="X62" s="34"/>
      <c r="Y62" s="34"/>
      <c r="Z62" s="34"/>
    </row>
    <row r="63" spans="2:20" s="27" customFormat="1" ht="13.5" customHeight="1">
      <c r="B63" s="80"/>
      <c r="H63" s="228"/>
      <c r="I63" s="228"/>
      <c r="J63" s="228"/>
      <c r="K63" s="228"/>
      <c r="L63" s="228"/>
      <c r="M63" s="228"/>
      <c r="T63" s="255"/>
    </row>
    <row r="64" spans="2:26" s="27" customFormat="1" ht="13.5" customHeight="1">
      <c r="B64" s="86">
        <f>B62+1</f>
        <v>1204</v>
      </c>
      <c r="C64" s="87" t="s">
        <v>567</v>
      </c>
      <c r="D64" s="78"/>
      <c r="E64" s="78"/>
      <c r="F64" s="98"/>
      <c r="G64" s="226">
        <v>38718</v>
      </c>
      <c r="H64" s="213"/>
      <c r="I64" s="213"/>
      <c r="J64" s="213"/>
      <c r="K64" s="228"/>
      <c r="L64" s="230">
        <f>H64</f>
        <v>0</v>
      </c>
      <c r="M64" s="230">
        <f>J64</f>
        <v>0</v>
      </c>
      <c r="S64" s="231">
        <v>0</v>
      </c>
      <c r="T64" s="231">
        <f>H64*365</f>
        <v>0</v>
      </c>
      <c r="U64" s="231">
        <f>IF(OR(G64=0,H64=0),0,$U$15-G64)</f>
        <v>0</v>
      </c>
      <c r="V64" s="232">
        <v>38718</v>
      </c>
      <c r="W64" s="232">
        <v>38718</v>
      </c>
      <c r="X64" s="233">
        <v>38718</v>
      </c>
      <c r="Y64" s="233"/>
      <c r="Z64" s="2"/>
    </row>
    <row r="65" spans="2:26" s="27" customFormat="1" ht="13.5" customHeight="1">
      <c r="B65" s="86">
        <f>B64+1</f>
        <v>1205</v>
      </c>
      <c r="C65" s="87" t="s">
        <v>568</v>
      </c>
      <c r="D65" s="78"/>
      <c r="E65" s="78"/>
      <c r="F65" s="98"/>
      <c r="G65" s="278"/>
      <c r="H65" s="213"/>
      <c r="I65" s="213"/>
      <c r="J65" s="213"/>
      <c r="K65" s="228"/>
      <c r="L65" s="229">
        <f>IF(AND(G65="",H65="",J65=""),"",ROUND(H65/365*$U65,2))</f>
      </c>
      <c r="M65" s="230">
        <f>IF(AND(G65="",H65="",J65=""),"",ROUND(J65/365*$U65,0))</f>
      </c>
      <c r="S65" s="242">
        <f>IF(H65&lt;0,MAX(H65*365,-SUM(J64)),0)</f>
        <v>0</v>
      </c>
      <c r="T65" s="242">
        <f>IF(H65&gt;0,H65*365,0)</f>
        <v>0</v>
      </c>
      <c r="U65" s="242">
        <f>IF(OR(G65=0,H65=0),0,$U$15-G65)</f>
        <v>0</v>
      </c>
      <c r="V65" s="243">
        <f>MAX(X$50:X64)</f>
        <v>38718</v>
      </c>
      <c r="W65" s="243">
        <v>39083</v>
      </c>
      <c r="X65" s="246">
        <f>IF(G65=0,X64,IF(G65&lt;MAX(X64:X64),MAX(X64:X64),G65))</f>
        <v>38718</v>
      </c>
      <c r="Y65" s="246">
        <f>IF(G65="",0,G65)</f>
        <v>0</v>
      </c>
      <c r="Z65" s="2"/>
    </row>
    <row r="66" spans="2:26" s="27" customFormat="1" ht="13.5" customHeight="1">
      <c r="B66" s="247">
        <f>B65+1</f>
        <v>1206</v>
      </c>
      <c r="C66" s="248" t="s">
        <v>566</v>
      </c>
      <c r="D66" s="249"/>
      <c r="E66" s="249"/>
      <c r="F66" s="249"/>
      <c r="G66" s="250"/>
      <c r="H66" s="251">
        <f>SUM(H64:H65)</f>
        <v>0</v>
      </c>
      <c r="I66" s="252"/>
      <c r="J66" s="251">
        <f>SUM(J64:J65)</f>
        <v>0</v>
      </c>
      <c r="K66" s="252"/>
      <c r="L66" s="253">
        <f>SUM(L64:L65)</f>
        <v>0</v>
      </c>
      <c r="M66" s="251">
        <f>SUM(M64:M65)</f>
        <v>0</v>
      </c>
      <c r="R66" s="214">
        <f>H66</f>
        <v>0</v>
      </c>
      <c r="V66" s="34"/>
      <c r="W66" s="34"/>
      <c r="X66" s="34"/>
      <c r="Y66" s="34"/>
      <c r="Z66" s="34"/>
    </row>
    <row r="67" ht="12.75"/>
    <row r="68" ht="15">
      <c r="B68" s="323" t="s">
        <v>569</v>
      </c>
    </row>
    <row r="69" ht="12.75">
      <c r="B69" s="216"/>
    </row>
    <row r="70" spans="2:26" s="27" customFormat="1" ht="13.5" customHeight="1">
      <c r="B70" s="86">
        <f>B62+1</f>
        <v>1204</v>
      </c>
      <c r="C70" s="87" t="s">
        <v>563</v>
      </c>
      <c r="D70" s="78"/>
      <c r="E70" s="78"/>
      <c r="F70" s="98"/>
      <c r="G70" s="226">
        <v>38718</v>
      </c>
      <c r="H70" s="213"/>
      <c r="I70" s="213"/>
      <c r="J70" s="213"/>
      <c r="K70" s="228"/>
      <c r="L70" s="230">
        <f>H70</f>
        <v>0</v>
      </c>
      <c r="M70" s="230">
        <f>J70</f>
        <v>0</v>
      </c>
      <c r="N70" s="338"/>
      <c r="O70" s="338"/>
      <c r="P70" s="338"/>
      <c r="S70" s="231">
        <v>0</v>
      </c>
      <c r="T70" s="231">
        <f>H70*365</f>
        <v>0</v>
      </c>
      <c r="U70" s="231">
        <f>IF(OR(G70=0,H70=0),0,$U$15-G70)</f>
        <v>0</v>
      </c>
      <c r="V70" s="232">
        <v>38718</v>
      </c>
      <c r="W70" s="232">
        <v>38718</v>
      </c>
      <c r="X70" s="233">
        <v>38718</v>
      </c>
      <c r="Y70" s="233"/>
      <c r="Z70" s="2"/>
    </row>
    <row r="71" spans="2:26" s="27" customFormat="1" ht="13.5" customHeight="1">
      <c r="B71" s="86">
        <f>B70+1</f>
        <v>1205</v>
      </c>
      <c r="C71" s="87" t="s">
        <v>565</v>
      </c>
      <c r="D71" s="78"/>
      <c r="E71" s="78"/>
      <c r="F71" s="98"/>
      <c r="G71" s="278"/>
      <c r="H71" s="213"/>
      <c r="I71" s="213"/>
      <c r="J71" s="213"/>
      <c r="K71" s="228"/>
      <c r="L71" s="229">
        <f>IF(AND(G71="",H71="",J71=""),"",ROUND(H71/365*$U71,2))</f>
      </c>
      <c r="M71" s="230">
        <f>IF(AND(G71="",H71="",J71=""),"",ROUND(J71/365*$U71,0))</f>
      </c>
      <c r="N71" s="338"/>
      <c r="O71" s="338"/>
      <c r="P71" s="338"/>
      <c r="S71" s="242">
        <f>IF(H71&lt;0,MAX(H71*365,-SUM(J70)),0)</f>
        <v>0</v>
      </c>
      <c r="T71" s="242">
        <f>IF(H71&gt;0,H71*365,0)</f>
        <v>0</v>
      </c>
      <c r="U71" s="242">
        <f>IF(OR(G71=0,H71=0),0,$U$15-G71)</f>
        <v>0</v>
      </c>
      <c r="V71" s="243">
        <f>MAX(X$42:X70)</f>
        <v>38718</v>
      </c>
      <c r="W71" s="243">
        <v>39083</v>
      </c>
      <c r="X71" s="246">
        <f>IF(G71=0,X70,IF(G71&lt;MAX(X70:X70),MAX(X70:X70),G71))</f>
        <v>38718</v>
      </c>
      <c r="Y71" s="246">
        <f>IF(G71="",0,G71)</f>
        <v>0</v>
      </c>
      <c r="Z71" s="2"/>
    </row>
    <row r="72" spans="2:26" s="27" customFormat="1" ht="13.5" customHeight="1">
      <c r="B72" s="247">
        <f>B71+1</f>
        <v>1206</v>
      </c>
      <c r="C72" s="248" t="s">
        <v>564</v>
      </c>
      <c r="D72" s="249"/>
      <c r="E72" s="249"/>
      <c r="F72" s="249"/>
      <c r="G72" s="250"/>
      <c r="H72" s="251">
        <f>SUM(H70:H71)</f>
        <v>0</v>
      </c>
      <c r="I72" s="252"/>
      <c r="J72" s="251">
        <f>SUM(J70:J71)</f>
        <v>0</v>
      </c>
      <c r="K72" s="252"/>
      <c r="L72" s="253">
        <f>SUM(L70:L71)</f>
        <v>0</v>
      </c>
      <c r="M72" s="251">
        <f>SUM(M70:M71)</f>
        <v>0</v>
      </c>
      <c r="N72" s="251">
        <f>SUM(N70:N71)</f>
        <v>0</v>
      </c>
      <c r="O72" s="251">
        <f>SUM(O70:O71)</f>
        <v>0</v>
      </c>
      <c r="P72" s="251">
        <f>SUM(P70:P71)</f>
        <v>0</v>
      </c>
      <c r="R72" s="214">
        <f>H72</f>
        <v>0</v>
      </c>
      <c r="V72" s="34"/>
      <c r="W72" s="34"/>
      <c r="X72" s="34"/>
      <c r="Y72" s="34"/>
      <c r="Z72" s="34"/>
    </row>
    <row r="73" spans="2:20" s="27" customFormat="1" ht="13.5" customHeight="1">
      <c r="B73" s="80"/>
      <c r="H73" s="228"/>
      <c r="I73" s="228"/>
      <c r="J73" s="228"/>
      <c r="K73" s="228"/>
      <c r="L73" s="228"/>
      <c r="M73" s="228"/>
      <c r="T73" s="255"/>
    </row>
    <row r="74" spans="2:26" s="27" customFormat="1" ht="13.5" customHeight="1">
      <c r="B74" s="86">
        <f>B72+1</f>
        <v>1207</v>
      </c>
      <c r="C74" s="87" t="s">
        <v>567</v>
      </c>
      <c r="D74" s="78"/>
      <c r="E74" s="78"/>
      <c r="F74" s="98"/>
      <c r="G74" s="226">
        <v>38718</v>
      </c>
      <c r="H74" s="213"/>
      <c r="I74" s="213"/>
      <c r="J74" s="213"/>
      <c r="K74" s="228"/>
      <c r="L74" s="230">
        <f>H74</f>
        <v>0</v>
      </c>
      <c r="M74" s="230">
        <f>J74</f>
        <v>0</v>
      </c>
      <c r="S74" s="231">
        <v>0</v>
      </c>
      <c r="T74" s="231">
        <f>H74*365</f>
        <v>0</v>
      </c>
      <c r="U74" s="231">
        <f>IF(OR(G74=0,H74=0),0,$U$15-G74)</f>
        <v>0</v>
      </c>
      <c r="V74" s="232">
        <v>38718</v>
      </c>
      <c r="W74" s="232">
        <v>38718</v>
      </c>
      <c r="X74" s="233">
        <v>38718</v>
      </c>
      <c r="Y74" s="233"/>
      <c r="Z74" s="2"/>
    </row>
    <row r="75" spans="2:26" s="27" customFormat="1" ht="13.5" customHeight="1">
      <c r="B75" s="86">
        <f>B74+1</f>
        <v>1208</v>
      </c>
      <c r="C75" s="87" t="s">
        <v>568</v>
      </c>
      <c r="D75" s="78"/>
      <c r="E75" s="78"/>
      <c r="F75" s="98"/>
      <c r="G75" s="278"/>
      <c r="H75" s="213"/>
      <c r="I75" s="213"/>
      <c r="J75" s="213"/>
      <c r="K75" s="228"/>
      <c r="L75" s="229">
        <f>IF(AND(G75="",H75="",J75=""),"",ROUND(H75/365*$U75,2))</f>
      </c>
      <c r="M75" s="230">
        <f>IF(AND(G75="",H75="",J75=""),"",ROUND(J75/365*$U75,0))</f>
      </c>
      <c r="S75" s="242">
        <f>IF(H75&lt;0,MAX(H75*365,-SUM(J74)),0)</f>
        <v>0</v>
      </c>
      <c r="T75" s="242">
        <f>IF(H75&gt;0,H75*365,0)</f>
        <v>0</v>
      </c>
      <c r="U75" s="242">
        <f>IF(OR(G75=0,H75=0),0,$U$15-G75)</f>
        <v>0</v>
      </c>
      <c r="V75" s="243">
        <f>MAX(X$50:X74)</f>
        <v>38718</v>
      </c>
      <c r="W75" s="243">
        <v>39083</v>
      </c>
      <c r="X75" s="246">
        <f>IF(G75=0,X74,IF(G75&lt;MAX(X74:X74),MAX(X74:X74),G75))</f>
        <v>38718</v>
      </c>
      <c r="Y75" s="246">
        <f>IF(G75="",0,G75)</f>
        <v>0</v>
      </c>
      <c r="Z75" s="2"/>
    </row>
    <row r="76" spans="2:26" s="27" customFormat="1" ht="13.5" customHeight="1">
      <c r="B76" s="247">
        <f>B75+1</f>
        <v>1209</v>
      </c>
      <c r="C76" s="248" t="s">
        <v>566</v>
      </c>
      <c r="D76" s="249"/>
      <c r="E76" s="249"/>
      <c r="F76" s="249"/>
      <c r="G76" s="250"/>
      <c r="H76" s="251">
        <f>SUM(H74:H75)</f>
        <v>0</v>
      </c>
      <c r="I76" s="252"/>
      <c r="J76" s="251">
        <f>SUM(J74:J75)</f>
        <v>0</v>
      </c>
      <c r="K76" s="252"/>
      <c r="L76" s="253">
        <f>SUM(L74:L75)</f>
        <v>0</v>
      </c>
      <c r="M76" s="251">
        <f>SUM(M74:M75)</f>
        <v>0</v>
      </c>
      <c r="R76" s="214">
        <f>H76</f>
        <v>0</v>
      </c>
      <c r="V76" s="34"/>
      <c r="W76" s="34"/>
      <c r="X76" s="34"/>
      <c r="Y76" s="34"/>
      <c r="Z76" s="34"/>
    </row>
    <row r="77" ht="12.75"/>
    <row r="78" ht="12.75">
      <c r="B78" s="134" t="s">
        <v>40</v>
      </c>
    </row>
    <row r="79" spans="1:11" s="27" customFormat="1" ht="12.75" customHeight="1">
      <c r="A79" s="74" t="s">
        <v>207</v>
      </c>
      <c r="B79" s="134" t="s">
        <v>89</v>
      </c>
      <c r="I79" s="74" t="s">
        <v>207</v>
      </c>
      <c r="K79" s="74" t="s">
        <v>207</v>
      </c>
    </row>
    <row r="80" spans="1:11" s="27" customFormat="1" ht="12.75" customHeight="1">
      <c r="A80" s="74"/>
      <c r="B80" s="134"/>
      <c r="I80" s="74"/>
      <c r="K80" s="74"/>
    </row>
    <row r="81" spans="1:11" s="27" customFormat="1" ht="12.75" customHeight="1">
      <c r="A81" s="74"/>
      <c r="B81" s="134"/>
      <c r="I81" s="74"/>
      <c r="K81" s="74"/>
    </row>
    <row r="82" spans="2:16" s="27" customFormat="1" ht="18" customHeight="1">
      <c r="B82" s="75" t="s">
        <v>36</v>
      </c>
      <c r="C82" s="75"/>
      <c r="D82" s="75"/>
      <c r="E82" s="89"/>
      <c r="F82" s="123" t="str">
        <f>CONCATENATE(Voorblad!$E$11," / ",Voorblad!$F$11)</f>
        <v>650 / </v>
      </c>
      <c r="G82" s="75"/>
      <c r="H82" s="76"/>
      <c r="I82" s="75"/>
      <c r="J82" s="76" t="str">
        <f>"versie: "&amp;TEXT(Voorblad!$M$9,"dd-mm-jjjj")</f>
        <v>versie: 29-08-2006</v>
      </c>
      <c r="K82" s="76"/>
      <c r="L82" s="78"/>
      <c r="M82" s="321"/>
      <c r="P82" s="322">
        <f>P50+1</f>
        <v>13</v>
      </c>
    </row>
    <row r="83" s="27" customFormat="1" ht="12.75">
      <c r="B83" s="80"/>
    </row>
    <row r="84" ht="12.75"/>
    <row r="85" ht="12.75"/>
    <row r="86" spans="6:17" s="27" customFormat="1" ht="13.5" customHeight="1">
      <c r="F86" s="63"/>
      <c r="G86" s="91" t="s">
        <v>516</v>
      </c>
      <c r="H86" s="91" t="s">
        <v>517</v>
      </c>
      <c r="J86" s="91" t="s">
        <v>176</v>
      </c>
      <c r="L86" s="91" t="s">
        <v>517</v>
      </c>
      <c r="M86" s="91" t="s">
        <v>176</v>
      </c>
      <c r="N86" s="369" t="s">
        <v>557</v>
      </c>
      <c r="O86" s="370"/>
      <c r="P86" s="371"/>
      <c r="Q86" s="63"/>
    </row>
    <row r="87" spans="2:21" s="27" customFormat="1" ht="13.5" customHeight="1">
      <c r="B87" s="323" t="s">
        <v>570</v>
      </c>
      <c r="C87" s="222"/>
      <c r="F87" s="63"/>
      <c r="G87" s="211" t="s">
        <v>518</v>
      </c>
      <c r="H87" s="211" t="s">
        <v>542</v>
      </c>
      <c r="J87" s="211" t="s">
        <v>554</v>
      </c>
      <c r="L87" s="211" t="s">
        <v>542</v>
      </c>
      <c r="M87" s="211" t="s">
        <v>554</v>
      </c>
      <c r="N87" s="91" t="s">
        <v>556</v>
      </c>
      <c r="O87" s="91" t="s">
        <v>556</v>
      </c>
      <c r="P87" s="91" t="s">
        <v>556</v>
      </c>
      <c r="Q87" s="63"/>
      <c r="R87" s="262"/>
      <c r="U87" s="3">
        <v>39083</v>
      </c>
    </row>
    <row r="88" spans="2:26" s="27" customFormat="1" ht="13.5" customHeight="1">
      <c r="B88" s="80"/>
      <c r="F88" s="132"/>
      <c r="G88" s="223"/>
      <c r="H88" s="92" t="s">
        <v>522</v>
      </c>
      <c r="J88" s="92" t="s">
        <v>522</v>
      </c>
      <c r="L88" s="92" t="s">
        <v>205</v>
      </c>
      <c r="M88" s="92" t="s">
        <v>205</v>
      </c>
      <c r="N88" s="211">
        <v>1</v>
      </c>
      <c r="O88" s="211">
        <v>2</v>
      </c>
      <c r="P88" s="211">
        <v>3</v>
      </c>
      <c r="Q88" s="63"/>
      <c r="R88" s="3" t="s">
        <v>559</v>
      </c>
      <c r="S88" s="3" t="s">
        <v>524</v>
      </c>
      <c r="T88" s="3" t="s">
        <v>525</v>
      </c>
      <c r="U88" s="3" t="s">
        <v>526</v>
      </c>
      <c r="V88" s="3" t="s">
        <v>527</v>
      </c>
      <c r="W88" s="224" t="s">
        <v>528</v>
      </c>
      <c r="X88" s="224" t="s">
        <v>518</v>
      </c>
      <c r="Y88" s="224" t="s">
        <v>529</v>
      </c>
      <c r="Z88" s="225"/>
    </row>
    <row r="89" spans="2:26" s="27" customFormat="1" ht="13.5" customHeight="1">
      <c r="B89" s="86">
        <f>P82*100+1</f>
        <v>1301</v>
      </c>
      <c r="C89" s="87" t="s">
        <v>563</v>
      </c>
      <c r="D89" s="78"/>
      <c r="E89" s="78"/>
      <c r="F89" s="98"/>
      <c r="G89" s="226">
        <v>38718</v>
      </c>
      <c r="H89" s="213"/>
      <c r="I89" s="213"/>
      <c r="J89" s="213"/>
      <c r="K89" s="228"/>
      <c r="L89" s="230">
        <f>H89</f>
        <v>0</v>
      </c>
      <c r="M89" s="230">
        <f>J89</f>
        <v>0</v>
      </c>
      <c r="N89" s="338"/>
      <c r="O89" s="338"/>
      <c r="P89" s="338"/>
      <c r="S89" s="231">
        <v>0</v>
      </c>
      <c r="T89" s="231">
        <f>H89*365</f>
        <v>0</v>
      </c>
      <c r="U89" s="231">
        <f>IF(OR(G89=0,H89=0),0,$U$15-G89)</f>
        <v>0</v>
      </c>
      <c r="V89" s="232">
        <v>38718</v>
      </c>
      <c r="W89" s="232">
        <v>38718</v>
      </c>
      <c r="X89" s="233">
        <v>38718</v>
      </c>
      <c r="Y89" s="233"/>
      <c r="Z89" s="2"/>
    </row>
    <row r="90" spans="2:26" s="27" customFormat="1" ht="13.5" customHeight="1">
      <c r="B90" s="86">
        <f>B89+1</f>
        <v>1302</v>
      </c>
      <c r="C90" s="87" t="s">
        <v>565</v>
      </c>
      <c r="D90" s="78"/>
      <c r="E90" s="78"/>
      <c r="F90" s="98"/>
      <c r="G90" s="278"/>
      <c r="H90" s="213"/>
      <c r="I90" s="213"/>
      <c r="J90" s="213"/>
      <c r="K90" s="228"/>
      <c r="L90" s="229">
        <f>IF(AND(G90="",H90="",J90=""),"",ROUND(H90/365*$U90,2))</f>
      </c>
      <c r="M90" s="230">
        <f>IF(AND(G90="",H90="",J90=""),"",ROUND(J90/365*$U90,0))</f>
      </c>
      <c r="N90" s="338"/>
      <c r="O90" s="338"/>
      <c r="P90" s="338"/>
      <c r="S90" s="242">
        <f>IF(H90&lt;0,MAX(H90*365,-SUM(J89)),0)</f>
        <v>0</v>
      </c>
      <c r="T90" s="242">
        <f>IF(H90&gt;0,H90*365,0)</f>
        <v>0</v>
      </c>
      <c r="U90" s="242">
        <f>IF(OR(G90=0,H90=0),0,$U$15-G90)</f>
        <v>0</v>
      </c>
      <c r="V90" s="243">
        <f>MAX(X$42:X89)</f>
        <v>38718</v>
      </c>
      <c r="W90" s="243">
        <v>39083</v>
      </c>
      <c r="X90" s="246">
        <f>IF(G90=0,X89,IF(G90&lt;MAX(X89:X89),MAX(X89:X89),G90))</f>
        <v>38718</v>
      </c>
      <c r="Y90" s="246">
        <f>IF(G90="",0,G90)</f>
        <v>0</v>
      </c>
      <c r="Z90" s="2"/>
    </row>
    <row r="91" spans="2:26" s="27" customFormat="1" ht="13.5" customHeight="1">
      <c r="B91" s="247">
        <f>B90+1</f>
        <v>1303</v>
      </c>
      <c r="C91" s="248" t="s">
        <v>564</v>
      </c>
      <c r="D91" s="249"/>
      <c r="E91" s="249"/>
      <c r="F91" s="249"/>
      <c r="G91" s="250"/>
      <c r="H91" s="251">
        <f>SUM(H89:H90)</f>
        <v>0</v>
      </c>
      <c r="I91" s="252"/>
      <c r="J91" s="251">
        <f>SUM(J89:J90)</f>
        <v>0</v>
      </c>
      <c r="K91" s="252"/>
      <c r="L91" s="253">
        <f>SUM(L89:L90)</f>
        <v>0</v>
      </c>
      <c r="M91" s="251">
        <f>SUM(M89:M90)</f>
        <v>0</v>
      </c>
      <c r="N91" s="251">
        <f>SUM(N89:N90)</f>
        <v>0</v>
      </c>
      <c r="O91" s="251">
        <f>SUM(O89:O90)</f>
        <v>0</v>
      </c>
      <c r="P91" s="251">
        <f>SUM(P89:P90)</f>
        <v>0</v>
      </c>
      <c r="R91" s="214">
        <f>H91</f>
        <v>0</v>
      </c>
      <c r="V91" s="34"/>
      <c r="W91" s="34"/>
      <c r="X91" s="34"/>
      <c r="Y91" s="34"/>
      <c r="Z91" s="34"/>
    </row>
    <row r="92" spans="2:20" s="27" customFormat="1" ht="13.5" customHeight="1">
      <c r="B92" s="80"/>
      <c r="H92" s="228"/>
      <c r="I92" s="228"/>
      <c r="J92" s="228"/>
      <c r="K92" s="228"/>
      <c r="L92" s="228"/>
      <c r="M92" s="228"/>
      <c r="T92" s="255"/>
    </row>
    <row r="93" spans="2:26" s="27" customFormat="1" ht="13.5" customHeight="1">
      <c r="B93" s="86">
        <f>B91+1</f>
        <v>1304</v>
      </c>
      <c r="C93" s="87" t="s">
        <v>567</v>
      </c>
      <c r="D93" s="78"/>
      <c r="E93" s="78"/>
      <c r="F93" s="98"/>
      <c r="G93" s="226">
        <v>38718</v>
      </c>
      <c r="H93" s="213"/>
      <c r="I93" s="213"/>
      <c r="J93" s="213"/>
      <c r="K93" s="228"/>
      <c r="L93" s="230">
        <f>H93</f>
        <v>0</v>
      </c>
      <c r="M93" s="230">
        <f>J93</f>
        <v>0</v>
      </c>
      <c r="S93" s="231">
        <v>0</v>
      </c>
      <c r="T93" s="231">
        <f>H93*365</f>
        <v>0</v>
      </c>
      <c r="U93" s="231">
        <f>IF(OR(G93=0,H93=0),0,$U$15-G93)</f>
        <v>0</v>
      </c>
      <c r="V93" s="232">
        <v>38718</v>
      </c>
      <c r="W93" s="232">
        <v>38718</v>
      </c>
      <c r="X93" s="233">
        <v>38718</v>
      </c>
      <c r="Y93" s="233"/>
      <c r="Z93" s="2"/>
    </row>
    <row r="94" spans="2:26" s="27" customFormat="1" ht="13.5" customHeight="1">
      <c r="B94" s="86">
        <f>B93+1</f>
        <v>1305</v>
      </c>
      <c r="C94" s="87" t="s">
        <v>568</v>
      </c>
      <c r="D94" s="78"/>
      <c r="E94" s="78"/>
      <c r="F94" s="98"/>
      <c r="G94" s="278"/>
      <c r="H94" s="213"/>
      <c r="I94" s="213"/>
      <c r="J94" s="213"/>
      <c r="K94" s="228"/>
      <c r="L94" s="229">
        <f>IF(AND(G94="",H94="",J94=""),"",ROUND(H94/365*$U94,2))</f>
      </c>
      <c r="M94" s="230">
        <f>IF(AND(G94="",H94="",J94=""),"",ROUND(J94/365*$U94,0))</f>
      </c>
      <c r="S94" s="242">
        <f>IF(H94&lt;0,MAX(H94*365,-SUM(J93)),0)</f>
        <v>0</v>
      </c>
      <c r="T94" s="242">
        <f>IF(H94&gt;0,H94*365,0)</f>
        <v>0</v>
      </c>
      <c r="U94" s="242">
        <f>IF(OR(G94=0,H94=0),0,$U$15-G94)</f>
        <v>0</v>
      </c>
      <c r="V94" s="243">
        <f>MAX(X$50:X93)</f>
        <v>38718</v>
      </c>
      <c r="W94" s="243">
        <v>39083</v>
      </c>
      <c r="X94" s="246">
        <f>IF(G94=0,X93,IF(G94&lt;MAX(X93:X93),MAX(X93:X93),G94))</f>
        <v>38718</v>
      </c>
      <c r="Y94" s="246">
        <f>IF(G94="",0,G94)</f>
        <v>0</v>
      </c>
      <c r="Z94" s="2"/>
    </row>
    <row r="95" spans="2:26" s="27" customFormat="1" ht="13.5" customHeight="1">
      <c r="B95" s="247">
        <f>B94+1</f>
        <v>1306</v>
      </c>
      <c r="C95" s="248" t="s">
        <v>566</v>
      </c>
      <c r="D95" s="249"/>
      <c r="E95" s="249"/>
      <c r="F95" s="249"/>
      <c r="G95" s="250"/>
      <c r="H95" s="251">
        <f>SUM(H93:H94)</f>
        <v>0</v>
      </c>
      <c r="I95" s="252"/>
      <c r="J95" s="251">
        <f>SUM(J93:J94)</f>
        <v>0</v>
      </c>
      <c r="K95" s="252"/>
      <c r="L95" s="253">
        <f>SUM(L93:L94)</f>
        <v>0</v>
      </c>
      <c r="M95" s="251">
        <f>SUM(M93:M94)</f>
        <v>0</v>
      </c>
      <c r="R95" s="214">
        <f>H95</f>
        <v>0</v>
      </c>
      <c r="V95" s="34"/>
      <c r="W95" s="34"/>
      <c r="X95" s="34"/>
      <c r="Y95" s="34"/>
      <c r="Z95" s="34"/>
    </row>
    <row r="96" ht="12.75"/>
    <row r="97" ht="15">
      <c r="B97" s="323" t="s">
        <v>571</v>
      </c>
    </row>
    <row r="98" ht="12.75">
      <c r="B98" s="216"/>
    </row>
    <row r="99" spans="2:26" s="27" customFormat="1" ht="13.5" customHeight="1">
      <c r="B99" s="86">
        <f>B91+1</f>
        <v>1304</v>
      </c>
      <c r="C99" s="87" t="s">
        <v>563</v>
      </c>
      <c r="D99" s="78"/>
      <c r="E99" s="78"/>
      <c r="F99" s="98"/>
      <c r="G99" s="226">
        <v>38718</v>
      </c>
      <c r="H99" s="213"/>
      <c r="I99" s="213"/>
      <c r="J99" s="213"/>
      <c r="K99" s="228"/>
      <c r="L99" s="230">
        <f>H99</f>
        <v>0</v>
      </c>
      <c r="M99" s="230">
        <f>J99</f>
        <v>0</v>
      </c>
      <c r="N99" s="338"/>
      <c r="O99" s="338"/>
      <c r="P99" s="338"/>
      <c r="S99" s="231">
        <v>0</v>
      </c>
      <c r="T99" s="231">
        <f>H99*365</f>
        <v>0</v>
      </c>
      <c r="U99" s="231">
        <f>IF(OR(G99=0,H99=0),0,$U$15-G99)</f>
        <v>0</v>
      </c>
      <c r="V99" s="232">
        <v>38718</v>
      </c>
      <c r="W99" s="232">
        <v>38718</v>
      </c>
      <c r="X99" s="233">
        <v>38718</v>
      </c>
      <c r="Y99" s="233"/>
      <c r="Z99" s="2"/>
    </row>
    <row r="100" spans="2:26" s="27" customFormat="1" ht="13.5" customHeight="1">
      <c r="B100" s="86">
        <f>B99+1</f>
        <v>1305</v>
      </c>
      <c r="C100" s="87" t="s">
        <v>565</v>
      </c>
      <c r="D100" s="78"/>
      <c r="E100" s="78"/>
      <c r="F100" s="98"/>
      <c r="G100" s="278"/>
      <c r="H100" s="213"/>
      <c r="I100" s="213"/>
      <c r="J100" s="213"/>
      <c r="K100" s="228"/>
      <c r="L100" s="229">
        <f>IF(AND(G100="",H100="",J100=""),"",ROUND(H100/365*$U100,2))</f>
      </c>
      <c r="M100" s="230">
        <f>IF(AND(G100="",H100="",J100=""),"",ROUND(J100/365*$U100,0))</f>
      </c>
      <c r="N100" s="338"/>
      <c r="O100" s="338"/>
      <c r="P100" s="338"/>
      <c r="S100" s="242">
        <f>IF(H100&lt;0,MAX(H100*365,-SUM(J99)),0)</f>
        <v>0</v>
      </c>
      <c r="T100" s="242">
        <f>IF(H100&gt;0,H100*365,0)</f>
        <v>0</v>
      </c>
      <c r="U100" s="242">
        <f>IF(OR(G100=0,H100=0),0,$U$15-G100)</f>
        <v>0</v>
      </c>
      <c r="V100" s="243">
        <f>MAX(X$42:X99)</f>
        <v>38718</v>
      </c>
      <c r="W100" s="243">
        <v>39083</v>
      </c>
      <c r="X100" s="246">
        <f>IF(G100=0,X99,IF(G100&lt;MAX(X99:X99),MAX(X99:X99),G100))</f>
        <v>38718</v>
      </c>
      <c r="Y100" s="246">
        <f>IF(G100="",0,G100)</f>
        <v>0</v>
      </c>
      <c r="Z100" s="2"/>
    </row>
    <row r="101" spans="2:26" s="27" customFormat="1" ht="13.5" customHeight="1">
      <c r="B101" s="247">
        <f>B100+1</f>
        <v>1306</v>
      </c>
      <c r="C101" s="248" t="s">
        <v>564</v>
      </c>
      <c r="D101" s="249"/>
      <c r="E101" s="249"/>
      <c r="F101" s="249"/>
      <c r="G101" s="250"/>
      <c r="H101" s="251">
        <f>SUM(H99:H100)</f>
        <v>0</v>
      </c>
      <c r="I101" s="252"/>
      <c r="J101" s="251">
        <f>SUM(J99:J100)</f>
        <v>0</v>
      </c>
      <c r="K101" s="252"/>
      <c r="L101" s="253">
        <f>SUM(L99:L100)</f>
        <v>0</v>
      </c>
      <c r="M101" s="251">
        <f>SUM(M99:M100)</f>
        <v>0</v>
      </c>
      <c r="N101" s="251">
        <f>SUM(N99:N100)</f>
        <v>0</v>
      </c>
      <c r="O101" s="251">
        <f>SUM(O99:O100)</f>
        <v>0</v>
      </c>
      <c r="P101" s="251">
        <f>SUM(P99:P100)</f>
        <v>0</v>
      </c>
      <c r="R101" s="214">
        <f>H101</f>
        <v>0</v>
      </c>
      <c r="V101" s="34"/>
      <c r="W101" s="34"/>
      <c r="X101" s="34"/>
      <c r="Y101" s="34"/>
      <c r="Z101" s="34"/>
    </row>
    <row r="102" spans="2:20" s="27" customFormat="1" ht="13.5" customHeight="1">
      <c r="B102" s="80"/>
      <c r="H102" s="228"/>
      <c r="I102" s="228"/>
      <c r="J102" s="228"/>
      <c r="K102" s="228"/>
      <c r="L102" s="228"/>
      <c r="M102" s="228"/>
      <c r="T102" s="255"/>
    </row>
    <row r="103" spans="2:26" s="27" customFormat="1" ht="13.5" customHeight="1">
      <c r="B103" s="86">
        <f>B101+1</f>
        <v>1307</v>
      </c>
      <c r="C103" s="87" t="s">
        <v>567</v>
      </c>
      <c r="D103" s="78"/>
      <c r="E103" s="78"/>
      <c r="F103" s="98"/>
      <c r="G103" s="226">
        <v>38718</v>
      </c>
      <c r="H103" s="213"/>
      <c r="I103" s="213"/>
      <c r="J103" s="213"/>
      <c r="K103" s="228"/>
      <c r="L103" s="230">
        <f>H103</f>
        <v>0</v>
      </c>
      <c r="M103" s="230">
        <f>J103</f>
        <v>0</v>
      </c>
      <c r="S103" s="231">
        <v>0</v>
      </c>
      <c r="T103" s="231">
        <f>H103*365</f>
        <v>0</v>
      </c>
      <c r="U103" s="231">
        <f>IF(OR(G103=0,H103=0),0,$U$15-G103)</f>
        <v>0</v>
      </c>
      <c r="V103" s="232">
        <v>38718</v>
      </c>
      <c r="W103" s="232">
        <v>38718</v>
      </c>
      <c r="X103" s="233">
        <v>38718</v>
      </c>
      <c r="Y103" s="233"/>
      <c r="Z103" s="2"/>
    </row>
    <row r="104" spans="2:26" s="27" customFormat="1" ht="13.5" customHeight="1">
      <c r="B104" s="86">
        <f>B103+1</f>
        <v>1308</v>
      </c>
      <c r="C104" s="87" t="s">
        <v>568</v>
      </c>
      <c r="D104" s="78"/>
      <c r="E104" s="78"/>
      <c r="F104" s="98"/>
      <c r="G104" s="278"/>
      <c r="H104" s="213"/>
      <c r="I104" s="213"/>
      <c r="J104" s="213"/>
      <c r="K104" s="228"/>
      <c r="L104" s="229">
        <f>IF(AND(G104="",H104="",J104=""),"",ROUND(H104/365*$U104,2))</f>
      </c>
      <c r="M104" s="230">
        <f>IF(AND(G104="",H104="",J104=""),"",ROUND(J104/365*$U104,0))</f>
      </c>
      <c r="S104" s="242">
        <f>IF(H104&lt;0,MAX(H104*365,-SUM(J103)),0)</f>
        <v>0</v>
      </c>
      <c r="T104" s="242">
        <f>IF(H104&gt;0,H104*365,0)</f>
        <v>0</v>
      </c>
      <c r="U104" s="242">
        <f>IF(OR(G104=0,H104=0),0,$U$15-G104)</f>
        <v>0</v>
      </c>
      <c r="V104" s="243">
        <f>MAX(X$50:X103)</f>
        <v>38718</v>
      </c>
      <c r="W104" s="243">
        <v>39083</v>
      </c>
      <c r="X104" s="246">
        <f>IF(G104=0,X103,IF(G104&lt;MAX(X103:X103),MAX(X103:X103),G104))</f>
        <v>38718</v>
      </c>
      <c r="Y104" s="246">
        <f>IF(G104="",0,G104)</f>
        <v>0</v>
      </c>
      <c r="Z104" s="2"/>
    </row>
    <row r="105" spans="2:26" s="27" customFormat="1" ht="13.5" customHeight="1">
      <c r="B105" s="247">
        <f>B104+1</f>
        <v>1309</v>
      </c>
      <c r="C105" s="248" t="s">
        <v>566</v>
      </c>
      <c r="D105" s="249"/>
      <c r="E105" s="249"/>
      <c r="F105" s="249"/>
      <c r="G105" s="250"/>
      <c r="H105" s="251">
        <f>SUM(H103:H104)</f>
        <v>0</v>
      </c>
      <c r="I105" s="252"/>
      <c r="J105" s="251">
        <f>SUM(J103:J104)</f>
        <v>0</v>
      </c>
      <c r="K105" s="252"/>
      <c r="L105" s="253">
        <f>SUM(L103:L104)</f>
        <v>0</v>
      </c>
      <c r="M105" s="251">
        <f>SUM(M103:M104)</f>
        <v>0</v>
      </c>
      <c r="R105" s="214">
        <f>H105</f>
        <v>0</v>
      </c>
      <c r="V105" s="34"/>
      <c r="W105" s="34"/>
      <c r="X105" s="34"/>
      <c r="Y105" s="34"/>
      <c r="Z105" s="34"/>
    </row>
    <row r="106" ht="12.75"/>
    <row r="107" spans="6:17" s="27" customFormat="1" ht="13.5" customHeight="1">
      <c r="F107" s="63"/>
      <c r="G107" s="91" t="s">
        <v>516</v>
      </c>
      <c r="H107" s="91" t="s">
        <v>517</v>
      </c>
      <c r="J107" s="91" t="s">
        <v>176</v>
      </c>
      <c r="L107" s="91" t="s">
        <v>517</v>
      </c>
      <c r="M107" s="91" t="s">
        <v>176</v>
      </c>
      <c r="N107" s="369" t="s">
        <v>557</v>
      </c>
      <c r="O107" s="370"/>
      <c r="P107" s="371"/>
      <c r="Q107" s="63"/>
    </row>
    <row r="108" spans="2:21" s="27" customFormat="1" ht="13.5" customHeight="1">
      <c r="B108" s="323" t="s">
        <v>572</v>
      </c>
      <c r="C108" s="222"/>
      <c r="F108" s="63"/>
      <c r="G108" s="211" t="s">
        <v>518</v>
      </c>
      <c r="H108" s="211" t="s">
        <v>542</v>
      </c>
      <c r="J108" s="211" t="s">
        <v>554</v>
      </c>
      <c r="L108" s="211" t="s">
        <v>542</v>
      </c>
      <c r="M108" s="211" t="s">
        <v>554</v>
      </c>
      <c r="N108" s="91" t="s">
        <v>556</v>
      </c>
      <c r="O108" s="91" t="s">
        <v>556</v>
      </c>
      <c r="P108" s="91" t="s">
        <v>556</v>
      </c>
      <c r="Q108" s="63"/>
      <c r="R108" s="262"/>
      <c r="U108" s="3">
        <v>39083</v>
      </c>
    </row>
    <row r="109" spans="2:26" s="27" customFormat="1" ht="13.5" customHeight="1">
      <c r="B109" s="80"/>
      <c r="F109" s="132"/>
      <c r="G109" s="223"/>
      <c r="H109" s="92" t="s">
        <v>522</v>
      </c>
      <c r="J109" s="92" t="s">
        <v>522</v>
      </c>
      <c r="L109" s="92" t="s">
        <v>205</v>
      </c>
      <c r="M109" s="92" t="s">
        <v>205</v>
      </c>
      <c r="N109" s="211">
        <v>1</v>
      </c>
      <c r="O109" s="211">
        <v>2</v>
      </c>
      <c r="P109" s="211">
        <v>3</v>
      </c>
      <c r="Q109" s="63"/>
      <c r="R109" s="3" t="s">
        <v>559</v>
      </c>
      <c r="S109" s="3" t="s">
        <v>524</v>
      </c>
      <c r="T109" s="3" t="s">
        <v>525</v>
      </c>
      <c r="U109" s="3" t="s">
        <v>526</v>
      </c>
      <c r="V109" s="3" t="s">
        <v>527</v>
      </c>
      <c r="W109" s="224" t="s">
        <v>528</v>
      </c>
      <c r="X109" s="224" t="s">
        <v>518</v>
      </c>
      <c r="Y109" s="224" t="s">
        <v>529</v>
      </c>
      <c r="Z109" s="225"/>
    </row>
    <row r="110" spans="2:26" s="27" customFormat="1" ht="13.5" customHeight="1">
      <c r="B110" s="86">
        <f>B105+1</f>
        <v>1310</v>
      </c>
      <c r="C110" s="87" t="s">
        <v>563</v>
      </c>
      <c r="D110" s="78"/>
      <c r="E110" s="78"/>
      <c r="F110" s="98"/>
      <c r="G110" s="226">
        <v>38718</v>
      </c>
      <c r="H110" s="213"/>
      <c r="I110" s="213"/>
      <c r="J110" s="213"/>
      <c r="K110" s="228"/>
      <c r="L110" s="230">
        <f>H110</f>
        <v>0</v>
      </c>
      <c r="M110" s="230">
        <f>J110</f>
        <v>0</v>
      </c>
      <c r="N110" s="338"/>
      <c r="O110" s="338"/>
      <c r="P110" s="338"/>
      <c r="S110" s="231">
        <v>0</v>
      </c>
      <c r="T110" s="231">
        <f>H110*365</f>
        <v>0</v>
      </c>
      <c r="U110" s="231">
        <f>IF(OR(G110=0,H110=0),0,$U$15-G110)</f>
        <v>0</v>
      </c>
      <c r="V110" s="232">
        <v>38718</v>
      </c>
      <c r="W110" s="232">
        <v>38718</v>
      </c>
      <c r="X110" s="233">
        <v>38718</v>
      </c>
      <c r="Y110" s="233"/>
      <c r="Z110" s="2"/>
    </row>
    <row r="111" spans="2:26" s="27" customFormat="1" ht="13.5" customHeight="1">
      <c r="B111" s="86">
        <f>B110+1</f>
        <v>1311</v>
      </c>
      <c r="C111" s="87" t="s">
        <v>565</v>
      </c>
      <c r="D111" s="78"/>
      <c r="E111" s="78"/>
      <c r="F111" s="98"/>
      <c r="G111" s="278"/>
      <c r="H111" s="213"/>
      <c r="I111" s="213"/>
      <c r="J111" s="213"/>
      <c r="K111" s="228"/>
      <c r="L111" s="229">
        <f>IF(AND(G111="",H111="",J111=""),"",ROUND(H111/365*$U111,2))</f>
      </c>
      <c r="M111" s="230">
        <f>IF(AND(G111="",H111="",J111=""),"",ROUND(J111/365*$U111,0))</f>
      </c>
      <c r="N111" s="338"/>
      <c r="O111" s="338"/>
      <c r="P111" s="338"/>
      <c r="S111" s="242">
        <f>IF(H111&lt;0,MAX(H111*365,-SUM(J110)),0)</f>
        <v>0</v>
      </c>
      <c r="T111" s="242">
        <f>IF(H111&gt;0,H111*365,0)</f>
        <v>0</v>
      </c>
      <c r="U111" s="242">
        <f>IF(OR(G111=0,H111=0),0,$U$15-G111)</f>
        <v>0</v>
      </c>
      <c r="V111" s="243">
        <f>MAX(X$42:X110)</f>
        <v>38718</v>
      </c>
      <c r="W111" s="243">
        <v>39083</v>
      </c>
      <c r="X111" s="246">
        <f>IF(G111=0,X110,IF(G111&lt;MAX(X110:X110),MAX(X110:X110),G111))</f>
        <v>38718</v>
      </c>
      <c r="Y111" s="246">
        <f>IF(G111="",0,G111)</f>
        <v>0</v>
      </c>
      <c r="Z111" s="2"/>
    </row>
    <row r="112" spans="2:26" s="27" customFormat="1" ht="13.5" customHeight="1">
      <c r="B112" s="247">
        <f>B111+1</f>
        <v>1312</v>
      </c>
      <c r="C112" s="248" t="s">
        <v>564</v>
      </c>
      <c r="D112" s="249"/>
      <c r="E112" s="249"/>
      <c r="F112" s="249"/>
      <c r="G112" s="250"/>
      <c r="H112" s="251">
        <f>SUM(H110:H111)</f>
        <v>0</v>
      </c>
      <c r="I112" s="252"/>
      <c r="J112" s="251">
        <f>SUM(J110:J111)</f>
        <v>0</v>
      </c>
      <c r="K112" s="252"/>
      <c r="L112" s="253">
        <f>SUM(L110:L111)</f>
        <v>0</v>
      </c>
      <c r="M112" s="251">
        <f>SUM(M110:M111)</f>
        <v>0</v>
      </c>
      <c r="N112" s="251">
        <f>SUM(N110:N111)</f>
        <v>0</v>
      </c>
      <c r="O112" s="251">
        <f>SUM(O110:O111)</f>
        <v>0</v>
      </c>
      <c r="P112" s="251">
        <f>SUM(P110:P111)</f>
        <v>0</v>
      </c>
      <c r="R112" s="214">
        <f>H112</f>
        <v>0</v>
      </c>
      <c r="V112" s="34"/>
      <c r="W112" s="34"/>
      <c r="X112" s="34"/>
      <c r="Y112" s="34"/>
      <c r="Z112" s="34"/>
    </row>
    <row r="113" spans="2:20" s="27" customFormat="1" ht="13.5" customHeight="1">
      <c r="B113" s="80"/>
      <c r="H113" s="228"/>
      <c r="I113" s="228"/>
      <c r="J113" s="228"/>
      <c r="K113" s="228"/>
      <c r="L113" s="228"/>
      <c r="M113" s="228"/>
      <c r="T113" s="255"/>
    </row>
    <row r="114" spans="2:26" s="27" customFormat="1" ht="13.5" customHeight="1">
      <c r="B114" s="86">
        <f>B112+1</f>
        <v>1313</v>
      </c>
      <c r="C114" s="87" t="s">
        <v>567</v>
      </c>
      <c r="D114" s="78"/>
      <c r="E114" s="78"/>
      <c r="F114" s="98"/>
      <c r="G114" s="226">
        <v>38718</v>
      </c>
      <c r="H114" s="213"/>
      <c r="I114" s="213"/>
      <c r="J114" s="213"/>
      <c r="K114" s="228"/>
      <c r="L114" s="230">
        <f>H114</f>
        <v>0</v>
      </c>
      <c r="M114" s="230">
        <f>J114</f>
        <v>0</v>
      </c>
      <c r="S114" s="231">
        <v>0</v>
      </c>
      <c r="T114" s="231">
        <f>H114*365</f>
        <v>0</v>
      </c>
      <c r="U114" s="231">
        <f>IF(OR(G114=0,H114=0),0,$U$15-G114)</f>
        <v>0</v>
      </c>
      <c r="V114" s="232">
        <v>38718</v>
      </c>
      <c r="W114" s="232">
        <v>38718</v>
      </c>
      <c r="X114" s="233">
        <v>38718</v>
      </c>
      <c r="Y114" s="233"/>
      <c r="Z114" s="2"/>
    </row>
    <row r="115" spans="2:26" s="27" customFormat="1" ht="13.5" customHeight="1">
      <c r="B115" s="86">
        <f>B114+1</f>
        <v>1314</v>
      </c>
      <c r="C115" s="87" t="s">
        <v>568</v>
      </c>
      <c r="D115" s="78"/>
      <c r="E115" s="78"/>
      <c r="F115" s="98"/>
      <c r="G115" s="278"/>
      <c r="H115" s="213"/>
      <c r="I115" s="213"/>
      <c r="J115" s="213"/>
      <c r="K115" s="228"/>
      <c r="L115" s="229">
        <f>IF(AND(G115="",H115="",J115=""),"",ROUND(H115/365*$U115,2))</f>
      </c>
      <c r="M115" s="230">
        <f>IF(AND(G115="",H115="",J115=""),"",ROUND(J115/365*$U115,0))</f>
      </c>
      <c r="S115" s="242">
        <f>IF(H115&lt;0,MAX(H115*365,-SUM(J114)),0)</f>
        <v>0</v>
      </c>
      <c r="T115" s="242">
        <f>IF(H115&gt;0,H115*365,0)</f>
        <v>0</v>
      </c>
      <c r="U115" s="242">
        <f>IF(OR(G115=0,H115=0),0,$U$15-G115)</f>
        <v>0</v>
      </c>
      <c r="V115" s="243">
        <f>MAX(X$50:X114)</f>
        <v>38718</v>
      </c>
      <c r="W115" s="243">
        <v>39083</v>
      </c>
      <c r="X115" s="246">
        <f>IF(G115=0,X114,IF(G115&lt;MAX(X114:X114),MAX(X114:X114),G115))</f>
        <v>38718</v>
      </c>
      <c r="Y115" s="246">
        <f>IF(G115="",0,G115)</f>
        <v>0</v>
      </c>
      <c r="Z115" s="2"/>
    </row>
    <row r="116" spans="2:26" s="27" customFormat="1" ht="13.5" customHeight="1">
      <c r="B116" s="247">
        <f>B115+1</f>
        <v>1315</v>
      </c>
      <c r="C116" s="248" t="s">
        <v>566</v>
      </c>
      <c r="D116" s="249"/>
      <c r="E116" s="249"/>
      <c r="F116" s="249"/>
      <c r="G116" s="250"/>
      <c r="H116" s="251">
        <f>SUM(H114:H115)</f>
        <v>0</v>
      </c>
      <c r="I116" s="252"/>
      <c r="J116" s="251">
        <f>SUM(J114:J115)</f>
        <v>0</v>
      </c>
      <c r="K116" s="252"/>
      <c r="L116" s="253">
        <f>SUM(L114:L115)</f>
        <v>0</v>
      </c>
      <c r="M116" s="251">
        <f>SUM(M114:M115)</f>
        <v>0</v>
      </c>
      <c r="R116" s="214">
        <f>H116</f>
        <v>0</v>
      </c>
      <c r="V116" s="34"/>
      <c r="W116" s="34"/>
      <c r="X116" s="34"/>
      <c r="Y116" s="34"/>
      <c r="Z116" s="34"/>
    </row>
    <row r="117" ht="12.75"/>
    <row r="118" ht="15">
      <c r="B118" s="323" t="s">
        <v>573</v>
      </c>
    </row>
    <row r="119" ht="12.75">
      <c r="B119" s="216"/>
    </row>
    <row r="120" spans="2:26" s="27" customFormat="1" ht="13.5" customHeight="1">
      <c r="B120" s="86">
        <f>B112+1</f>
        <v>1313</v>
      </c>
      <c r="C120" s="87" t="s">
        <v>563</v>
      </c>
      <c r="D120" s="78"/>
      <c r="E120" s="78"/>
      <c r="F120" s="98"/>
      <c r="G120" s="226">
        <v>38718</v>
      </c>
      <c r="H120" s="213"/>
      <c r="I120" s="213"/>
      <c r="J120" s="213"/>
      <c r="K120" s="228"/>
      <c r="L120" s="230">
        <f>H120</f>
        <v>0</v>
      </c>
      <c r="M120" s="230">
        <f>J120</f>
        <v>0</v>
      </c>
      <c r="N120" s="338"/>
      <c r="O120" s="338"/>
      <c r="P120" s="338"/>
      <c r="S120" s="231">
        <v>0</v>
      </c>
      <c r="T120" s="231">
        <f>H120*365</f>
        <v>0</v>
      </c>
      <c r="U120" s="231">
        <f>IF(OR(G120=0,H120=0),0,$U$15-G120)</f>
        <v>0</v>
      </c>
      <c r="V120" s="232">
        <v>38718</v>
      </c>
      <c r="W120" s="232">
        <v>38718</v>
      </c>
      <c r="X120" s="233">
        <v>38718</v>
      </c>
      <c r="Y120" s="233"/>
      <c r="Z120" s="2"/>
    </row>
    <row r="121" spans="2:26" s="27" customFormat="1" ht="13.5" customHeight="1">
      <c r="B121" s="86">
        <f>B120+1</f>
        <v>1314</v>
      </c>
      <c r="C121" s="87" t="s">
        <v>565</v>
      </c>
      <c r="D121" s="78"/>
      <c r="E121" s="78"/>
      <c r="F121" s="98"/>
      <c r="G121" s="278"/>
      <c r="H121" s="213"/>
      <c r="I121" s="213"/>
      <c r="J121" s="213"/>
      <c r="K121" s="228"/>
      <c r="L121" s="229">
        <f>IF(AND(G121="",H121="",J121=""),"",ROUND(H121/365*$U121,2))</f>
      </c>
      <c r="M121" s="230">
        <f>IF(AND(G121="",H121="",J121=""),"",ROUND(J121/365*$U121,0))</f>
      </c>
      <c r="N121" s="338"/>
      <c r="O121" s="338"/>
      <c r="P121" s="338"/>
      <c r="S121" s="242">
        <f>IF(H121&lt;0,MAX(H121*365,-SUM(J120)),0)</f>
        <v>0</v>
      </c>
      <c r="T121" s="242">
        <f>IF(H121&gt;0,H121*365,0)</f>
        <v>0</v>
      </c>
      <c r="U121" s="242">
        <f>IF(OR(G121=0,H121=0),0,$U$15-G121)</f>
        <v>0</v>
      </c>
      <c r="V121" s="243">
        <f>MAX(X$42:X120)</f>
        <v>38718</v>
      </c>
      <c r="W121" s="243">
        <v>39083</v>
      </c>
      <c r="X121" s="246">
        <f>IF(G121=0,X120,IF(G121&lt;MAX(X120:X120),MAX(X120:X120),G121))</f>
        <v>38718</v>
      </c>
      <c r="Y121" s="246">
        <f>IF(G121="",0,G121)</f>
        <v>0</v>
      </c>
      <c r="Z121" s="2"/>
    </row>
    <row r="122" spans="2:26" s="27" customFormat="1" ht="13.5" customHeight="1">
      <c r="B122" s="247">
        <f>B121+1</f>
        <v>1315</v>
      </c>
      <c r="C122" s="248" t="s">
        <v>564</v>
      </c>
      <c r="D122" s="249"/>
      <c r="E122" s="249"/>
      <c r="F122" s="249"/>
      <c r="G122" s="250"/>
      <c r="H122" s="251">
        <f>SUM(H120:H121)</f>
        <v>0</v>
      </c>
      <c r="I122" s="252"/>
      <c r="J122" s="251">
        <f>SUM(J120:J121)</f>
        <v>0</v>
      </c>
      <c r="K122" s="252"/>
      <c r="L122" s="253">
        <f>SUM(L120:L121)</f>
        <v>0</v>
      </c>
      <c r="M122" s="251">
        <f>SUM(M120:M121)</f>
        <v>0</v>
      </c>
      <c r="N122" s="251">
        <f>SUM(N120:N121)</f>
        <v>0</v>
      </c>
      <c r="O122" s="251">
        <f>SUM(O120:O121)</f>
        <v>0</v>
      </c>
      <c r="P122" s="251">
        <f>SUM(P120:P121)</f>
        <v>0</v>
      </c>
      <c r="R122" s="214">
        <f>H122</f>
        <v>0</v>
      </c>
      <c r="V122" s="34"/>
      <c r="W122" s="34"/>
      <c r="X122" s="34"/>
      <c r="Y122" s="34"/>
      <c r="Z122" s="34"/>
    </row>
    <row r="123" spans="2:20" s="27" customFormat="1" ht="13.5" customHeight="1">
      <c r="B123" s="80"/>
      <c r="H123" s="228"/>
      <c r="I123" s="228"/>
      <c r="J123" s="228"/>
      <c r="K123" s="228"/>
      <c r="L123" s="228"/>
      <c r="M123" s="228"/>
      <c r="T123" s="255"/>
    </row>
    <row r="124" spans="2:26" s="27" customFormat="1" ht="13.5" customHeight="1">
      <c r="B124" s="86">
        <f>B122+1</f>
        <v>1316</v>
      </c>
      <c r="C124" s="87" t="s">
        <v>567</v>
      </c>
      <c r="D124" s="78"/>
      <c r="E124" s="78"/>
      <c r="F124" s="98"/>
      <c r="G124" s="226">
        <v>38718</v>
      </c>
      <c r="H124" s="213"/>
      <c r="I124" s="213"/>
      <c r="J124" s="213"/>
      <c r="K124" s="228"/>
      <c r="L124" s="230">
        <f>H124</f>
        <v>0</v>
      </c>
      <c r="M124" s="230">
        <f>J124</f>
        <v>0</v>
      </c>
      <c r="S124" s="231">
        <v>0</v>
      </c>
      <c r="T124" s="231">
        <f>H124*365</f>
        <v>0</v>
      </c>
      <c r="U124" s="231">
        <f>IF(OR(G124=0,H124=0),0,$U$15-G124)</f>
        <v>0</v>
      </c>
      <c r="V124" s="232">
        <v>38718</v>
      </c>
      <c r="W124" s="232">
        <v>38718</v>
      </c>
      <c r="X124" s="233">
        <v>38718</v>
      </c>
      <c r="Y124" s="233"/>
      <c r="Z124" s="2"/>
    </row>
    <row r="125" spans="2:26" s="27" customFormat="1" ht="13.5" customHeight="1">
      <c r="B125" s="86">
        <f>B124+1</f>
        <v>1317</v>
      </c>
      <c r="C125" s="87" t="s">
        <v>568</v>
      </c>
      <c r="D125" s="78"/>
      <c r="E125" s="78"/>
      <c r="F125" s="98"/>
      <c r="G125" s="278"/>
      <c r="H125" s="213"/>
      <c r="I125" s="213"/>
      <c r="J125" s="213"/>
      <c r="K125" s="228"/>
      <c r="L125" s="229">
        <f>IF(AND(G125="",H125="",J125=""),"",ROUND(H125/365*$U125,2))</f>
      </c>
      <c r="M125" s="230">
        <f>IF(AND(G125="",H125="",J125=""),"",ROUND(J125/365*$U125,0))</f>
      </c>
      <c r="S125" s="242">
        <f>IF(H125&lt;0,MAX(H125*365,-SUM(J124)),0)</f>
        <v>0</v>
      </c>
      <c r="T125" s="242">
        <f>IF(H125&gt;0,H125*365,0)</f>
        <v>0</v>
      </c>
      <c r="U125" s="242">
        <f>IF(OR(G125=0,H125=0),0,$U$15-G125)</f>
        <v>0</v>
      </c>
      <c r="V125" s="243">
        <f>MAX(X$50:X124)</f>
        <v>38718</v>
      </c>
      <c r="W125" s="243">
        <v>39083</v>
      </c>
      <c r="X125" s="246">
        <f>IF(G125=0,X124,IF(G125&lt;MAX(X124:X124),MAX(X124:X124),G125))</f>
        <v>38718</v>
      </c>
      <c r="Y125" s="246">
        <f>IF(G125="",0,G125)</f>
        <v>0</v>
      </c>
      <c r="Z125" s="2"/>
    </row>
    <row r="126" spans="2:26" s="27" customFormat="1" ht="13.5" customHeight="1">
      <c r="B126" s="247">
        <f>B125+1</f>
        <v>1318</v>
      </c>
      <c r="C126" s="248" t="s">
        <v>566</v>
      </c>
      <c r="D126" s="249"/>
      <c r="E126" s="249"/>
      <c r="F126" s="249"/>
      <c r="G126" s="250"/>
      <c r="H126" s="251">
        <f>SUM(H124:H125)</f>
        <v>0</v>
      </c>
      <c r="I126" s="252"/>
      <c r="J126" s="251">
        <f>SUM(J124:J125)</f>
        <v>0</v>
      </c>
      <c r="K126" s="252"/>
      <c r="L126" s="253">
        <f>SUM(L124:L125)</f>
        <v>0</v>
      </c>
      <c r="M126" s="251">
        <f>SUM(M124:M125)</f>
        <v>0</v>
      </c>
      <c r="R126" s="214">
        <f>H126</f>
        <v>0</v>
      </c>
      <c r="V126" s="34"/>
      <c r="W126" s="34"/>
      <c r="X126" s="34"/>
      <c r="Y126" s="34"/>
      <c r="Z126" s="34"/>
    </row>
    <row r="127" ht="12.75"/>
    <row r="128" ht="12.75">
      <c r="B128" s="134" t="s">
        <v>40</v>
      </c>
    </row>
    <row r="129" ht="12.75">
      <c r="B129" s="134" t="s">
        <v>89</v>
      </c>
    </row>
    <row r="130" spans="1:11" s="27" customFormat="1" ht="18" customHeight="1">
      <c r="A130" s="74" t="s">
        <v>207</v>
      </c>
      <c r="B130" s="73">
        <f>Voorblad!A134</f>
        <v>0</v>
      </c>
      <c r="I130" s="74" t="s">
        <v>207</v>
      </c>
      <c r="K130" s="74" t="s">
        <v>207</v>
      </c>
    </row>
    <row r="131" spans="2:16" s="27" customFormat="1" ht="18" customHeight="1">
      <c r="B131" s="75" t="s">
        <v>36</v>
      </c>
      <c r="C131" s="75"/>
      <c r="D131" s="75"/>
      <c r="E131" s="89"/>
      <c r="F131" s="123" t="str">
        <f>CONCATENATE(Voorblad!$E$11," / ",Voorblad!$F$11)</f>
        <v>650 / </v>
      </c>
      <c r="G131" s="75"/>
      <c r="H131" s="76"/>
      <c r="I131" s="75"/>
      <c r="J131" s="76" t="str">
        <f>"versie: "&amp;TEXT(Voorblad!$M$9,"dd-mm-jjjj")</f>
        <v>versie: 29-08-2006</v>
      </c>
      <c r="K131" s="76"/>
      <c r="L131" s="78"/>
      <c r="M131" s="321"/>
      <c r="P131" s="322">
        <f>P82+1</f>
        <v>14</v>
      </c>
    </row>
    <row r="132" spans="2:16" s="27" customFormat="1" ht="18" customHeight="1">
      <c r="B132" s="4"/>
      <c r="C132" s="4"/>
      <c r="D132" s="4"/>
      <c r="E132" s="324"/>
      <c r="F132" s="325"/>
      <c r="G132" s="4"/>
      <c r="H132" s="11"/>
      <c r="I132" s="4"/>
      <c r="J132" s="11"/>
      <c r="K132" s="11"/>
      <c r="L132" s="34"/>
      <c r="M132" s="326"/>
      <c r="P132" s="322"/>
    </row>
    <row r="133" spans="2:16" s="27" customFormat="1" ht="18" customHeight="1">
      <c r="B133" s="4"/>
      <c r="C133" s="4"/>
      <c r="D133" s="4"/>
      <c r="E133" s="324"/>
      <c r="F133" s="325"/>
      <c r="G133" s="4"/>
      <c r="H133" s="11"/>
      <c r="I133" s="4"/>
      <c r="J133" s="11"/>
      <c r="K133" s="11"/>
      <c r="L133" s="34"/>
      <c r="M133" s="326"/>
      <c r="P133" s="322"/>
    </row>
    <row r="134" s="124" customFormat="1" ht="16.5" customHeight="1">
      <c r="B134" s="150" t="s">
        <v>574</v>
      </c>
    </row>
    <row r="135" s="124" customFormat="1" ht="13.5" customHeight="1">
      <c r="M135" s="151"/>
    </row>
    <row r="136" spans="2:13" s="124" customFormat="1" ht="13.5" customHeight="1">
      <c r="B136" s="327" t="s">
        <v>381</v>
      </c>
      <c r="C136" s="153"/>
      <c r="D136" s="153"/>
      <c r="E136" s="153"/>
      <c r="F136" s="154"/>
      <c r="G136" s="125" t="s">
        <v>189</v>
      </c>
      <c r="H136" s="125" t="s">
        <v>389</v>
      </c>
      <c r="I136" s="328"/>
      <c r="J136" s="66" t="s">
        <v>37</v>
      </c>
      <c r="K136" s="328"/>
      <c r="L136" s="365" t="s">
        <v>176</v>
      </c>
      <c r="M136" s="366"/>
    </row>
    <row r="137" spans="2:13" s="124" customFormat="1" ht="13.5" customHeight="1">
      <c r="B137" s="157">
        <f>P131*100+1</f>
        <v>1401</v>
      </c>
      <c r="C137" s="135" t="s">
        <v>577</v>
      </c>
      <c r="D137" s="129"/>
      <c r="E137" s="129"/>
      <c r="F137" s="127"/>
      <c r="G137" s="159">
        <f>L17+L21+L28+L32+L39+L43</f>
        <v>0</v>
      </c>
      <c r="H137" s="158">
        <v>25088.64</v>
      </c>
      <c r="I137" s="328"/>
      <c r="J137" s="292">
        <v>1.004</v>
      </c>
      <c r="K137" s="328"/>
      <c r="L137" s="363">
        <f>ROUND(ROUND(H137*J137,2)*G137,0)</f>
        <v>0</v>
      </c>
      <c r="M137" s="364"/>
    </row>
    <row r="138" spans="2:13" s="124" customFormat="1" ht="13.5" customHeight="1">
      <c r="B138" s="157">
        <f>B137+1</f>
        <v>1402</v>
      </c>
      <c r="C138" s="135" t="s">
        <v>78</v>
      </c>
      <c r="D138" s="129"/>
      <c r="E138" s="129"/>
      <c r="F138" s="127"/>
      <c r="G138" s="159">
        <f>M17+M28+M39</f>
        <v>0</v>
      </c>
      <c r="H138" s="330">
        <v>47.3</v>
      </c>
      <c r="I138" s="328"/>
      <c r="J138" s="292">
        <v>1.004</v>
      </c>
      <c r="K138" s="328"/>
      <c r="L138" s="363">
        <f aca="true" t="shared" si="0" ref="L138:L145">ROUND(ROUND(H138*J138,2)*G138,0)</f>
        <v>0</v>
      </c>
      <c r="M138" s="364"/>
    </row>
    <row r="139" spans="2:13" s="124" customFormat="1" ht="13.5" customHeight="1">
      <c r="B139" s="157">
        <f>B138+1</f>
        <v>1403</v>
      </c>
      <c r="C139" s="135" t="s">
        <v>77</v>
      </c>
      <c r="D139" s="129"/>
      <c r="E139" s="129"/>
      <c r="F139" s="127"/>
      <c r="G139" s="159">
        <f>M21+M32+M43</f>
        <v>0</v>
      </c>
      <c r="H139" s="330">
        <v>6.87</v>
      </c>
      <c r="I139" s="328"/>
      <c r="J139" s="292">
        <v>1.004</v>
      </c>
      <c r="K139" s="328"/>
      <c r="L139" s="363">
        <f t="shared" si="0"/>
        <v>0</v>
      </c>
      <c r="M139" s="364"/>
    </row>
    <row r="140" spans="2:19" s="124" customFormat="1" ht="13.5" customHeight="1">
      <c r="B140" s="157">
        <f>B139+1</f>
        <v>1404</v>
      </c>
      <c r="C140" s="135" t="s">
        <v>479</v>
      </c>
      <c r="D140" s="129"/>
      <c r="E140" s="129"/>
      <c r="F140" s="127"/>
      <c r="G140" s="159">
        <f>L70+L99+L120</f>
        <v>0</v>
      </c>
      <c r="H140" s="330">
        <v>9828.08</v>
      </c>
      <c r="I140" s="328"/>
      <c r="J140" s="292">
        <v>1.004</v>
      </c>
      <c r="K140" s="328"/>
      <c r="L140" s="363">
        <f t="shared" si="0"/>
        <v>0</v>
      </c>
      <c r="M140" s="364"/>
      <c r="R140" s="333"/>
      <c r="S140" s="334"/>
    </row>
    <row r="141" spans="2:19" s="124" customFormat="1" ht="13.5" customHeight="1">
      <c r="B141" s="157">
        <f aca="true" t="shared" si="1" ref="B141:B146">B140+1</f>
        <v>1405</v>
      </c>
      <c r="C141" s="165" t="s">
        <v>476</v>
      </c>
      <c r="D141" s="328"/>
      <c r="E141" s="328"/>
      <c r="F141" s="328"/>
      <c r="G141" s="159">
        <f>L74+L103+L124</f>
        <v>0</v>
      </c>
      <c r="H141" s="158">
        <v>3998.36</v>
      </c>
      <c r="I141" s="328"/>
      <c r="J141" s="292">
        <v>1.004</v>
      </c>
      <c r="K141" s="328"/>
      <c r="L141" s="363">
        <f t="shared" si="0"/>
        <v>0</v>
      </c>
      <c r="M141" s="364"/>
      <c r="R141" s="335"/>
      <c r="S141" s="336"/>
    </row>
    <row r="142" spans="2:19" s="124" customFormat="1" ht="13.5" customHeight="1">
      <c r="B142" s="157">
        <f t="shared" si="1"/>
        <v>1406</v>
      </c>
      <c r="C142" s="135" t="s">
        <v>478</v>
      </c>
      <c r="D142" s="129"/>
      <c r="E142" s="129"/>
      <c r="F142" s="127"/>
      <c r="G142" s="159">
        <f>L60+L89+L110</f>
        <v>0</v>
      </c>
      <c r="H142" s="158">
        <v>10261.28</v>
      </c>
      <c r="I142" s="328"/>
      <c r="J142" s="292">
        <v>1.004</v>
      </c>
      <c r="K142" s="328"/>
      <c r="L142" s="363">
        <f t="shared" si="0"/>
        <v>0</v>
      </c>
      <c r="M142" s="364"/>
      <c r="R142" s="337"/>
      <c r="S142" s="336"/>
    </row>
    <row r="143" spans="2:19" s="124" customFormat="1" ht="13.5" customHeight="1">
      <c r="B143" s="157">
        <f t="shared" si="1"/>
        <v>1407</v>
      </c>
      <c r="C143" s="165" t="s">
        <v>477</v>
      </c>
      <c r="D143" s="328"/>
      <c r="E143" s="328"/>
      <c r="F143" s="328"/>
      <c r="G143" s="159">
        <f>L64+L93+L114</f>
        <v>0</v>
      </c>
      <c r="H143" s="158">
        <v>4214.96</v>
      </c>
      <c r="I143" s="328"/>
      <c r="J143" s="292">
        <v>1.004</v>
      </c>
      <c r="K143" s="328"/>
      <c r="L143" s="363">
        <f t="shared" si="0"/>
        <v>0</v>
      </c>
      <c r="M143" s="364"/>
      <c r="R143" s="337"/>
      <c r="S143" s="336"/>
    </row>
    <row r="144" spans="2:19" s="124" customFormat="1" ht="13.5" customHeight="1">
      <c r="B144" s="157">
        <f t="shared" si="1"/>
        <v>1408</v>
      </c>
      <c r="C144" s="135" t="s">
        <v>480</v>
      </c>
      <c r="D144" s="129"/>
      <c r="E144" s="129"/>
      <c r="F144" s="127"/>
      <c r="G144" s="159">
        <f>M60+M70+M89+M99+M110+M120</f>
        <v>0</v>
      </c>
      <c r="H144" s="330">
        <v>16.25</v>
      </c>
      <c r="I144" s="328"/>
      <c r="J144" s="292">
        <v>1.004</v>
      </c>
      <c r="K144" s="328"/>
      <c r="L144" s="363">
        <f t="shared" si="0"/>
        <v>0</v>
      </c>
      <c r="M144" s="364"/>
      <c r="R144" s="337"/>
      <c r="S144" s="336"/>
    </row>
    <row r="145" spans="2:13" s="124" customFormat="1" ht="13.5" customHeight="1" thickBot="1">
      <c r="B145" s="166">
        <f t="shared" si="1"/>
        <v>1409</v>
      </c>
      <c r="C145" s="165" t="s">
        <v>481</v>
      </c>
      <c r="D145" s="328"/>
      <c r="E145" s="328"/>
      <c r="F145" s="328"/>
      <c r="G145" s="167">
        <f>M64+M74+M93+M103+M114+M124</f>
        <v>0</v>
      </c>
      <c r="H145" s="331">
        <v>6.87</v>
      </c>
      <c r="I145" s="328"/>
      <c r="J145" s="292">
        <v>1.004</v>
      </c>
      <c r="K145" s="328"/>
      <c r="L145" s="367">
        <f t="shared" si="0"/>
        <v>0</v>
      </c>
      <c r="M145" s="368"/>
    </row>
    <row r="146" spans="2:13" s="124" customFormat="1" ht="13.5" customHeight="1" thickBot="1">
      <c r="B146" s="125">
        <f t="shared" si="1"/>
        <v>1410</v>
      </c>
      <c r="C146" s="169" t="s">
        <v>390</v>
      </c>
      <c r="D146" s="129"/>
      <c r="E146" s="129"/>
      <c r="F146" s="129"/>
      <c r="G146" s="129"/>
      <c r="H146" s="129"/>
      <c r="I146" s="328"/>
      <c r="J146" s="185"/>
      <c r="K146" s="328"/>
      <c r="L146" s="361">
        <f>SUM(L137:L145)</f>
        <v>0</v>
      </c>
      <c r="M146" s="362"/>
    </row>
    <row r="147" spans="2:13" s="124" customFormat="1" ht="13.5" customHeight="1">
      <c r="B147" s="328"/>
      <c r="C147" s="328"/>
      <c r="D147" s="328"/>
      <c r="E147" s="328"/>
      <c r="F147" s="328"/>
      <c r="G147" s="328"/>
      <c r="H147" s="328"/>
      <c r="I147" s="328"/>
      <c r="J147" s="185"/>
      <c r="K147" s="328"/>
      <c r="L147" s="328"/>
      <c r="M147" s="328"/>
    </row>
    <row r="148" spans="2:13" s="124" customFormat="1" ht="13.5" customHeight="1">
      <c r="B148" s="327" t="s">
        <v>382</v>
      </c>
      <c r="C148" s="153"/>
      <c r="D148" s="153"/>
      <c r="E148" s="153"/>
      <c r="F148" s="154"/>
      <c r="G148" s="125" t="s">
        <v>189</v>
      </c>
      <c r="H148" s="125" t="s">
        <v>389</v>
      </c>
      <c r="I148" s="328"/>
      <c r="J148" s="66" t="s">
        <v>37</v>
      </c>
      <c r="K148" s="328"/>
      <c r="L148" s="365" t="s">
        <v>176</v>
      </c>
      <c r="M148" s="366"/>
    </row>
    <row r="149" spans="2:13" s="124" customFormat="1" ht="13.5" customHeight="1">
      <c r="B149" s="157">
        <f>B146+1</f>
        <v>1411</v>
      </c>
      <c r="C149" s="170" t="s">
        <v>578</v>
      </c>
      <c r="D149" s="129"/>
      <c r="E149" s="129"/>
      <c r="F149" s="127"/>
      <c r="G149" s="159">
        <f>G137</f>
        <v>0</v>
      </c>
      <c r="H149" s="158">
        <v>2860.46</v>
      </c>
      <c r="I149" s="328"/>
      <c r="J149" s="265">
        <v>1.01</v>
      </c>
      <c r="K149" s="328"/>
      <c r="L149" s="363">
        <f>ROUND(ROUND(H149*J149,2)*G149,0)</f>
        <v>0</v>
      </c>
      <c r="M149" s="364"/>
    </row>
    <row r="150" spans="2:13" s="124" customFormat="1" ht="13.5" customHeight="1">
      <c r="B150" s="157">
        <f>B149+1</f>
        <v>1412</v>
      </c>
      <c r="C150" s="170" t="s">
        <v>84</v>
      </c>
      <c r="D150" s="129"/>
      <c r="E150" s="129"/>
      <c r="F150" s="127"/>
      <c r="G150" s="159">
        <f>G138+G139</f>
        <v>0</v>
      </c>
      <c r="H150" s="330">
        <v>10.31</v>
      </c>
      <c r="I150" s="328"/>
      <c r="J150" s="265">
        <v>1.01</v>
      </c>
      <c r="K150" s="328"/>
      <c r="L150" s="363">
        <f>ROUND(ROUND(H150*J150,2)*G150,0)</f>
        <v>0</v>
      </c>
      <c r="M150" s="364"/>
    </row>
    <row r="151" spans="2:13" s="124" customFormat="1" ht="13.5" customHeight="1">
      <c r="B151" s="157">
        <f>B150+1</f>
        <v>1413</v>
      </c>
      <c r="C151" s="170" t="s">
        <v>386</v>
      </c>
      <c r="D151" s="129"/>
      <c r="E151" s="129"/>
      <c r="F151" s="127"/>
      <c r="G151" s="159">
        <f>G140+G141</f>
        <v>0</v>
      </c>
      <c r="H151" s="158">
        <v>1323.76</v>
      </c>
      <c r="I151" s="328"/>
      <c r="J151" s="265">
        <v>1.01</v>
      </c>
      <c r="K151" s="328"/>
      <c r="L151" s="363">
        <f>ROUND(ROUND(H151*J151,2)*G151,0)</f>
        <v>0</v>
      </c>
      <c r="M151" s="364"/>
    </row>
    <row r="152" spans="2:13" s="124" customFormat="1" ht="13.5" customHeight="1">
      <c r="B152" s="157">
        <f>B151+1</f>
        <v>1414</v>
      </c>
      <c r="C152" s="170" t="s">
        <v>387</v>
      </c>
      <c r="D152" s="129"/>
      <c r="E152" s="129"/>
      <c r="F152" s="127"/>
      <c r="G152" s="159">
        <f>G142+G143</f>
        <v>0</v>
      </c>
      <c r="H152" s="158">
        <v>1997.62</v>
      </c>
      <c r="I152" s="328"/>
      <c r="J152" s="265">
        <v>1.01</v>
      </c>
      <c r="K152" s="328"/>
      <c r="L152" s="363">
        <f>ROUND(ROUND(H152*J152,2)*G152,0)</f>
        <v>0</v>
      </c>
      <c r="M152" s="364"/>
    </row>
    <row r="153" spans="2:13" s="124" customFormat="1" ht="13.5" customHeight="1" thickBot="1">
      <c r="B153" s="157">
        <f>B152+1</f>
        <v>1415</v>
      </c>
      <c r="C153" s="170" t="s">
        <v>388</v>
      </c>
      <c r="D153" s="129"/>
      <c r="E153" s="129"/>
      <c r="F153" s="127"/>
      <c r="G153" s="159">
        <f>G144+G145</f>
        <v>0</v>
      </c>
      <c r="H153" s="330">
        <v>5.25</v>
      </c>
      <c r="I153" s="328"/>
      <c r="J153" s="265">
        <v>1.01</v>
      </c>
      <c r="K153" s="328"/>
      <c r="L153" s="363">
        <f>ROUND(ROUND(H153*J153,2)*G153,0)</f>
        <v>0</v>
      </c>
      <c r="M153" s="364"/>
    </row>
    <row r="154" spans="2:13" s="124" customFormat="1" ht="13.5" customHeight="1" thickBot="1">
      <c r="B154" s="125">
        <f>B153+1</f>
        <v>1416</v>
      </c>
      <c r="C154" s="169" t="s">
        <v>391</v>
      </c>
      <c r="D154" s="129"/>
      <c r="E154" s="129"/>
      <c r="F154" s="129"/>
      <c r="G154" s="129"/>
      <c r="H154" s="129"/>
      <c r="I154" s="328"/>
      <c r="J154" s="185"/>
      <c r="K154" s="328"/>
      <c r="L154" s="361">
        <f>SUM(L149:L153)</f>
        <v>0</v>
      </c>
      <c r="M154" s="362"/>
    </row>
    <row r="155" spans="2:13" ht="12.75">
      <c r="B155" s="329"/>
      <c r="C155" s="329"/>
      <c r="D155" s="329"/>
      <c r="F155" s="329"/>
      <c r="G155" s="329"/>
      <c r="H155" s="329"/>
      <c r="I155" s="329"/>
      <c r="J155" s="329"/>
      <c r="K155" s="329"/>
      <c r="L155" s="329"/>
      <c r="M155" s="329"/>
    </row>
    <row r="156" spans="2:13" ht="12.75">
      <c r="B156" s="327" t="s">
        <v>580</v>
      </c>
      <c r="C156" s="153"/>
      <c r="D156" s="153"/>
      <c r="E156" s="153"/>
      <c r="F156" s="154"/>
      <c r="G156" s="125" t="s">
        <v>189</v>
      </c>
      <c r="H156" s="125" t="s">
        <v>389</v>
      </c>
      <c r="J156" s="66" t="s">
        <v>37</v>
      </c>
      <c r="K156" s="328"/>
      <c r="L156" s="365" t="s">
        <v>176</v>
      </c>
      <c r="M156" s="366"/>
    </row>
    <row r="157" spans="2:13" ht="12.75">
      <c r="B157" s="157">
        <f>B154+1</f>
        <v>1417</v>
      </c>
      <c r="C157" s="170" t="s">
        <v>555</v>
      </c>
      <c r="D157" s="129"/>
      <c r="E157" s="129"/>
      <c r="F157" s="127"/>
      <c r="G157" s="159">
        <f>L17+L21+L60+L64+L70+L74</f>
        <v>0</v>
      </c>
      <c r="H157" s="332">
        <v>1937</v>
      </c>
      <c r="J157" s="265">
        <v>1.01</v>
      </c>
      <c r="K157" s="328"/>
      <c r="L157" s="363">
        <f>ROUND(ROUND(H157*J157,2)*G157,0)</f>
        <v>0</v>
      </c>
      <c r="M157" s="364"/>
    </row>
    <row r="158" spans="2:13" ht="12.75">
      <c r="B158" s="157">
        <f>B157+1</f>
        <v>1418</v>
      </c>
      <c r="C158" s="170" t="s">
        <v>575</v>
      </c>
      <c r="D158" s="129"/>
      <c r="E158" s="129"/>
      <c r="F158" s="127"/>
      <c r="G158" s="159">
        <f>L28+L32+L89+L93+L99+L103</f>
        <v>0</v>
      </c>
      <c r="H158" s="332">
        <v>1335</v>
      </c>
      <c r="J158" s="265">
        <v>1.01</v>
      </c>
      <c r="K158" s="328"/>
      <c r="L158" s="363">
        <f>ROUND(ROUND(H158*J158,2)*G158,0)</f>
        <v>0</v>
      </c>
      <c r="M158" s="364"/>
    </row>
    <row r="159" spans="2:13" ht="13.5" thickBot="1">
      <c r="B159" s="157">
        <f>B158+1</f>
        <v>1419</v>
      </c>
      <c r="C159" s="170" t="s">
        <v>576</v>
      </c>
      <c r="D159" s="129"/>
      <c r="E159" s="129"/>
      <c r="F159" s="127"/>
      <c r="G159" s="159">
        <f>L39+L43+L110+L114+L120+L124</f>
        <v>0</v>
      </c>
      <c r="H159" s="332">
        <v>1570</v>
      </c>
      <c r="J159" s="265">
        <v>1.01</v>
      </c>
      <c r="K159" s="328"/>
      <c r="L159" s="363">
        <f>ROUND(ROUND(H159*J159,2)*G159,0)</f>
        <v>0</v>
      </c>
      <c r="M159" s="364"/>
    </row>
    <row r="160" spans="2:13" ht="13.5" thickBot="1">
      <c r="B160" s="125">
        <f>B159+1</f>
        <v>1420</v>
      </c>
      <c r="C160" s="169" t="s">
        <v>605</v>
      </c>
      <c r="D160" s="129"/>
      <c r="E160" s="129"/>
      <c r="F160" s="129"/>
      <c r="G160" s="129"/>
      <c r="H160" s="129"/>
      <c r="I160" s="328"/>
      <c r="J160" s="185"/>
      <c r="K160" s="328"/>
      <c r="L160" s="361">
        <f>SUM(L157:L159)</f>
        <v>0</v>
      </c>
      <c r="M160" s="362"/>
    </row>
    <row r="161" ht="13.5" thickBot="1"/>
    <row r="162" spans="2:13" s="124" customFormat="1" ht="13.5" customHeight="1" thickBot="1">
      <c r="B162" s="174">
        <f>B160+1</f>
        <v>1421</v>
      </c>
      <c r="C162" s="175" t="str">
        <f>"Totaal beslag t.l.v. contracteerruimte 2006 KSW excl. geoormerkte gelden (regel "&amp;B146&amp;"+"&amp;B154&amp;"+"&amp;B160&amp;")"</f>
        <v>Totaal beslag t.l.v. contracteerruimte 2006 KSW excl. geoormerkte gelden (regel 1410+1416+1420)</v>
      </c>
      <c r="D162" s="126"/>
      <c r="E162" s="126"/>
      <c r="F162" s="126"/>
      <c r="G162" s="126"/>
      <c r="H162" s="126"/>
      <c r="J162" s="185"/>
      <c r="L162" s="361">
        <f>L146+L154+L160</f>
        <v>0</v>
      </c>
      <c r="M162" s="362"/>
    </row>
    <row r="163" ht="12.75"/>
    <row r="164" ht="12.75"/>
    <row r="165" ht="12.75" hidden="1"/>
    <row r="166" ht="12.75" hidden="1"/>
    <row r="167" ht="12.75" hidden="1"/>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sheetData>
  <sheetProtection password="C796" sheet="1" objects="1" scenarios="1"/>
  <mergeCells count="28">
    <mergeCell ref="N57:P57"/>
    <mergeCell ref="N86:P86"/>
    <mergeCell ref="N107:P107"/>
    <mergeCell ref="N14:P14"/>
    <mergeCell ref="L136:M136"/>
    <mergeCell ref="L137:M137"/>
    <mergeCell ref="L138:M138"/>
    <mergeCell ref="L139:M139"/>
    <mergeCell ref="L140:M140"/>
    <mergeCell ref="L141:M141"/>
    <mergeCell ref="L142:M142"/>
    <mergeCell ref="L143:M143"/>
    <mergeCell ref="L144:M144"/>
    <mergeCell ref="L145:M145"/>
    <mergeCell ref="L146:M146"/>
    <mergeCell ref="L148:M148"/>
    <mergeCell ref="L153:M153"/>
    <mergeCell ref="L154:M154"/>
    <mergeCell ref="L156:M156"/>
    <mergeCell ref="L149:M149"/>
    <mergeCell ref="L150:M150"/>
    <mergeCell ref="L151:M151"/>
    <mergeCell ref="L152:M152"/>
    <mergeCell ref="L162:M162"/>
    <mergeCell ref="L157:M157"/>
    <mergeCell ref="L158:M158"/>
    <mergeCell ref="L159:M159"/>
    <mergeCell ref="L160:M160"/>
  </mergeCells>
  <conditionalFormatting sqref="H17:J18 H21:J22 H28:J29 H32:J33 H39:J40 H43:J44 G18 G22 G29 G33 G40 G44">
    <cfRule type="expression" priority="1" dxfId="1" stopIfTrue="1">
      <formula>$D$13&lt;&gt;"nee"</formula>
    </cfRule>
  </conditionalFormatting>
  <conditionalFormatting sqref="H60:J61 H64:J65 H70:J71 H74:J75 H89:J90 H93:J94 H99:J100 H103:J104 H110:J111 H114:J115 H120:J121 H124:J125 G61 G65 G71 G75 G90 G94 G100 G104 G111 G115 G121 G125 L9">
    <cfRule type="expression" priority="2" dxfId="1" stopIfTrue="1">
      <formula>$D$55&lt;&gt;"nee"</formula>
    </cfRule>
  </conditionalFormatting>
  <conditionalFormatting sqref="N17:P18 N28:P29 N39:P40">
    <cfRule type="expression" priority="3" dxfId="1" stopIfTrue="1">
      <formula>$D$13&lt;&gt;"nee"</formula>
    </cfRule>
  </conditionalFormatting>
  <conditionalFormatting sqref="N60:P61 N70:P71 N89:P90 N99:P100 N110:P111 N120:P121">
    <cfRule type="expression" priority="4" dxfId="1" stopIfTrue="1">
      <formula>$D$55&lt;&gt;"nee"</formula>
    </cfRule>
  </conditionalFormatting>
  <dataValidations count="12">
    <dataValidation type="custom" allowBlank="1" showInputMessage="1" showErrorMessage="1" errorTitle="Invoer onjuist" error="Er dient een geheel aantal te worden ingevuld.&#10;&#10;Daarnaast mag het totaal aantal verpleegdagen niet meer bedragen dan het aantal bedden x 365 dagen. &#10;&#10;De totale capaciteit mag niet negatief worden." sqref="J18 J22 J29 J33 J40 J44 J61 J65 J71 J75 J90 J94 J100 J104 J111 J115 J121 J125">
      <formula1>AND(J18=ROUND(J18,0),J18&gt;=S18,J18&lt;=T18)</formula1>
    </dataValidation>
    <dataValidation type="custom" allowBlank="1" showInputMessage="1" showErrorMessage="1" errorTitle="Invoer onjuist" error="Er dient een geheel positief aantal te worden ingevuld.&#10;&#10;Daarnaast mag het totaal aantal verpleegdagen niet meer bedragen dan het aantal bedden x 365 dagen." sqref="J17 J21 J28 J32 J39 J43 J60 J64 J70 J74 J89 J93 J99 J103 J110 J114 J120 J124">
      <formula1>AND(J17=ROUND(J17,0),J17&gt;=S17,J17&lt;=T17)</formula1>
    </dataValidation>
    <dataValidation type="date" allowBlank="1" showInputMessage="1" showErrorMessage="1" errorTitle="Invoer onjuist" error="De  ingevoerde datum moet een datum zijn&#10;- in het jaar 2006;&#10;- die groter is dan of gelijk is aan een hierboven ingevoerde datum;&#10;- die kleiner is dan een hieronder ingevoerde datum." sqref="G125 G22 G29 G33 G40 G44 G61 G65 G71 G75 G90 G94 G100 G104 G111 G115 G121">
      <formula1>V125</formula1>
      <formula2>W125-1</formula2>
    </dataValidation>
    <dataValidation type="custom" allowBlank="1" showInputMessage="1" showErrorMessage="1" errorTitle="Invoer onjuist" error="Er dient een geheel en positief aantal te worden ingevuld.&#10;&#10;Daarnaast mag het totaal aantal verpleegdagen niet meer bedragen dan het aantal bedden (somatisch, psychogeriatrisch en voorzieningencentrum) x 365 dagen." sqref="G9:G10">
      <formula1>AND(G9&gt;=0,G9=ROUND(G9,0),(#REF!+#REF!)&lt;=(#REF!*365))</formula1>
    </dataValidation>
    <dataValidation type="custom" showInputMessage="1" showErrorMessage="1" errorTitle="Onjuiste invoer" error="De plaatsen met toeslag kan niet meer zijn dan het afgesproken aantal plaatsen op jaarbasis." sqref="N17:P18 N28:P29 N39:P40 N60:P61 N70:P71 N89:P90 N99:P100 N110:P111 N120:P121">
      <formula1>AND(N17&gt;=0,ROUND(N17,0)=N17,N17&lt;=$H17)</formula1>
    </dataValidation>
    <dataValidation type="custom" operator="greaterThan" allowBlank="1" showInputMessage="1" showErrorMessage="1" errorTitle="Invoer onjuist" error="Het invullen van deze cel is alleen mogelijk indien de instelling voor verblijf is toegelaten.&#10;&#10;Daarnaast dient er een geheel en positief aantal te worden ingevuld." sqref="L9">
      <formula1>AND(L9&gt;=0,L9=ROUND(L9,0),$D$55="ja")</formula1>
    </dataValidation>
    <dataValidation type="custom" allowBlank="1" showInputMessage="1" showErrorMessage="1" errorTitle="Invoer onjuist" error="Het invullen van deze cel is alleen mogelijk indien de instelling voor de betreffende functie is toegelaten.&#10;&#10;Daarnaast dient er een geheel en positief aantal te worden ingevuld." sqref="L10">
      <formula1>AND(L10&gt;=0,L10=ROUND(L10,0),$D$45="ja")</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18 H22 H29 H33 H40 H44">
      <formula1>AND($D$13="ja",Y18&gt;0,H18=ROUND(H18,0),$H19&gt;=0,$R$15&lt;=$L$9)</formula1>
    </dataValidation>
    <dataValidation type="custom" allowBlank="1" showInputMessage="1" showErrorMessage="1" errorTitle="Invoer onjuist" error="Een afspraak is alleen mogelijk indien de instelling voor de betr. functie is toegelaten en de ingangsdatum is ingevuld.&#10;&#10;Daarnaast dient er een geheel aantal te worden ingevuld.&#10;&#10;De totale capaciteit mag niet negatief worden" sqref="H61 H65 H71 H75 H90 H94 H100 H104 H111 H115 H121 H125">
      <formula1>AND($D$55="ja",Y61&gt;0,H61=ROUND(H61,0),$H62&gt;=0,$R$15&lt;=$L$9)</formula1>
    </dataValidation>
    <dataValidation type="date" allowBlank="1" showInputMessage="1" showErrorMessage="1" errorTitle="Invoer onjuist" error="De  ingevoerde datum moet een datum zijn&#10;- in het jaar 2006;&#10;- die groter is dan of gelijk is aan een hierboven ingevoerde datum;&#10;- die kleiner is dan een hieronder ingevoerde datum." sqref="G18">
      <formula1>V18</formula1>
      <formula2>W18-1</formula2>
    </dataValidation>
    <dataValidation type="custom" showInputMessage="1" showErrorMessage="1" errorTitle="Invoer onjuist" error="Een afspraak is alleen mogelijk indien de instelling voor de betreffende functie is toegelaten.&#10;&#10;Daarnaast dient er een geheel en positief aantal te worden ingevuld en mogen de totale plaatsen niet boven de toelating uitkomen" sqref="H17 H21 H28 H32 H39 H43">
      <formula1>AND($D$13="ja",H17&gt;=0,H17=ROUND(H17,0),$R$15&lt;=$L$9)</formula1>
    </dataValidation>
    <dataValidation type="custom" allowBlank="1" showInputMessage="1" showErrorMessage="1" errorTitle="Invoer onjuist" error="Een afspraak is alleen mogelijk indien de instelling voor de betreffende functie is toegelaten.&#10;&#10;Daarnaast dient er een geheel en positief aantal te worden ingevuld en de totale plaatsen mogen niet boven de toelating uitkomen" sqref="H60 H64 H70 H74 H89 H93 H99 H103 H110 H114 H120 H124">
      <formula1>AND($D$55="ja",H60&gt;=0,H60=ROUND(H60,0),$R$15&lt;=$L$9)</formula1>
    </dataValidation>
  </dataValidations>
  <printOptions/>
  <pageMargins left="0.27" right="0.27" top="0.31" bottom="0.3" header="0.18" footer="0.18"/>
  <pageSetup horizontalDpi="600" verticalDpi="600" orientation="landscape" paperSize="9" scale="84" r:id="rId2"/>
  <rowBreaks count="3" manualBreakCount="3">
    <brk id="48" max="15" man="1"/>
    <brk id="80" max="15" man="1"/>
    <brk id="129"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 de Wit-Termaten</dc:creator>
  <cp:keywords/>
  <dc:description/>
  <cp:lastModifiedBy>ckas</cp:lastModifiedBy>
  <cp:lastPrinted>2006-05-03T11:57:18Z</cp:lastPrinted>
  <dcterms:created xsi:type="dcterms:W3CDTF">2004-11-08T12:30:05Z</dcterms:created>
  <dcterms:modified xsi:type="dcterms:W3CDTF">2006-09-07T13:04:44Z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THRFR6N5WDQ4-17-3069</vt:lpwstr>
  </property>
  <property fmtid="{D5CDD505-2E9C-101B-9397-08002B2CF9AE}" pid="4" name="_dlc_DocIdItemGu">
    <vt:lpwstr>9fdd176b-ee57-48b1-bbcd-318003c4e694</vt:lpwstr>
  </property>
  <property fmtid="{D5CDD505-2E9C-101B-9397-08002B2CF9AE}" pid="5" name="_dlc_DocIdU">
    <vt:lpwstr>http://kennisnet.nza.nl/publicaties/Aanleveren/_layouts/DocIdRedir.aspx?ID=THRFR6N5WDQ4-17-3069, THRFR6N5WDQ4-17-3069</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Alle:Langdurige zorg:Verpleging en verzorging|33367432-927b-4a96-adc1-6d221f5d18a9</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verzorging|33367432-927b-4a96-adc1-6d221f5d18a9;#103;#Formulier|4bc40415-667d-4fea-816d-9688ca6ffa69</vt:lpwstr>
  </property>
</Properties>
</file>