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firstSheet="1" activeTab="1"/>
  </bookViews>
  <sheets>
    <sheet name="Uitvoer" sheetId="1" state="hidden" r:id="rId1"/>
    <sheet name="Voorblad" sheetId="2" r:id="rId2"/>
    <sheet name="versiebeheer" sheetId="3" r:id="rId3"/>
    <sheet name="Inhoud" sheetId="4" r:id="rId4"/>
    <sheet name="instructie" sheetId="5" r:id="rId5"/>
    <sheet name="Prod.1.1." sheetId="6" r:id="rId6"/>
    <sheet name="Prod.1.2" sheetId="7" r:id="rId7"/>
    <sheet name="Prod.1.3" sheetId="8" r:id="rId8"/>
    <sheet name="Prod.1.4" sheetId="9" r:id="rId9"/>
    <sheet name="Prod.1.5" sheetId="10" r:id="rId10"/>
    <sheet name="Prod.1.6" sheetId="11" r:id="rId11"/>
    <sheet name="Opbrengsten" sheetId="12" r:id="rId12"/>
    <sheet name="Afschrijvingen" sheetId="13" r:id="rId13"/>
    <sheet name="WZV" sheetId="14" r:id="rId14"/>
    <sheet name="Instandhouding" sheetId="15" r:id="rId15"/>
    <sheet name="Afschr.inventaris" sheetId="16" r:id="rId16"/>
    <sheet name="Mutaties" sheetId="17" r:id="rId17"/>
    <sheet name="Rentecalc." sheetId="18" r:id="rId18"/>
    <sheet name="A-G" sheetId="19" r:id="rId19"/>
    <sheet name="H" sheetId="20" r:id="rId20"/>
    <sheet name="I-J" sheetId="21" r:id="rId21"/>
    <sheet name="vragen" sheetId="22" r:id="rId22"/>
    <sheet name="G1" sheetId="23" r:id="rId23"/>
  </sheets>
  <definedNames>
    <definedName name="_xlnm.Print_Area" localSheetId="15">'Afschr.inventaris'!$A$1:$G$31</definedName>
    <definedName name="_xlnm.Print_Area" localSheetId="12">'Afschrijvingen'!$A$1:$H$23</definedName>
    <definedName name="_xlnm.Print_Area" localSheetId="18">'A-G'!$A$1:$G$150</definedName>
    <definedName name="_xlnm.Print_Area" localSheetId="22">'G1'!$A$1:$E$99</definedName>
    <definedName name="_xlnm.Print_Area" localSheetId="19">'H'!$A$1:$T$181</definedName>
    <definedName name="_xlnm.Print_Area" localSheetId="20">'I-J'!$A$1:$E$39</definedName>
    <definedName name="_xlnm.Print_Area" localSheetId="4">'instructie'!$A$1:$E$79</definedName>
    <definedName name="_xlnm.Print_Area" localSheetId="11">'Opbrengsten'!$A$1:$J$39</definedName>
    <definedName name="_xlnm.Print_Area" localSheetId="5">'Prod.1.1.'!$A$1:$J$80</definedName>
    <definedName name="_xlnm.Print_Area" localSheetId="9">'Prod.1.5'!$A$1:$L$82</definedName>
    <definedName name="_xlnm.Print_Area" localSheetId="10">'Prod.1.6'!$A$1:$H$77</definedName>
    <definedName name="_xlnm.Print_Area" localSheetId="17">'Rentecalc.'!$A$1:$E$40</definedName>
    <definedName name="_xlnm.Print_Area" localSheetId="1">'Voorblad'!$A$31:$N$49</definedName>
    <definedName name="_xlnm.Print_Area" localSheetId="21">'vragen'!$A$1:$G$131</definedName>
    <definedName name="_xlnm.Print_Area" localSheetId="13">'WZV'!$A:$IV</definedName>
    <definedName name="_xlnm.Print_Titles" localSheetId="17">'Rentecalc.'!$2:$2</definedName>
    <definedName name="_xlnm.Print_Titles" localSheetId="1">'Voorblad'!$1:$16</definedName>
    <definedName name="getal_data">#REF!</definedName>
    <definedName name="kolom_data">#REF!</definedName>
    <definedName name="tabblad">#REF!</definedName>
    <definedName name="Z_52EB1485_ECFC_4D16_B893_125E4D85986E_.wvu.Cols" localSheetId="19" hidden="1">'H'!$U:$AB</definedName>
    <definedName name="Z_52EB1485_ECFC_4D16_B893_125E4D85986E_.wvu.PrintArea" localSheetId="15" hidden="1">'Afschr.inventaris'!$A$1:$G$31</definedName>
    <definedName name="Z_52EB1485_ECFC_4D16_B893_125E4D85986E_.wvu.PrintArea" localSheetId="12" hidden="1">'Afschrijvingen'!$A$1:$H$48</definedName>
    <definedName name="Z_52EB1485_ECFC_4D16_B893_125E4D85986E_.wvu.PrintArea" localSheetId="22" hidden="1">'G1'!$A$1:$E$99</definedName>
    <definedName name="Z_52EB1485_ECFC_4D16_B893_125E4D85986E_.wvu.PrintArea" localSheetId="20" hidden="1">'I-J'!$A$1:$E$39</definedName>
    <definedName name="Z_52EB1485_ECFC_4D16_B893_125E4D85986E_.wvu.PrintArea" localSheetId="4" hidden="1">'instructie'!$A$1:$E$79</definedName>
    <definedName name="Z_52EB1485_ECFC_4D16_B893_125E4D85986E_.wvu.PrintArea" localSheetId="11" hidden="1">'Opbrengsten'!$A$1:$J$39</definedName>
    <definedName name="Z_52EB1485_ECFC_4D16_B893_125E4D85986E_.wvu.PrintArea" localSheetId="5" hidden="1">'Prod.1.1.'!$A$1:$J$61</definedName>
    <definedName name="Z_52EB1485_ECFC_4D16_B893_125E4D85986E_.wvu.PrintArea" localSheetId="9" hidden="1">'Prod.1.5'!$A$1:$L$83</definedName>
    <definedName name="Z_52EB1485_ECFC_4D16_B893_125E4D85986E_.wvu.PrintArea" localSheetId="1" hidden="1">'Voorblad'!$A$31:$N$49</definedName>
    <definedName name="Z_52EB1485_ECFC_4D16_B893_125E4D85986E_.wvu.PrintArea" localSheetId="21" hidden="1">'vragen'!$A$1:$G$141</definedName>
    <definedName name="Z_52EB1485_ECFC_4D16_B893_125E4D85986E_.wvu.PrintArea" localSheetId="13" hidden="1">'WZV'!$A:$XFD</definedName>
    <definedName name="Z_52EB1485_ECFC_4D16_B893_125E4D85986E_.wvu.PrintTitles" localSheetId="17" hidden="1">'Rentecalc.'!$2:$2</definedName>
    <definedName name="Z_52EB1485_ECFC_4D16_B893_125E4D85986E_.wvu.PrintTitles" localSheetId="1" hidden="1">'Voorblad'!$1:$16</definedName>
    <definedName name="Z_52EB1485_ECFC_4D16_B893_125E4D85986E_.wvu.Rows" localSheetId="4" hidden="1">'instructie'!$55:$66</definedName>
    <definedName name="Z_60683067_AF12_11D4_9642_08005ACCD915_.wvu.PrintArea" localSheetId="18" hidden="1">'A-G'!$A:$XFD</definedName>
    <definedName name="Z_60683067_AF12_11D4_9642_08005ACCD915_.wvu.PrintArea" localSheetId="19" hidden="1">'H'!$A:$XFD</definedName>
    <definedName name="Z_60683067_AF12_11D4_9642_08005ACCD915_.wvu.PrintArea" localSheetId="20" hidden="1">'I-J'!$A:$XFD</definedName>
    <definedName name="Z_60683067_AF12_11D4_9642_08005ACCD915_.wvu.PrintArea" localSheetId="14" hidden="1">'Instandhouding'!$A:$XFD</definedName>
    <definedName name="Z_60683067_AF12_11D4_9642_08005ACCD915_.wvu.PrintArea" localSheetId="11" hidden="1">'Opbrengsten'!$A:$XFD</definedName>
    <definedName name="Z_60683067_AF12_11D4_9642_08005ACCD915_.wvu.PrintArea" localSheetId="13" hidden="1">'WZV'!$A:$XFD</definedName>
    <definedName name="Z_60683067_AF12_11D4_9642_08005ACCD915_.wvu.PrintTitles" localSheetId="17" hidden="1">'Rentecalc.'!$2:$2</definedName>
    <definedName name="Z_60683068_AF12_11D4_9642_08005ACCD915_.wvu.PrintTitles" localSheetId="18" hidden="1">'A-G'!#REF!</definedName>
    <definedName name="Z_60683068_AF12_11D4_9642_08005ACCD915_.wvu.PrintTitles" localSheetId="19" hidden="1">'H'!#REF!</definedName>
    <definedName name="Z_60683068_AF12_11D4_9642_08005ACCD915_.wvu.PrintTitles" localSheetId="20" hidden="1">'I-J'!#REF!</definedName>
    <definedName name="Z_60683068_AF12_11D4_9642_08005ACCD915_.wvu.PrintTitles" localSheetId="3" hidden="1">'Inhoud'!$2:$2</definedName>
    <definedName name="Z_60683068_AF12_11D4_9642_08005ACCD915_.wvu.PrintTitles" localSheetId="14" hidden="1">'Instandhouding'!#REF!</definedName>
    <definedName name="Z_60683068_AF12_11D4_9642_08005ACCD915_.wvu.PrintTitles" localSheetId="4" hidden="1">'instructie'!$2:$2</definedName>
    <definedName name="Z_60683068_AF12_11D4_9642_08005ACCD915_.wvu.PrintTitles" localSheetId="11" hidden="1">'Opbrengsten'!#REF!</definedName>
    <definedName name="Z_60683068_AF12_11D4_9642_08005ACCD915_.wvu.PrintTitles" localSheetId="17" hidden="1">'Rentecalc.'!$2:$2</definedName>
    <definedName name="Z_60683068_AF12_11D4_9642_08005ACCD915_.wvu.PrintTitles" localSheetId="2" hidden="1">'versiebeheer'!$2:$2</definedName>
    <definedName name="Z_60683068_AF12_11D4_9642_08005ACCD915_.wvu.PrintTitles" localSheetId="13" hidden="1">'WZV'!#REF!</definedName>
    <definedName name="Z_60683068_AF12_11D4_9642_08005ACCD915_.wvu.Rows" localSheetId="3" hidden="1">'Inhoud'!#REF!,'Inhoud'!#REF!,'Inhoud'!#REF!</definedName>
    <definedName name="Z_60683068_AF12_11D4_9642_08005ACCD915_.wvu.Rows" localSheetId="4" hidden="1">'instructie'!#REF!,'instructie'!#REF!,'instructie'!#REF!</definedName>
    <definedName name="Z_60683068_AF12_11D4_9642_08005ACCD915_.wvu.Rows" localSheetId="17" hidden="1">'Rentecalc.'!#REF!,'Rentecalc.'!#REF!,'Rentecalc.'!#REF!,'Rentecalc.'!#REF!</definedName>
    <definedName name="Z_60683068_AF12_11D4_9642_08005ACCD915_.wvu.Rows" localSheetId="2" hidden="1">'versiebeheer'!#REF!,'versiebeheer'!#REF!,'versiebeheer'!#REF!</definedName>
    <definedName name="Z_60683068_AF12_11D4_9642_08005ACCD915_.wvu.Rows" localSheetId="1" hidden="1">'Voorblad'!#REF!,'Voorblad'!#REF!,'Voorblad'!$38:$38,'Voorblad'!#REF!</definedName>
  </definedNames>
  <calcPr fullCalcOnLoad="1"/>
</workbook>
</file>

<file path=xl/sharedStrings.xml><?xml version="1.0" encoding="utf-8"?>
<sst xmlns="http://schemas.openxmlformats.org/spreadsheetml/2006/main" count="1191" uniqueCount="844">
  <si>
    <t>Is voor de bepaling van de voor nacalculatie in aanmerking te nemen kosten van de geneesmiddelen uitgegaan van de netto inkoopprijs, dat wil zeggen de inkoopprijs (volgens taxe) na aftrek van eventuele kortingen en bonussen?</t>
  </si>
  <si>
    <t>1a</t>
  </si>
  <si>
    <t>VERSIEBEHEER</t>
  </si>
  <si>
    <t>Omschrijving wijzigingen</t>
  </si>
  <si>
    <t>Distributie</t>
  </si>
  <si>
    <t xml:space="preserve">Indien vraag 15 met nee wordt beantwoord: Is de verwachting dat de overschrijding van het vergunningsbedrag op grond van de geldende WZV regels in de eindafrekening alsnog zal worden aanvaard? Als er geen investeringen hebben plaatsgevonden, kies dan nvt.  </t>
  </si>
  <si>
    <t>Nummer van de rekenstaat die bij de invulling is gebruikt</t>
  </si>
  <si>
    <t>Vrijval afschrijving</t>
  </si>
  <si>
    <t>bedrag rekenst.(-/-)</t>
  </si>
  <si>
    <t xml:space="preserve">Jaar </t>
  </si>
  <si>
    <t>Jaar</t>
  </si>
  <si>
    <t xml:space="preserve">bedrag* </t>
  </si>
  <si>
    <t>*) Vermeld hier het aflossingsbedrag per aflossingsmoment</t>
  </si>
  <si>
    <t>** Er kunnen schaaleffecten optreden door wijziging van het aantal specialisteneenheden. Deze worden door het CTG automatisch verwerkt.</t>
  </si>
  <si>
    <t>190518 Bevacizumab* (onder voorbehoud van besluit CTG 12 dec. 2005)</t>
  </si>
  <si>
    <t>Af:</t>
  </si>
  <si>
    <t xml:space="preserve">sommige instellingen ook nog, zonder tussenkomst van een poortspecialist, een aantal diagnostische verrichtingen door huisartsen </t>
  </si>
  <si>
    <t xml:space="preserve">Opname neonatale IC </t>
  </si>
  <si>
    <t xml:space="preserve">bekostigd, indien voor de betreffende patiënten een polikliniekbezoek wordt geregistreerd. Indien hiervan geen sprake is kunnen deze </t>
  </si>
  <si>
    <t>onderzoeken bij de functieonderzoeken worden opgenomen.</t>
  </si>
  <si>
    <t xml:space="preserve">declaraties </t>
  </si>
  <si>
    <t>opbrengst in</t>
  </si>
  <si>
    <t>* Bij een positieve nacalculatie kunnen partijen eventueel een lager bedrag overeenkomen. Een negatieve nacalculatie kan niet worden beperkt.</t>
  </si>
  <si>
    <t>Nacalculatie dure geneesmiddelen</t>
  </si>
  <si>
    <t>RUBRIEK 1: NACALCULATIE PRODUCTIE</t>
  </si>
  <si>
    <t xml:space="preserve">D  </t>
  </si>
  <si>
    <t>Normatieve boekwaarde medische en overige inventarissen artikel 2 WBMV apparatuur</t>
  </si>
  <si>
    <t>F.</t>
  </si>
  <si>
    <t>Nog in tarieven te verrekenen kosten/opbrengsten</t>
  </si>
  <si>
    <t>Eventuele correctie voorgaande jaren</t>
  </si>
  <si>
    <t>1/12 van het budget</t>
  </si>
  <si>
    <t>Bestemmingsreserves</t>
  </si>
  <si>
    <t>Reserve afschrijving inventarissen</t>
  </si>
  <si>
    <t xml:space="preserve">Overige reserves </t>
  </si>
  <si>
    <t>Egalisatierekening afschrijving instandhoudingsinvesteringen</t>
  </si>
  <si>
    <t>Overige egalisatierekeningen</t>
  </si>
  <si>
    <t>Voorziening groot onderhoud</t>
  </si>
  <si>
    <t xml:space="preserve">Overige voorzieningen </t>
  </si>
  <si>
    <t>Nacalculatie lokale productiegebonden component</t>
  </si>
  <si>
    <t>1.</t>
  </si>
  <si>
    <t>Bijlage met beleidsregelbedragen algemene ziekenhuizen</t>
  </si>
  <si>
    <t>Parameterwaarden</t>
  </si>
  <si>
    <t>Verschil</t>
  </si>
  <si>
    <t>Realisatie</t>
  </si>
  <si>
    <t>Hemodialyse</t>
  </si>
  <si>
    <t>Hemodialyse met EPO</t>
  </si>
  <si>
    <t>Thuisdialyse</t>
  </si>
  <si>
    <t>Idem met EPO</t>
  </si>
  <si>
    <t>Idem met VDA</t>
  </si>
  <si>
    <t>Idem met EPO + VDA</t>
  </si>
  <si>
    <t>Hartoperaties</t>
  </si>
  <si>
    <t>Hartcatheterablaties</t>
  </si>
  <si>
    <t>Beenmergtransplantaties AML</t>
  </si>
  <si>
    <t>Definitief overeen-</t>
  </si>
  <si>
    <t>gekomen bedrag</t>
  </si>
  <si>
    <t>Versie</t>
  </si>
  <si>
    <t>Uitgevoerd en gefactureerd in januari</t>
  </si>
  <si>
    <t>Uitgevoerd en gefactureerd in februari</t>
  </si>
  <si>
    <t>Uitgevoerd en gefactureerd in maart</t>
  </si>
  <si>
    <t>opgenomen</t>
  </si>
  <si>
    <t>D./E.</t>
  </si>
  <si>
    <t>G.</t>
  </si>
  <si>
    <t>Nog in tarieven te verrekenen</t>
  </si>
  <si>
    <t xml:space="preserve">J. </t>
  </si>
  <si>
    <t xml:space="preserve"> De nacalculatie op de lumpsum zelf kan niet via dit formulier worden aangevraagd. U wordt hierover afzonderlijk geïnformeerd.</t>
  </si>
  <si>
    <t>Uitgevoerd en gefactureerd in april</t>
  </si>
  <si>
    <t>Uitgevoerd en gefactureerd in mei</t>
  </si>
  <si>
    <t>Uitgevoerd en gefactureerd in juni</t>
  </si>
  <si>
    <t>Uitgevoerd en gefactureerd in juli</t>
  </si>
  <si>
    <t>Uitgevoerd en gefactureerd in augustus</t>
  </si>
  <si>
    <t>Uitgevoerd en gefactureerd in september</t>
  </si>
  <si>
    <t>Uitgevoerd en gefactureerd in oktober</t>
  </si>
  <si>
    <t>Uitgevoerd en gefactureerd in november</t>
  </si>
  <si>
    <t>Uitgevoerd en gefactureerd in december</t>
  </si>
  <si>
    <t>Verrekend in opbrengsten (meest recente opbrengstregistratie)</t>
  </si>
  <si>
    <t>Alle in te vullen velden zijn gearceerd. Dit kunt u hier aan- en uitschakelen. Voor het maken van een duidelijke afdruk van het nacalculatieformulier wordt aanbevolen eerst de arcering van de velden uit te zetten</t>
  </si>
  <si>
    <t>Kolommen</t>
  </si>
  <si>
    <t xml:space="preserve">Algemeen </t>
  </si>
  <si>
    <t>Deze vragenlijst wordt ingevuld door de instelling en gecontroleerd door de accountant.</t>
  </si>
  <si>
    <t>Per vraag aanklikken wat van toepassing is.</t>
  </si>
  <si>
    <t>Indien het antwoord in kolom 2 is aangeklikt dient op een separate bijlage een toelichting te worden gegeven.</t>
  </si>
  <si>
    <t>VRAGENLIJST NACALCULATIE</t>
  </si>
  <si>
    <t>Vervolg VRAGENLIJST NACALCULATIE</t>
  </si>
  <si>
    <t xml:space="preserve">In deze tabel dienen de overeengekomen aantallen specialisten en agio´s te worden ingevuld.  </t>
  </si>
  <si>
    <t>Specificatie aanvullende inkomsten (pagina 17)</t>
  </si>
  <si>
    <t>Nacalculeerbare afschrijvingskosten (pagina 18)</t>
  </si>
  <si>
    <t>Toelichtingen bij pagina 9</t>
  </si>
  <si>
    <t xml:space="preserve">Algemene ziekenhuizen, waarvoor de beleidsregel functiegerichte budgettering van toepassing is (010) </t>
  </si>
  <si>
    <t>(in aanv.kstn)</t>
  </si>
  <si>
    <t>aantallen</t>
  </si>
  <si>
    <t>werkelijk</t>
  </si>
  <si>
    <t xml:space="preserve">o.b.v. </t>
  </si>
  <si>
    <t>gerealiseerde</t>
  </si>
  <si>
    <t>zorgprofiel</t>
  </si>
  <si>
    <t>Verrichtingen behorende bij DBC</t>
  </si>
  <si>
    <t>(1)</t>
  </si>
  <si>
    <t>(2)</t>
  </si>
  <si>
    <t>(3)</t>
  </si>
  <si>
    <t>(4)</t>
  </si>
  <si>
    <t>Opnamen ongewogen</t>
  </si>
  <si>
    <t>Opnamen gewogen</t>
  </si>
  <si>
    <t xml:space="preserve">Verpleegdagen </t>
  </si>
  <si>
    <t>Voor de definitieve nacalculatie van de gerealiseerde productie is een overzicht in het nacalculatieformulier opgenomen. De nacalculatie heeft alleen betrekking op het A-segment. In verband met het uitstel van de invoering van de WTG-expres tot 1 februari 2005 dienen de zogenaamde B-segment DBC's die voor 1 februari 2005 zijn geopend behandeld te worden als A-segment DBC's. Daarom moeten alleen parameters worden opgegeven die betrekking hebben op:</t>
  </si>
  <si>
    <t>Eerste polikl.bezoeken ongewogen</t>
  </si>
  <si>
    <t>Eerste polikl.bezoeken gewogen</t>
  </si>
  <si>
    <t>In gebruik ge-</t>
  </si>
  <si>
    <t>Afschrijving v.</t>
  </si>
  <si>
    <t>Afschrijvingskosten medische en overige inventarissen (pagina 22)</t>
  </si>
  <si>
    <t>Naar pagina 8</t>
  </si>
  <si>
    <t>naar pagina 9</t>
  </si>
  <si>
    <t>van pagina 8</t>
  </si>
  <si>
    <t>invest.ruimte</t>
  </si>
  <si>
    <t>Poliklinische toediening cytostatica</t>
  </si>
  <si>
    <t>Nacalculatie FB-budget</t>
  </si>
  <si>
    <t>- aantal decentrale afnames (b)*</t>
  </si>
  <si>
    <t>Functieonderzoeken t.b.v. huisartsen</t>
  </si>
  <si>
    <t>Röntgenonderzoek t.b.v. huisartsen</t>
  </si>
  <si>
    <t>correctie dure geneesmiddelen</t>
  </si>
  <si>
    <t>Vloeien er publieke middelen weg naar privaat?</t>
  </si>
  <si>
    <t>Overeen-</t>
  </si>
  <si>
    <t xml:space="preserve">gekomen </t>
  </si>
  <si>
    <t>nacalculatie</t>
  </si>
  <si>
    <t>Opgenomen in rekenstaat als DBC-toeslag</t>
  </si>
  <si>
    <t>(6)</t>
  </si>
  <si>
    <t>(7) = (4) x (5+6)</t>
  </si>
  <si>
    <t>Poliklinische fysiotherapie/logopedie</t>
  </si>
  <si>
    <t xml:space="preserve">Extramurale enkelvoudige ergotherapie               </t>
  </si>
  <si>
    <t>Aantallen</t>
  </si>
  <si>
    <t>Percentages t.b.v. berekening rentekosten</t>
  </si>
  <si>
    <r>
      <t xml:space="preserve">Normatieve rentepercentage kort krediet </t>
    </r>
    <r>
      <rPr>
        <vertAlign val="superscript"/>
        <sz val="9"/>
        <rFont val="Arial"/>
        <family val="2"/>
      </rPr>
      <t>1</t>
    </r>
  </si>
  <si>
    <r>
      <t xml:space="preserve">Inflatievergoeding over eigen vermogen </t>
    </r>
    <r>
      <rPr>
        <vertAlign val="superscript"/>
        <sz val="9"/>
        <rFont val="Arial"/>
        <family val="2"/>
      </rPr>
      <t>2</t>
    </r>
  </si>
  <si>
    <r>
      <t>1</t>
    </r>
    <r>
      <rPr>
        <sz val="9"/>
        <rFont val="Arial"/>
        <family val="2"/>
      </rPr>
      <t xml:space="preserve"> De voor het jaar geldende gemiddelde normatieve rentevoet wordt </t>
    </r>
    <r>
      <rPr>
        <u val="single"/>
        <sz val="9"/>
        <rFont val="Arial"/>
        <family val="2"/>
      </rPr>
      <t>na afloop van het jaar</t>
    </r>
    <r>
      <rPr>
        <sz val="9"/>
        <rFont val="Arial"/>
        <family val="2"/>
      </rPr>
      <t xml:space="preserve"> door CTG/ZAio berekend </t>
    </r>
  </si>
  <si>
    <r>
      <t>2</t>
    </r>
    <r>
      <rPr>
        <sz val="9"/>
        <rFont val="Arial"/>
        <family val="2"/>
      </rPr>
      <t xml:space="preserve"> De inflatievergoeding over het eigen vermogen is gelijk aan de prijsstijging voor de materiële kosten.</t>
    </r>
  </si>
  <si>
    <t>Poliklinische bevallingen t.b.v. huisartsen en verloskundigen</t>
  </si>
  <si>
    <t>aangevraagd die in de categorie "overige" kunnen worden opgenomen (bijv. histologische- en in-vivo onderzoeken).</t>
  </si>
  <si>
    <t>Heup</t>
  </si>
  <si>
    <t>Knie</t>
  </si>
  <si>
    <t>Afschrijving investeringen t.l.v. trekkingsrechten</t>
  </si>
  <si>
    <t>Afschrijving inventarissen</t>
  </si>
  <si>
    <t>Afschrijving inventarissen WBMV</t>
  </si>
  <si>
    <t>Capaciteitsmutaties</t>
  </si>
  <si>
    <t>Budgetaanpassing rentekosten</t>
  </si>
  <si>
    <t>Specialisme</t>
  </si>
  <si>
    <t>Opnamen</t>
  </si>
  <si>
    <t>Verpleegdagen</t>
  </si>
  <si>
    <t>Nog te verwerken overeengekomen nacalculatie productie</t>
  </si>
  <si>
    <t>Maag/darm artsen</t>
  </si>
  <si>
    <t>Cardio-pulmonaal chirurgen</t>
  </si>
  <si>
    <t>Neurologen zenuwartsen</t>
  </si>
  <si>
    <t>* inclusief deel van de toeslag dat betrekking heeft op specialisten in loondienst</t>
  </si>
  <si>
    <t>Betreft de DBC-types (typeringscodes)</t>
  </si>
  <si>
    <t>Totaal aantal afgesloten DBC´s *</t>
  </si>
  <si>
    <t>experiment</t>
  </si>
  <si>
    <t>DBC´s</t>
  </si>
  <si>
    <t>(5)</t>
  </si>
  <si>
    <t>Loon</t>
  </si>
  <si>
    <t>Materieel</t>
  </si>
  <si>
    <t>Aanvaardbare kosten op kasbasis conform nacalculatieformulier voor budgetaanpassing rente (regel 2318)</t>
  </si>
  <si>
    <t>Opbrengst transmuraal</t>
  </si>
  <si>
    <t>Subsidies regeling initiatiefruimte ziekenfondsverzekering (voorheen flexizorg-regeling)</t>
  </si>
  <si>
    <t>190514 Infliximab (Remicade) Intraveneus**</t>
  </si>
  <si>
    <t>190501 Docetaxel*</t>
  </si>
  <si>
    <t>190502 Irinotecan*</t>
  </si>
  <si>
    <t>190503 Gemcitabine*</t>
  </si>
  <si>
    <t>190504 Oxaliplatine*</t>
  </si>
  <si>
    <t>190505 Paclitaxel*</t>
  </si>
  <si>
    <t>190506 Rituximab*</t>
  </si>
  <si>
    <t>190507 Infliximab (bij  M. Crohn)*</t>
  </si>
  <si>
    <t>190508 Immunoglobulines IV*</t>
  </si>
  <si>
    <t>190509 Trastuzumab*</t>
  </si>
  <si>
    <t>190510 Botulinetoxine*</t>
  </si>
  <si>
    <t>190511  Verteporfin*</t>
  </si>
  <si>
    <t>190512 Doxorubicine Liposomal (Caelyx)*</t>
  </si>
  <si>
    <t>190513 Infliximab (Remicade) subcutaan / intramusculair**</t>
  </si>
  <si>
    <t>190513 Infliximab (Remicade) subcutaan / intramusculair ***</t>
  </si>
  <si>
    <t>190514 Infliximab (Remicade) Intraveneus***</t>
  </si>
  <si>
    <t>190515 Infliximab (Spondylitis Ankylopoetica; Bechterew)*</t>
  </si>
  <si>
    <t>190516 Infliximab (bij artitis psoriatica)*</t>
  </si>
  <si>
    <t>190517 Vinorelbine (m.i.v. 1 juli 2005)*</t>
  </si>
  <si>
    <t>*** Voor reuma-patienten die na 1-5-2004 beginnen met remicade kan hier de 75% budgettaire vergoeding worden overeengekomen.</t>
  </si>
  <si>
    <t>2.</t>
  </si>
  <si>
    <t>Controleprotocol algemene ziekenhuizen</t>
  </si>
  <si>
    <t>Nacalculatie productie (pagina 7 t/m 14)</t>
  </si>
  <si>
    <t>Bepaling Onderhanden werk voor opbrengstenverantwoording (pagina 17)</t>
  </si>
  <si>
    <t>Voor het B-segment wordt het onderhanden werk gewaardeerd door cumulatie van de lokale kostprijzen van de uitgevoerde verrichtingen in 2005.</t>
  </si>
  <si>
    <t>(2-1)</t>
  </si>
  <si>
    <t>De rente van lange leningen op regel 3116 dient te corresponderen met de leningen die in het overzicht onder G zijn vermeld. Boeterente als gevolg van het converteren van leningen (voor 2001) wordt afgeschreven over een variabele periode. De lengte van de periode wordt berekend door het bedrag van de boeterente te delen door het rentevoordeel dat in het eerste jaar na de conversiedatum wordt behaald.</t>
  </si>
  <si>
    <t>- aantal huisbezoeken ( c)</t>
  </si>
  <si>
    <t xml:space="preserve">** de tijdelijke regeling Remicade is per 1-5-2004 vervallen. Het middel is toegevoegd aan de stofnamen lijst beleidsregel dure geneesmiddelen.  </t>
  </si>
  <si>
    <t>Capaciteitsmutaties (pagina 15 en 16)</t>
  </si>
  <si>
    <t>Specificatie in gebruikgenomen nacalculeerbare investeringen (pagina 18 en 19)</t>
  </si>
  <si>
    <t>Investeringen in instandhouding (WZV-meldingsplichtige vaste activa) (pagina 18 en 20)</t>
  </si>
  <si>
    <t>Tandh.spec.mondziekten/kaakchirurgie</t>
  </si>
  <si>
    <t>Tandh.spec.dentomaxillaire orthop.</t>
  </si>
  <si>
    <t>Liaison psychiater</t>
  </si>
  <si>
    <t>Anesthesisten</t>
  </si>
  <si>
    <t>Radiodiagnosten</t>
  </si>
  <si>
    <t>Patholoog-anatomen</t>
  </si>
  <si>
    <t>Medische microbiologen</t>
  </si>
  <si>
    <t>Definitief overeengekomen</t>
  </si>
  <si>
    <t>Verschillen</t>
  </si>
  <si>
    <t xml:space="preserve">1.4.2 </t>
  </si>
  <si>
    <t xml:space="preserve">Dure geneesmiddelen </t>
  </si>
  <si>
    <t xml:space="preserve">1.4.1 </t>
  </si>
  <si>
    <t xml:space="preserve">1.5.1 </t>
  </si>
  <si>
    <t xml:space="preserve">1.5.2 </t>
  </si>
  <si>
    <t>van pagina 7</t>
  </si>
  <si>
    <t>U kunt hier eventueel een schatting voor opgeven.</t>
  </si>
  <si>
    <t>Loondienst</t>
  </si>
  <si>
    <t>Vrijgevestigd</t>
  </si>
  <si>
    <t>Vergoeding</t>
  </si>
  <si>
    <t>Extra plaatsen</t>
  </si>
  <si>
    <t>1.6.1</t>
  </si>
  <si>
    <t>1.6.2</t>
  </si>
  <si>
    <t>1.6.3</t>
  </si>
  <si>
    <t>Dagverpleging I: normaal</t>
  </si>
  <si>
    <t>Dagverpleging II: zwaar</t>
  </si>
  <si>
    <t>Hebben de lokale partijen verklaard dat zij de projecten die worden gedekt uit de lokale productiegebonden toeslag hebben beoordeeld, met inachtneming van de criteria zoals opgenomen in de beleidsregel Lokale productiegebonden toeslag?</t>
  </si>
  <si>
    <t xml:space="preserve">Zijn er WZV-goedgekeurde onroerende zaken (ook door beheersstichtingen en / of -vennootschappen) verkocht (zie beleidsregel Verrekening boekwinsten)? </t>
  </si>
  <si>
    <t>Is de berekening van de doorberekende kapitaalslasten juist en volledig, conform de beleidsregel Aanvullende inkomsten? Indien geen doorberekende kapitaalslasten, kies dan 'nvt'.</t>
  </si>
  <si>
    <t>Is bij de leningen (met een rentefixatieperiode van minimaal twee jaar) die vervroegd zijn afgelost en vervangen door nieuwe leningen, het juiste rentepercentage toegepast? Indien geen vervroegde aflossing en vervanging van leningen heeft plaatsgevonden, kies dan 'nvt'.</t>
  </si>
  <si>
    <t>a) Indien  gebruik wordt gemaakt van zo'n BTW-constructie voor (een deel van) de nacalculeerbare activa kunt u het CTG verzoeken om de kapitaalslasten conform de beleidsregel BTW-constructies vast te stellen. Indien een dergelijk verzoek uitblijft zijn de</t>
  </si>
  <si>
    <t>Lokale productiegebonden toeslag</t>
  </si>
  <si>
    <t>trekkingsr.</t>
  </si>
  <si>
    <t>Opbrengstresultaat</t>
  </si>
  <si>
    <t>Januari</t>
  </si>
  <si>
    <t>Februari</t>
  </si>
  <si>
    <t>Maart</t>
  </si>
  <si>
    <t>April</t>
  </si>
  <si>
    <t>Mei</t>
  </si>
  <si>
    <t>Juni</t>
  </si>
  <si>
    <t>Juli</t>
  </si>
  <si>
    <t>Augustus</t>
  </si>
  <si>
    <t>September</t>
  </si>
  <si>
    <t>Oktober</t>
  </si>
  <si>
    <t>November</t>
  </si>
  <si>
    <t>December</t>
  </si>
  <si>
    <t>Overige mutaties (volgens bijlage)</t>
  </si>
  <si>
    <t>Opbrengst uit</t>
  </si>
  <si>
    <t>Perc.van</t>
  </si>
  <si>
    <t>Opnemen in</t>
  </si>
  <si>
    <t xml:space="preserve">Nacalculatie </t>
  </si>
  <si>
    <t>Ongewogen</t>
  </si>
  <si>
    <t>Gewogen</t>
  </si>
  <si>
    <t>Werkelijk</t>
  </si>
  <si>
    <t>Internisten</t>
  </si>
  <si>
    <t>Geriaters</t>
  </si>
  <si>
    <t>Longartsen</t>
  </si>
  <si>
    <t>Cardiologen</t>
  </si>
  <si>
    <t>Reumatologen</t>
  </si>
  <si>
    <t>Maag/darmartsen</t>
  </si>
  <si>
    <t>Allergologen</t>
  </si>
  <si>
    <t>Kinderartsen</t>
  </si>
  <si>
    <t>Chirurgen</t>
  </si>
  <si>
    <t>Orthopeden</t>
  </si>
  <si>
    <t>Urologen</t>
  </si>
  <si>
    <t>definitieve versie</t>
  </si>
  <si>
    <t>publiek</t>
  </si>
  <si>
    <t>Bijlage 1 bij circulaire JHYM/jprn/CO/06/07c</t>
  </si>
  <si>
    <t>Plastisch chirurgen</t>
  </si>
  <si>
    <t>Neurochirurgen</t>
  </si>
  <si>
    <t>Cardio-pulm. Chirurgen</t>
  </si>
  <si>
    <t>Gynaecologen</t>
  </si>
  <si>
    <t>Oogartsen</t>
  </si>
  <si>
    <t>Dermatologen</t>
  </si>
  <si>
    <t>Neurologen</t>
  </si>
  <si>
    <t>Neurologen/zenuwartsen</t>
  </si>
  <si>
    <t>Psychiaters in PAAZ-setting *</t>
  </si>
  <si>
    <t>Psychiaters niet in PAAZ-setting *</t>
  </si>
  <si>
    <t>Revalidatieartsen</t>
  </si>
  <si>
    <t>Radiotherapeuten</t>
  </si>
  <si>
    <t>Tandartsspecialisten voor :</t>
  </si>
  <si>
    <t>Opnamen (zie blad G) gewogen</t>
  </si>
  <si>
    <t>Verpleegdagen (zie blad G)</t>
  </si>
  <si>
    <t>Eerste polikl.bezoeken (zie blad G) gewogen</t>
  </si>
  <si>
    <t>Dagverpleging I: normaal (zie blad G)</t>
  </si>
  <si>
    <t>Dagverpleging II: zwaar (zie blad G)</t>
  </si>
  <si>
    <t>Totale knie</t>
  </si>
  <si>
    <t>Totale heup</t>
  </si>
  <si>
    <t>Beademingsdagen IC *</t>
  </si>
  <si>
    <t>Hiv-opnamen *</t>
  </si>
  <si>
    <t>Hiv-verpleegdagen *</t>
  </si>
  <si>
    <t>Hiv-1e polikliniekbezoeken *</t>
  </si>
  <si>
    <t>Hiv-dagverplegingen *</t>
  </si>
  <si>
    <t>Voor deze DBC's kan een toeslag in het budget worden opgenomen voor de in 2005 gerealiseerde productie</t>
  </si>
  <si>
    <t>Totaal ziekenhuisdeel DBC-toeslag voor de in regel 1101 genoemde DBC-types*</t>
  </si>
  <si>
    <t xml:space="preserve">Nacalculatie op het zorgprofiel voor Bomhoff DBC's is in 2005 alleen mogelijk voor in 2004 geopende en in 2005 gesloten bomhoff-DBC's. </t>
  </si>
  <si>
    <t>Overige producten</t>
  </si>
  <si>
    <t>Omzet overloop DBC's geopend in 2004/gesloten 2005 ( A/B-segment)</t>
  </si>
  <si>
    <t>Omzet DBC´s A-segment geopend en gesloten in 2005 (inclusief verrekenpercentage)</t>
  </si>
  <si>
    <t>Openstaande DBC´s B-segment ult. 2005, geopend in jan.2005(onderhanden werk)</t>
  </si>
  <si>
    <t>Openstaande DBC´s A-segment ultimo 2005  (onderhanden werk)</t>
  </si>
  <si>
    <t>Klassenverpleging</t>
  </si>
  <si>
    <t>Kostencomponent omzet DBC-B geopend en gesloten in 2005 ( na 31 januari 2005)</t>
  </si>
  <si>
    <t>Mutatie onderhanden werk kostencomponent DBC-B segment (na 31 januari 2005)</t>
  </si>
  <si>
    <t>Heffingsrente (beleidsregel I-733)</t>
  </si>
  <si>
    <t>Opbrengsten wegblijftarief</t>
  </si>
  <si>
    <t>Onderlinge dienstverlening tussen instellingen (WDS)</t>
  </si>
  <si>
    <t>Nacalculatie experiment Bomhoff-DBC´s</t>
  </si>
  <si>
    <t>Werkelijke opbrengsten</t>
  </si>
  <si>
    <t>* Inclusief de resultaten behaald op het B-segment (zie de toelichting bij het nacalculatieformulier)</t>
  </si>
  <si>
    <t>Is het formulier 'definitieve budgetschoning in verband met het B-segment' verwerkt?</t>
  </si>
  <si>
    <t>Is vastgesteld dat de in het nacalculatieformulier opgenomen productieparameters behoren tot de DBC's van het zogenaamde DBC-A segment?</t>
  </si>
  <si>
    <t>teletherapie eenvoudig (T1) 140626</t>
  </si>
  <si>
    <t>teletherapie standaard (T2) 140627</t>
  </si>
  <si>
    <t>teletherapie intensief (T3) 140628</t>
  </si>
  <si>
    <t>teletherapie bijzonder (T4) 140629</t>
  </si>
  <si>
    <t>brachytherapie eenvoudig (B1) 140630</t>
  </si>
  <si>
    <t>brachytherapie standaard (B2) 140631</t>
  </si>
  <si>
    <t>brachytherapie intensief (B3) 140632</t>
  </si>
  <si>
    <t>brachytherapie bijzonder (B4) 140633</t>
  </si>
  <si>
    <t>brachytherapie bijzonder (B5) 140634</t>
  </si>
  <si>
    <t>eerste implementatie BAHA</t>
  </si>
  <si>
    <t>Bij 2.1. dient bij de opbrengst tevens het onderhanden werk te worden opgegeven Voor de definitie van het onderhanden werk wordt aangesloten bij de bepalingen hierover in de RJZ. Het onderhanden werk in het A-segment ultimo 2005 dient ter dekking van het budget en is dus van invloed op de hoogte op het nog te verrekenen bedrag ultimo 2005. Waardering van het onderhanden werk in het A-segment dient indien mogelijk te gebeuren via de validatiemodule. Voor zover het onderhanden werk kan worden bepaald middels de validatiemodule dient het verrekenpercentage te worden toegepast. In een eventueel niet gevalideerde component dient het verrekenpercentage niet te worden betrokken. Aandachtspunt is dat het onderhanden werk dat wordt aangemerkt als opbrengst ter dekking van het A-segment dient te worden geschoond voor het honorariumdeel voor vrijgevestigde specialisten. De mutatie in het onderhanden werk in het B-segment dient te worden meegenomen in de resultaatbepaling. Waardering van het onderhanden werk in het B-segment heeft direct invloed op het verantwoorde resultaat. U kunt voor de bepaling van het onderhanden werk verder aansluiten op de "Handleiding ketencontrole en verantwoording DBC's".</t>
  </si>
  <si>
    <t>Is het onderhanden werk bepaald conform de door CTG-Zaio bij de invulinstructie aangegeven werkwijze ?</t>
  </si>
  <si>
    <t>Anesthesisten (pijnbestrijding)</t>
  </si>
  <si>
    <t>- dentomax. Orthopedie</t>
  </si>
  <si>
    <t>Eerste polikliniekbezoeken (nieuwe definitie)</t>
  </si>
  <si>
    <t>Nacalculatie productie/aanvullende inkomsten</t>
  </si>
  <si>
    <t>Kapitaalslasten</t>
  </si>
  <si>
    <t>Wordt door de instelling voor nacalculeerbare activa gebruik gemaakt van een zogenaamde BTW-constructie? a)</t>
  </si>
  <si>
    <t>Zijn er ex WTG gefinancierde vermogensbestanddelen en / of gebouwen uit de WTG-instelling overgebracht naar een andere rechtspersoon?</t>
  </si>
  <si>
    <t>Vervolg kapitaalslasten</t>
  </si>
  <si>
    <t>* uitgangspunt is dat het onderhanden werk tot 2,5 maand wordt gefinancierd door voorschotten, of op basis van de beleidsregel heffingsrente. Dit is de reden waarom bij de berekening van het saldo "nog in tarieven te verrekenen" gecorrigeerd wordt voor 2,5 maand onderhanden werk. Lokale partijen kunnen met opgave van redenen hiervan afwijken.</t>
  </si>
  <si>
    <t>"Onder Handen Werk" indien afwijkende afspraak van regel 2718:</t>
  </si>
  <si>
    <t>Zijn de aanvaardbare rentekosten berekend conform het door het CTG opgestelde calculatiemodel rentekosten?</t>
  </si>
  <si>
    <t>Overige vragen</t>
  </si>
  <si>
    <t>Zijn in het lokaal overleg overige afspraken gemaakt die van invloed zijn op de aanvaardbare kosten?</t>
  </si>
  <si>
    <t>Handtekening</t>
  </si>
  <si>
    <t>KAFOV</t>
  </si>
  <si>
    <t>KRENTE</t>
  </si>
  <si>
    <t>KDOOKA</t>
  </si>
  <si>
    <t>KHUERF</t>
  </si>
  <si>
    <t>LPRIV</t>
  </si>
  <si>
    <t>VOORL</t>
  </si>
  <si>
    <t>Regel</t>
  </si>
  <si>
    <t>Registratienummer CTG</t>
  </si>
  <si>
    <t xml:space="preserve">Instelling </t>
  </si>
  <si>
    <t>Plaats</t>
  </si>
  <si>
    <t>Omschrijving</t>
  </si>
  <si>
    <t>KPVP</t>
  </si>
  <si>
    <t>%</t>
  </si>
  <si>
    <t>Installaties</t>
  </si>
  <si>
    <t>Rekenstaat</t>
  </si>
  <si>
    <t>Gewogen boekwaarde</t>
  </si>
  <si>
    <t>Factor</t>
  </si>
  <si>
    <t>Geldgever</t>
  </si>
  <si>
    <t xml:space="preserve">Saldo </t>
  </si>
  <si>
    <t>Fictief berekende lening met betrekking tot huur/leasing van inventarissen</t>
  </si>
  <si>
    <t>Kapitaal</t>
  </si>
  <si>
    <t>Algemene reserves</t>
  </si>
  <si>
    <t>Reserve aanvaardbare kosten</t>
  </si>
  <si>
    <t>Saldo resultatenrekening</t>
  </si>
  <si>
    <t>Intrest leasingcontracten</t>
  </si>
  <si>
    <t>Datum</t>
  </si>
  <si>
    <t>Mutatie aanvaardbare kosten</t>
  </si>
  <si>
    <t>* In rekenstaat te vinden bij onderbouwing van de regel</t>
  </si>
  <si>
    <t>Berekening exploitatieresultaat</t>
  </si>
  <si>
    <t>&lt;&lt;&lt;</t>
  </si>
  <si>
    <t>Instandhoudingsinvestering</t>
  </si>
  <si>
    <t>dag</t>
  </si>
  <si>
    <t>ma(a)nd(en)</t>
  </si>
  <si>
    <t xml:space="preserve">% </t>
  </si>
  <si>
    <t xml:space="preserve">Bedrag </t>
  </si>
  <si>
    <t xml:space="preserve">bedrag </t>
  </si>
  <si>
    <t>Afschrijving op geactiveerde rente van annuïteitenleningen</t>
  </si>
  <si>
    <t xml:space="preserve">Gewogen </t>
  </si>
  <si>
    <t xml:space="preserve">Factor </t>
  </si>
  <si>
    <t xml:space="preserve">Onderhanden </t>
  </si>
  <si>
    <t xml:space="preserve"> VKP´s </t>
  </si>
  <si>
    <t xml:space="preserve">In gebruik </t>
  </si>
  <si>
    <t xml:space="preserve"> genomen VKP´s </t>
  </si>
  <si>
    <t xml:space="preserve">Nog niet in </t>
  </si>
  <si>
    <t xml:space="preserve">genomen </t>
  </si>
  <si>
    <t xml:space="preserve">investeringen </t>
  </si>
  <si>
    <t xml:space="preserve">Boekwaarde </t>
  </si>
  <si>
    <t xml:space="preserve">Afschrijving </t>
  </si>
  <si>
    <t>Afschrijving</t>
  </si>
  <si>
    <t>investeringen</t>
  </si>
  <si>
    <t xml:space="preserve">gebruik genomen </t>
  </si>
  <si>
    <t xml:space="preserve">in gebruik </t>
  </si>
  <si>
    <t xml:space="preserve"> </t>
  </si>
  <si>
    <t>RUBRIEK 2: KAPITAALSLASTEN</t>
  </si>
  <si>
    <t>Jaarlijkse instandhouding</t>
  </si>
  <si>
    <t>1.5</t>
  </si>
  <si>
    <t xml:space="preserve">1.1 </t>
  </si>
  <si>
    <t xml:space="preserve">1.2 </t>
  </si>
  <si>
    <t xml:space="preserve">1.3 </t>
  </si>
  <si>
    <t xml:space="preserve">1.6 </t>
  </si>
  <si>
    <t>Totaal</t>
  </si>
  <si>
    <t>Tarief*</t>
  </si>
  <si>
    <t xml:space="preserve">2.1 </t>
  </si>
  <si>
    <t>Nacalculeerbare afschrijvingskosten</t>
  </si>
  <si>
    <t xml:space="preserve">Totaal </t>
  </si>
  <si>
    <t xml:space="preserve">Aantal </t>
  </si>
  <si>
    <t xml:space="preserve">2.2 </t>
  </si>
  <si>
    <t>Indien opbrengsten voor derde compartiment DBC´s als aanvullende inkomsten zijn aangemerkt, is het budget dan verlaagd voor  FB-paramerers en semivaste parameters die samenhangen met de betreffende derde compartiment DBC?</t>
  </si>
  <si>
    <t>Niet-nacalculeerbare afschrijvingskosten</t>
  </si>
  <si>
    <t>Instandhoudingsinvesteringen</t>
  </si>
  <si>
    <t>2.3</t>
  </si>
  <si>
    <t xml:space="preserve">Jaarlijks </t>
  </si>
  <si>
    <t xml:space="preserve">Incidenteel </t>
  </si>
  <si>
    <t>Huren onroerende goederen en erfpacht</t>
  </si>
  <si>
    <t>2.4</t>
  </si>
  <si>
    <t>Activa</t>
  </si>
  <si>
    <t>Passiva</t>
  </si>
  <si>
    <t xml:space="preserve">Aanvaardbare </t>
  </si>
  <si>
    <t xml:space="preserve">kosten </t>
  </si>
  <si>
    <t>2.7</t>
  </si>
  <si>
    <t>Doorbelaste kapitaalslasten</t>
  </si>
  <si>
    <t xml:space="preserve">Mutatie </t>
  </si>
  <si>
    <t>4.1</t>
  </si>
  <si>
    <t xml:space="preserve">Werkelijk </t>
  </si>
  <si>
    <t xml:space="preserve">Rekenstaat </t>
  </si>
  <si>
    <t xml:space="preserve">Aanschafwaarde </t>
  </si>
  <si>
    <t xml:space="preserve">Afschrijvingen </t>
  </si>
  <si>
    <t xml:space="preserve">Datum </t>
  </si>
  <si>
    <t xml:space="preserve">Besteed </t>
  </si>
  <si>
    <t>Onderhanden bouwprojecten normale WZV-procedures</t>
  </si>
  <si>
    <t xml:space="preserve">A. </t>
  </si>
  <si>
    <t>B.</t>
  </si>
  <si>
    <t xml:space="preserve">C. </t>
  </si>
  <si>
    <t>Voorlopige budgetmutatie( zie totaal meest recente rekenstaat)</t>
  </si>
  <si>
    <t>Werkelijke boekwaarde instandhoudingsinvesteringen</t>
  </si>
  <si>
    <t xml:space="preserve">D. </t>
  </si>
  <si>
    <t xml:space="preserve">E. </t>
  </si>
  <si>
    <t>1.2</t>
  </si>
  <si>
    <t>Onderhanden werk ultimo 2005*</t>
  </si>
  <si>
    <t>regel 1811,1812,2317,804-807,2718,2719,beveiliging</t>
  </si>
  <si>
    <t>Normatieve boekwaarde medische en overige inventarissen</t>
  </si>
  <si>
    <t xml:space="preserve">Afschrijvingen* </t>
  </si>
  <si>
    <t xml:space="preserve">F. </t>
  </si>
  <si>
    <t>Lokale prod.gebonden toeslag</t>
  </si>
  <si>
    <t>Werkelijke opbrengsten (pagina 17)</t>
  </si>
  <si>
    <t>Afschrijving op afsluitkosten, emissie- en leningskosten (voor zover niet in afschrijvingen immat. activa en exclusief afschr. disagio waarborgfonds)</t>
  </si>
  <si>
    <t>Procentuele afwijking van de definitieve productie</t>
  </si>
  <si>
    <t>af: Egalisatierekening annuïteitenrente en nog te verrekenen (aanvaardbare) boeterente [(beginbalans + eindbalans) : 2]</t>
  </si>
  <si>
    <t>Vervolg langlopende leningen (incl. langlopende leasecontracten)</t>
  </si>
  <si>
    <t>Correctiebedrag tbv aansluiting ak cf jaarrekening en ak cf nacalculatieformulier</t>
  </si>
  <si>
    <t>Stents, zonder aftrek aantal 1998</t>
  </si>
  <si>
    <t>Nervus Vagus plaatsing</t>
  </si>
  <si>
    <t>Nervus Vagus vervanging</t>
  </si>
  <si>
    <t>Variabel deel</t>
  </si>
  <si>
    <t>Maximaal</t>
  </si>
  <si>
    <t>Dagverpleging I:</t>
  </si>
  <si>
    <t>normaal</t>
  </si>
  <si>
    <t>Dagverpleging II:</t>
  </si>
  <si>
    <t>zwaar</t>
  </si>
  <si>
    <t>190519 Pemetrexed* (onder voorbehoud van besluit CTG 12 dec. 2005)</t>
  </si>
  <si>
    <t>Is voor de langlopende leningen die geborgd zijn door het Waarborgfonds van 22 november 1999 tot 1 januari 2001, de werkelijke verschuldigde rente verhoogd met 0,6%? Indien geen langlopende leningen zijn geborgd tussen genoemde periode, kies dan 'nvt'.</t>
  </si>
  <si>
    <t>Is voor de langlopende leningen, die zijn afgesloten na 1 januari 2001, het normrentepercentage gehanteerd dat overeenkomt met het normrentepercentage volgens de CTG-website rentenormering? Indien geen langlopende leningen zijn afgesloten na 1 januari 2001, kies dan 'nvt'.</t>
  </si>
  <si>
    <t>voorgeschreven afschrijvingstermijnen van toepassing.</t>
  </si>
  <si>
    <t>Voldoen de aanvullende inkomsten die worden aangemerkt als vrij besteedbaar, aan de voorwaarden genoemd onder artikel 4 van de beleidsregel aanvullende inkomsten zorginstellingen? Indien geen aanvullende inkomsten, kies dan 'nvt'.</t>
  </si>
  <si>
    <t xml:space="preserve">        jaar 2003</t>
  </si>
  <si>
    <t>Hartrevalidatie (opbrengst)</t>
  </si>
  <si>
    <t>Budgetaanpassing in verband met verschil tussen overeengekomen en in rekenstaat verwerkte specialisten *</t>
  </si>
  <si>
    <t>Schaaleffect**</t>
  </si>
  <si>
    <t>* Indien een budgetaanpassing wordt aangevraagd, dient een onderbouwing van het bedrag te worden meegezonden.</t>
  </si>
  <si>
    <t>Normatief werkkapitaal</t>
  </si>
  <si>
    <t xml:space="preserve">Norm. Boekwaarde </t>
  </si>
  <si>
    <t>Langlopende leningen (incl. langlopende leasecontracten)</t>
  </si>
  <si>
    <t xml:space="preserve">G. </t>
  </si>
  <si>
    <t xml:space="preserve">H. </t>
  </si>
  <si>
    <t>Eigen vermogen</t>
  </si>
  <si>
    <t xml:space="preserve">I. </t>
  </si>
  <si>
    <t>4.2</t>
  </si>
  <si>
    <t>4.3</t>
  </si>
  <si>
    <t>Nog in de tarieven te verrekenen</t>
  </si>
  <si>
    <t>TOELICHTING / INVULINSTRUCTIE</t>
  </si>
  <si>
    <t>Boekwaarde investeringen waarvoor vergunning is verleend</t>
  </si>
  <si>
    <t>Vrijvallende afschrijvingen</t>
  </si>
  <si>
    <t>Afschrijvingen nieuw</t>
  </si>
  <si>
    <t xml:space="preserve">Aanschafw. </t>
  </si>
  <si>
    <t>1.7</t>
  </si>
  <si>
    <t>Nacalculatie</t>
  </si>
  <si>
    <t>Contactpersoon</t>
  </si>
  <si>
    <t>Telefoon</t>
  </si>
  <si>
    <t>Fax</t>
  </si>
  <si>
    <t>E-mail</t>
  </si>
  <si>
    <t>(datum)</t>
  </si>
  <si>
    <t>(naam)</t>
  </si>
  <si>
    <t>(handtekening)</t>
  </si>
  <si>
    <t>Ondertekening namens het orgaan voor de gezondheidszorg:</t>
  </si>
  <si>
    <t>Medewerker</t>
  </si>
  <si>
    <t>Niet invullen</t>
  </si>
  <si>
    <t>Aanvraag</t>
  </si>
  <si>
    <t>INHOUDSOPGAVE</t>
  </si>
  <si>
    <t>1.4</t>
  </si>
  <si>
    <t>RUBRIEK 3: OVERZICHT MUTATIES</t>
  </si>
  <si>
    <t>januari</t>
  </si>
  <si>
    <t>februari</t>
  </si>
  <si>
    <t>maart</t>
  </si>
  <si>
    <t>april</t>
  </si>
  <si>
    <t>mei</t>
  </si>
  <si>
    <t>juni</t>
  </si>
  <si>
    <t>juli</t>
  </si>
  <si>
    <t>augustus</t>
  </si>
  <si>
    <t>september</t>
  </si>
  <si>
    <t>oktober</t>
  </si>
  <si>
    <t>november</t>
  </si>
  <si>
    <t>december</t>
  </si>
  <si>
    <t>Specificatie investeringen in instandhouding (WZV-meldingsplichtige vaste activa)</t>
  </si>
  <si>
    <t>t.l.v. trekk.recht.</t>
  </si>
  <si>
    <t>1,0</t>
  </si>
  <si>
    <t>budgetparameters in 2005 gerealiseerd voor a-segment DBC's geopend na 1 februari 2005.</t>
  </si>
  <si>
    <t>budgetparameters behorend bij DBC's geopend voor 1 februari 2005;</t>
  </si>
  <si>
    <t xml:space="preserve">Alle activiteiten die in rekening worden gebracht voor gezondheidszorgprestaties dienen als opbrengsten ter dekking voor het wettelijk budget te worden verantwoord met uitzondering van de opbrengsten in het kader van onderlinge dienstverlening tussen zorginstellingen. Vanaf 1 januari 1999 is de beleidsregel "aanvullende inkomsten zorginstellingen" van kracht. Opbrengsten die vallen onder deze beleidsregel hoeven niet ter dekking van het budget te worden aangewend. </t>
  </si>
  <si>
    <t>1 okt. 2001 *</t>
  </si>
  <si>
    <t>Radiotherapeutisch laborant*</t>
  </si>
  <si>
    <t>* Voor de radiotherapeutisch laborant moet de mutatie in het aantal opleidingsplaatsen aangegeven worden ten opzichte van 1 oktober 2004.</t>
  </si>
  <si>
    <t>Omzet DBC´s B-segment geopend voor 1 februari 2005, gesloten in 2005</t>
  </si>
  <si>
    <t>12,5 % van de omzet van in 2005 gesloten DBC's B-segment ter dekking van de kap.lasten</t>
  </si>
  <si>
    <t>Honoraria-opbrengsten voor medisch specialistische hulp in loondienst openstaand  ult. 2005</t>
  </si>
  <si>
    <t>verrekening lumpsum conform pagina 3 meest recente rekenstaat van 2005*</t>
  </si>
  <si>
    <t>Dieetadvisering</t>
  </si>
  <si>
    <t>Gedeclareerd</t>
  </si>
  <si>
    <t>Afschrijvingskosten medische en overige inventarissen</t>
  </si>
  <si>
    <t>Totaal budgetaanpassing</t>
  </si>
  <si>
    <t>Goedgekeurde investeringsbedrag</t>
  </si>
  <si>
    <t>Kortingspercentage</t>
  </si>
  <si>
    <t>Budgetaanpassing i.v.m. vrijval artikel 2 WMBV functies (voor zover nog niet verrekend in het budget)</t>
  </si>
  <si>
    <t>RUBRIEK 4: Exploitatieresultaat</t>
  </si>
  <si>
    <t>Eventuele vordering vakantiegeldverplichting (volgens de balans per 1 januari van het jaar van invoering van het budgetsysteem)</t>
  </si>
  <si>
    <t>Grond</t>
  </si>
  <si>
    <t>2.6</t>
  </si>
  <si>
    <t>2.8</t>
  </si>
  <si>
    <t xml:space="preserve">Werkelijke </t>
  </si>
  <si>
    <t xml:space="preserve">rente** </t>
  </si>
  <si>
    <t>HOND</t>
  </si>
  <si>
    <t>Code</t>
  </si>
  <si>
    <t>1.8</t>
  </si>
  <si>
    <t>Positie eigen vermogen Ribw</t>
  </si>
  <si>
    <t>CEO</t>
  </si>
  <si>
    <t xml:space="preserve"> (t.b.v. definitieve afrekening met zorgkantoor)</t>
  </si>
  <si>
    <t>3.1</t>
  </si>
  <si>
    <t>3.2</t>
  </si>
  <si>
    <t>3.3</t>
  </si>
  <si>
    <t>BIJLAGEN RENTENORMERING</t>
  </si>
  <si>
    <t>K.</t>
  </si>
  <si>
    <t xml:space="preserve">Aanvullende informatie </t>
  </si>
  <si>
    <t xml:space="preserve">onderbesteding </t>
  </si>
  <si>
    <t xml:space="preserve">overbesteding/ </t>
  </si>
  <si>
    <t xml:space="preserve">Exploitatiekosten** </t>
  </si>
  <si>
    <t>nr.</t>
  </si>
  <si>
    <t>cat.</t>
  </si>
  <si>
    <t>Budgetaanpassing i.v.m. met goedkeuring WZV voor uitbreiding artikel 2- WBMV functies. Goedkeuringsbrieven VWS toevoegen</t>
  </si>
  <si>
    <t xml:space="preserve"> Aanpassing vergoeding loonkosten agio´s</t>
  </si>
  <si>
    <t>Aantal agio´s meegenomen bij herijking</t>
  </si>
  <si>
    <t>Radiodiagnostisch laborant</t>
  </si>
  <si>
    <t>Operatie assistent</t>
  </si>
  <si>
    <t xml:space="preserve"> IC- verpleegkundige (volwassenen)</t>
  </si>
  <si>
    <t>Dialyseverpleegkundige</t>
  </si>
  <si>
    <t>Anesthesiemedewerker</t>
  </si>
  <si>
    <t>specialisten</t>
  </si>
  <si>
    <t>agio's</t>
  </si>
  <si>
    <t>Aanpassing vergoeding loonkosten agio´s</t>
  </si>
  <si>
    <t>Nacalculatie gerealiseerde extra opleidingsplaatsen</t>
  </si>
  <si>
    <t>Bedrag</t>
  </si>
  <si>
    <t>Nummer brief VWS/CBZ</t>
  </si>
  <si>
    <t>Omschrijving project 1.</t>
  </si>
  <si>
    <t>Goedgekeurd bedrag</t>
  </si>
  <si>
    <t>Omschrijving project 2.</t>
  </si>
  <si>
    <t>Omschrijving project 4.</t>
  </si>
  <si>
    <t>Omschrijving project 3.</t>
  </si>
  <si>
    <t>Te verklaren verschillen</t>
  </si>
  <si>
    <t xml:space="preserve">Totaalbedrag </t>
  </si>
  <si>
    <t>Gegevens meldingsbrief  CbZ</t>
  </si>
  <si>
    <t xml:space="preserve">Normatieve </t>
  </si>
  <si>
    <t xml:space="preserve">afschrijvingen* </t>
  </si>
  <si>
    <t xml:space="preserve">boekwaarde </t>
  </si>
  <si>
    <t>* maximaal 75% van de werkelijke kosten (netto-inkoopkosten)</t>
  </si>
  <si>
    <t>Is de Regeling Jaarverslaggeving Zorginstellingen (inclusief consolidatieplicht) toegepast ?</t>
  </si>
  <si>
    <t>Einddatum</t>
  </si>
  <si>
    <t>Werk.</t>
  </si>
  <si>
    <t>Norm.</t>
  </si>
  <si>
    <t>N,W,</t>
  </si>
  <si>
    <t>of V</t>
  </si>
  <si>
    <t>rentebedrag</t>
  </si>
  <si>
    <t>Aanvaardbaar</t>
  </si>
  <si>
    <t>2.1</t>
  </si>
  <si>
    <t>2.2</t>
  </si>
  <si>
    <t>2.5</t>
  </si>
  <si>
    <t>RUBRIEK 3: KAPITAALSLASTEN</t>
  </si>
  <si>
    <t>3.4</t>
  </si>
  <si>
    <t>3.5</t>
  </si>
  <si>
    <t>RUBRIEK 4: OVERZICHT MUTATIES</t>
  </si>
  <si>
    <t>Overige bijlagen</t>
  </si>
  <si>
    <t>Algemeen</t>
  </si>
  <si>
    <t>afschrijving</t>
  </si>
  <si>
    <t>Immateriële vaste activa</t>
  </si>
  <si>
    <t>Gebouwen</t>
  </si>
  <si>
    <t>Huur en leasing voor gebouwen / installaties</t>
  </si>
  <si>
    <t>Subtotaal</t>
  </si>
  <si>
    <t>Niet aanvaarde afschrijvingskosten</t>
  </si>
  <si>
    <t>Budgetaanpassing in verband met WZV-goedkeuring medische en overige inventarissen</t>
  </si>
  <si>
    <t>Toepassing kortingspercentages</t>
  </si>
  <si>
    <t>Budgetaanpassing artikel 2 WBMV functies</t>
  </si>
  <si>
    <t>Doorberekende kapitaalslasten</t>
  </si>
  <si>
    <t>Mutatie</t>
  </si>
  <si>
    <t>Overige vergoedingen ter dekking van het budget</t>
  </si>
  <si>
    <t>Overige opbrengsten</t>
  </si>
  <si>
    <t>Te dekken door opbrengsten</t>
  </si>
  <si>
    <t>Berekende</t>
  </si>
  <si>
    <t xml:space="preserve">rente </t>
  </si>
  <si>
    <t>Normatief</t>
  </si>
  <si>
    <t>Rentekosten langlopende leningen</t>
  </si>
  <si>
    <t>Afschrijving op tot en met 2000 betaalde boeterente van conversies (berekening bijvoegen)</t>
  </si>
  <si>
    <t>Met ingang van 2005 is het protocol voor evenwichtig balansbeheer komen te vervallen</t>
  </si>
  <si>
    <t>Berekening  gewogen schuld en rentekosten</t>
  </si>
  <si>
    <t>normrente</t>
  </si>
  <si>
    <t>schuld</t>
  </si>
  <si>
    <t>Specificatie in gebruikgenomen nacalculeerbare investeringen</t>
  </si>
  <si>
    <t>1)</t>
  </si>
  <si>
    <t>Pag.</t>
  </si>
  <si>
    <t>Kenmerk</t>
  </si>
  <si>
    <t>Onderhanden bouwprojecten  met WZV vergunning (geen investeringen meldingsregeling)</t>
  </si>
  <si>
    <t>Werkelijke boekwaarde instandhoudingsinvesteringen (inclusief onderhanden werk)</t>
  </si>
  <si>
    <t>In rekenstaat</t>
  </si>
  <si>
    <t>Neurostimulatoren bij pijnbestrijding</t>
  </si>
  <si>
    <t>Plaatsing eenz.stimulator bij bew.st.</t>
  </si>
  <si>
    <t>Plaatsing tweez.stimulator bij bew.st.</t>
  </si>
  <si>
    <t>Vervanging eenz.stimulator bij bew.st.</t>
  </si>
  <si>
    <t>Vervanging tweez.stimulator bij bew.st.</t>
  </si>
  <si>
    <t>Ondersteunende en overige producten 1e lijn</t>
  </si>
  <si>
    <t>verrekeningen in het kader van de lumpsumfinanciering voor lokale initiatieven</t>
  </si>
  <si>
    <t>Normatief werkkapitaal (regel 2715) + (6,8% * regel 2712 tot en met regel 2714)</t>
  </si>
  <si>
    <t>Eigen vermogen*</t>
  </si>
  <si>
    <t>Zorgverzekeraar 1</t>
  </si>
  <si>
    <t>Zorgverzekeraar 2</t>
  </si>
  <si>
    <t>Zorgverz. Nederland</t>
  </si>
  <si>
    <t>CALCULATIEMODEL RENTEKOSTEN</t>
  </si>
  <si>
    <t>BIJLAGEN BIJ CALCULATIEMODEL RENTEKOSTEN</t>
  </si>
  <si>
    <t>Bijlagen bij calculatiemodel rentekosten</t>
  </si>
  <si>
    <t>1) Voor oude leningen (w) in de kolom "aanvaardbare rentekosten" het werkelijke rentebedrag vermelden</t>
  </si>
  <si>
    <t xml:space="preserve">3. In de kolom 'N, W of V' moet een 'W' worden vermeld voor bestaande leningen waarvoor de werkelijke rentekosten aanvaardbaar zijn.  U vermeldt een 'V' als sprake is van een na 31 december 2000 afgesloten lening waarvoor een normrente is vastgesteld en die in de plaats komt van een vervroegd afgeloste lening. U vermeldt een 'N' wanneer voor de lening een normatief percentage is vastgesteld en er geen sprake is van vervanging van een vervroegd afgeloste lening. </t>
  </si>
  <si>
    <t>Budgetaanpassing medische en overige inventarissen (goedkeuringsbrieven VWS toevoegen)</t>
  </si>
  <si>
    <t>Toelichting bij het electronische formulier:</t>
  </si>
  <si>
    <t>De werkbladen zijn met een wachtwoord beveiligd. U kunt zelf werkbladen toevoegen. Indien u een onjuistheid ontdekt verzoeken wij u dit via e-mail aan het CTG door te geven (kamer1@ctg-zaio.nl).</t>
  </si>
  <si>
    <t>Cellen waar met haakjes (    ) is aangegeven dat een negatief bedrag wordt verwacht, kunnen worden gevuld met positieve bedragen. Het programma rekent deze cellen automatisch om; bij een totaaltelling worden ze negatief in de som opgenomen.</t>
  </si>
  <si>
    <t xml:space="preserve">Betalingen door buitenlandse patiënten of verzekeraars, betalingen door werkgevers van patiënten en de in rekening gebrachte tarieven door aan de instelling verbonden dochtermaatschappen (bedrijvenpoliklinieken, buitenpoliklinieken en -praktijken, zotels, etc.) dienen door u als opbrengst verantwoord te worden. </t>
  </si>
  <si>
    <t>* Hoewel deze producties reeds begrepen zijn in eerder gevraagde aantallen opnamen, verpleegdagen etc., worden deze met betrekking tot "hiv" opnieuw gevraagd teneinde een separate budgettoeslag te kunnen berekenen. Voor de toeslagen krijgen al deze aantallen het gewicht 1.</t>
  </si>
  <si>
    <t>Opbrengst van gerealiseerde/afgesproken productie</t>
  </si>
  <si>
    <t>Cervixcytologische onderzoeken t.b.v. huisartsen/ bevolkingsonderzoek</t>
  </si>
  <si>
    <t>Poliklinische trombose tests t.b.v. huisartsen, aantallen trombosetests</t>
  </si>
  <si>
    <t>Zelfmeting bloedstollingswaarden training</t>
  </si>
  <si>
    <t>Zelfmeting bloedstollingswaarden begeleiding</t>
  </si>
  <si>
    <t>Alle in-vitro onderzoeken zijn overgeheveld naar de laboratorium onderzoeken. Scopieën worden geacht via de tweede lijns beleidsregels te worden</t>
  </si>
  <si>
    <t>Nacalculatie productie inclusief eerste lijn</t>
  </si>
  <si>
    <t xml:space="preserve">     Voor de reumapatiënten die voor 1-5-2004 al werden behandeld met remicade blijft de 100% budgettaire vergoedingsregeling bestaan.</t>
  </si>
  <si>
    <t>Weging-</t>
  </si>
  <si>
    <t>Opbrengst buitenlandse patiënten</t>
  </si>
  <si>
    <t>Eigen bijdrage cliënten</t>
  </si>
  <si>
    <t>Afschrijving-</t>
  </si>
  <si>
    <t>desinvesteren</t>
  </si>
  <si>
    <t>In gebruik gen.</t>
  </si>
  <si>
    <t>investering-</t>
  </si>
  <si>
    <t>en gepubliceerd. Deze normatieve rentevoet is te vinden op de website van CTG/ZAio (www.ctg-zaio.nl), onder rentenormering -&gt; korte rente.</t>
  </si>
  <si>
    <t>rentevast per.</t>
  </si>
  <si>
    <t xml:space="preserve">Gewogen schuld per periode (1 januaridata aflossingen-31 december) </t>
  </si>
  <si>
    <t xml:space="preserve">Boekwaarde vergunningplichtige investeringen zonder vergunning. </t>
  </si>
  <si>
    <t>Ontvangt u inkomsten (zoals bijvoorbeeld opbrengsten buitenlandse patiënten) die dienen ter dekking van het WTG-budget, die vallen onder artikel 3.2 van de beleidsregel Aanvullende inkomsten zorginstellingen? Indien geen aanvullende inkomsten, kies dan 'nvt'.</t>
  </si>
  <si>
    <t>Korting toepassing beleidsregel investeringen (zie berekening hieronder)</t>
  </si>
  <si>
    <t>Nieuwe leningen kunt u in dit overzicht opnemen door de storting te verwerken als een negatieve aflossing. Als op de nieuwe lening in hetzelfde jaar nog wordt afgelost, kunnen deze aflossingen op een aparte regel worden verwerkt.</t>
  </si>
  <si>
    <t>Mutaties januari</t>
  </si>
  <si>
    <t>Mutaties februari</t>
  </si>
  <si>
    <t>Mutaties maart</t>
  </si>
  <si>
    <t>Mutaties april</t>
  </si>
  <si>
    <t>Mutaties mei</t>
  </si>
  <si>
    <t>Mutaties juni</t>
  </si>
  <si>
    <t>Mutaties juli</t>
  </si>
  <si>
    <t>Mutaties augustus</t>
  </si>
  <si>
    <t>Mutaties september</t>
  </si>
  <si>
    <t>Mutaties oktober</t>
  </si>
  <si>
    <t>Mutaties november</t>
  </si>
  <si>
    <t>Mutaties december</t>
  </si>
  <si>
    <t>Factor kolom 1</t>
  </si>
  <si>
    <t>Factor kolom 2</t>
  </si>
  <si>
    <t>Uitgevoerde nog niet</t>
  </si>
  <si>
    <t>Gefactureerd in januari</t>
  </si>
  <si>
    <t>Gefactureerd in februari</t>
  </si>
  <si>
    <t>Gefactureerd in maart</t>
  </si>
  <si>
    <t>Gefactureerd in april</t>
  </si>
  <si>
    <t>Gefactureerd in mei</t>
  </si>
  <si>
    <t>Gefactureerd in juni</t>
  </si>
  <si>
    <t>Gefactureerd in juli</t>
  </si>
  <si>
    <t>Gefactureerd in augustus</t>
  </si>
  <si>
    <t>Gefactureerd in september</t>
  </si>
  <si>
    <t>Gefactureerd in oktober</t>
  </si>
  <si>
    <t>Gefactureerd in november</t>
  </si>
  <si>
    <t>Gefactureerd in december</t>
  </si>
  <si>
    <t xml:space="preserve">in gebruik genomen </t>
  </si>
  <si>
    <t>Aantal extra bijlagen bij het nacalculatieformulier:</t>
  </si>
  <si>
    <t xml:space="preserve">   t.b.v. nacalculatie</t>
  </si>
  <si>
    <t>parameterwaarden</t>
  </si>
  <si>
    <t>L</t>
  </si>
  <si>
    <t>M</t>
  </si>
  <si>
    <t>budget</t>
  </si>
  <si>
    <t>opname-1</t>
  </si>
  <si>
    <t>loon</t>
  </si>
  <si>
    <t>mat.</t>
  </si>
  <si>
    <t>opname-2</t>
  </si>
  <si>
    <t>verpleegdag-1</t>
  </si>
  <si>
    <t>verpleegdag-2</t>
  </si>
  <si>
    <t>1e polikl.bezoeker-1</t>
  </si>
  <si>
    <t xml:space="preserve">1e polikl.bezoeker-2 </t>
  </si>
  <si>
    <t>dagverpleging-1</t>
  </si>
  <si>
    <t>dagverpleging-2</t>
  </si>
  <si>
    <t>"zware" dagverpleging-1</t>
  </si>
  <si>
    <t>"zware" dagverpleging-2</t>
  </si>
  <si>
    <t>M14 - 1</t>
  </si>
  <si>
    <t>M14 - 2</t>
  </si>
  <si>
    <t>poliklinische bevalling -1</t>
  </si>
  <si>
    <t>poliklinische bevalling -2</t>
  </si>
  <si>
    <t>lab.1e lijn  afnames-1</t>
  </si>
  <si>
    <t>lab.1e lijn  afnames-2</t>
  </si>
  <si>
    <t>CAPD</t>
  </si>
  <si>
    <t>CAPD met EPO</t>
  </si>
  <si>
    <t>CCPD met dialysemiddelen</t>
  </si>
  <si>
    <t>CCPD met dialysemiddelen met EPO</t>
  </si>
  <si>
    <t>hartoperaties</t>
  </si>
  <si>
    <t>PTCA</t>
  </si>
  <si>
    <t>AICD-implantaties</t>
  </si>
  <si>
    <t>Beleidsregelbedragen algemene ziekenhuizen (productiedeel)</t>
  </si>
  <si>
    <t>loonkosten</t>
  </si>
  <si>
    <t>mat.kosten</t>
  </si>
  <si>
    <t>klinische adherentie</t>
  </si>
  <si>
    <t>poliklinische adherentie</t>
  </si>
  <si>
    <t>gewogen specialisten eenheden</t>
  </si>
  <si>
    <t>erkende bedden</t>
  </si>
  <si>
    <t>toeslag regio A</t>
  </si>
  <si>
    <t>toeslag regio B</t>
  </si>
  <si>
    <t>toeslag regio C</t>
  </si>
  <si>
    <t>toeslag regio D</t>
  </si>
  <si>
    <t>bed brandwonden</t>
  </si>
  <si>
    <t>bed chr.beademing</t>
  </si>
  <si>
    <t>bed neurochirurgie</t>
  </si>
  <si>
    <t>bed neonatologie</t>
  </si>
  <si>
    <t>post-IC high care bed</t>
  </si>
  <si>
    <t>ptca's</t>
  </si>
  <si>
    <t>stents</t>
  </si>
  <si>
    <t>AICD-implantatie</t>
  </si>
  <si>
    <t>catheterablatie</t>
  </si>
  <si>
    <t>A.M.L. beenmergtranspl.</t>
  </si>
  <si>
    <t>neurostimulatoren bij pijnbestrijding</t>
  </si>
  <si>
    <t>plaatsing eenz.stimulator bij bew.st.</t>
  </si>
  <si>
    <t>plaatsing tweez.stimulator bij bew.st.</t>
  </si>
  <si>
    <t>vervanging eenz.stimulator bij bew.st.</t>
  </si>
  <si>
    <t>192501 Hemostatica</t>
  </si>
  <si>
    <t>Zijn de bestuursverklaring en het bijbehorende rapport van bevindingen met betrekking tot de kaderregeling AO/IC afgegeven?</t>
  </si>
  <si>
    <t>Zijn de bestuursverklaring en het bijbehorende rapport van bevindingen met betrekking tot de kaderregeling AO/IC bijgevoegd bij  het nacalculatieformulier? Indien geen verklaringen zijn afgegeven, kies dan 'nvt'.</t>
  </si>
  <si>
    <t>vervanging tweez.stimulator bij bew.st.</t>
  </si>
  <si>
    <t>opname neonatale IC</t>
  </si>
  <si>
    <t>beademingsdagen IC</t>
  </si>
  <si>
    <t>cataracten</t>
  </si>
  <si>
    <t>knieen</t>
  </si>
  <si>
    <t>heupen</t>
  </si>
  <si>
    <t>in vitro fertilisatie</t>
  </si>
  <si>
    <t>hiv-opname</t>
  </si>
  <si>
    <t>hiv-verpleegdag</t>
  </si>
  <si>
    <t>hiv-polikl.bezoek</t>
  </si>
  <si>
    <t>hiv-dagverpleging</t>
  </si>
  <si>
    <t>haemodialyses (H1)</t>
  </si>
  <si>
    <t>CAPD-dgn (H2)</t>
  </si>
  <si>
    <t>haemodialyses (H4)</t>
  </si>
  <si>
    <t>CAPD-dgn (H5)</t>
  </si>
  <si>
    <t>Thuisdialyse (W7)</t>
  </si>
  <si>
    <t>Thuisdialyse (W8)</t>
  </si>
  <si>
    <t>Thuisdialyse (W9)</t>
  </si>
  <si>
    <t>Thuisdialyse (W10)</t>
  </si>
  <si>
    <t>CCPD (W11)</t>
  </si>
  <si>
    <t>CCPD (W12)</t>
  </si>
  <si>
    <t>RBU</t>
  </si>
  <si>
    <t xml:space="preserve">cervix-onderzoeken </t>
  </si>
  <si>
    <t>lab.1e lijn huisbezoek</t>
  </si>
  <si>
    <t>lab.1e lijn analyses</t>
  </si>
  <si>
    <t>trombotest</t>
  </si>
  <si>
    <t>zelfmeting bloedst.waarden training</t>
  </si>
  <si>
    <t>zelfmeting bloedst.waarden begeleiding</t>
  </si>
  <si>
    <t>rontgenonderzoeken</t>
  </si>
  <si>
    <t>functieonderzoeken</t>
  </si>
  <si>
    <t>ergotherapie</t>
  </si>
  <si>
    <t>fysiotherapie/logopedie</t>
  </si>
  <si>
    <t>factor</t>
  </si>
  <si>
    <t>KNO-artsen</t>
  </si>
  <si>
    <t>Verkeerde bed</t>
  </si>
  <si>
    <t>Verblijf gezonde moeder</t>
  </si>
  <si>
    <t>Verblijf gezonde zuigeling</t>
  </si>
  <si>
    <t>Diverse baten en lasten:</t>
  </si>
  <si>
    <t>Zorgprestaties derde compartiment</t>
  </si>
  <si>
    <t>Overige zorgprestaties</t>
  </si>
  <si>
    <t>Overige dienstverlening</t>
  </si>
  <si>
    <t>Overige subsidies</t>
  </si>
  <si>
    <t>DBC-A opbrengst</t>
  </si>
  <si>
    <t>Overige trajecten</t>
  </si>
  <si>
    <t>Opbrengst trajecten</t>
  </si>
  <si>
    <t>Opbrengsten DBC-B segment inclusief kapitaallasten</t>
  </si>
  <si>
    <t>trend 2005</t>
  </si>
  <si>
    <t>**  Specificeren s.v.p. Zie ook onderstaande toelichting.</t>
  </si>
  <si>
    <t>Overig ; het afgesproken budget vermelden , LOON**</t>
  </si>
  <si>
    <t>Overig ; het afgesproken budget vermelden , MAT.**</t>
  </si>
  <si>
    <t>- analysekosten</t>
  </si>
  <si>
    <t>(*) en (**) zie pagina 10</t>
  </si>
  <si>
    <t>Aanvullende inkomsten (niet ter dekking van het budget)</t>
  </si>
  <si>
    <t>Nacalculeerbare afschrijvingskosten (normale en verkorte procedures)</t>
  </si>
  <si>
    <t>Terreinvoorzieningen</t>
  </si>
  <si>
    <t>Verbouwingen</t>
  </si>
  <si>
    <t>percentages</t>
  </si>
  <si>
    <t>Afschrijvingen</t>
  </si>
  <si>
    <t>Mutaties aanvaardbare kosten</t>
  </si>
  <si>
    <t>Aanvaardbare</t>
  </si>
  <si>
    <t>kosten</t>
  </si>
  <si>
    <t>*In de toekomst zullen de aanvaardbare kosten geschoond worden voor lumpsum en samenwerkingsverbanden. Dit kan nog tot wijzigingen in het formulier leiden.</t>
  </si>
  <si>
    <t>Hartrevalidatie intakecontact</t>
  </si>
  <si>
    <t>Hartrevalidatie informatiemodule</t>
  </si>
  <si>
    <t>Hartrevalidatie FIT-module &lt; 10 sessies</t>
  </si>
  <si>
    <t>Hartrevalidatie FIT-module &gt; 10 sessies</t>
  </si>
  <si>
    <t>Hartrevalidatie PEP-module</t>
  </si>
  <si>
    <t>Hartrevalidfatie (opbrengst) oud</t>
  </si>
  <si>
    <t>Mutatie rekenstaat</t>
  </si>
  <si>
    <t>Honoraria-opbrengsten voor medisch specialistische hulp in loondienst</t>
  </si>
  <si>
    <t>Rekenstaat nr.*</t>
  </si>
  <si>
    <t>Gelieve in het invulveld het rekenstaatnummer van de rekenstaat 2005 in te vullen</t>
  </si>
  <si>
    <t>87,5% van de kostencomponent uit de omzet in van de in 2005 gesloten B-segment DBC's</t>
  </si>
  <si>
    <t>Bedrag in rekenstaat</t>
  </si>
  <si>
    <t>Immat. vaste activa</t>
  </si>
  <si>
    <t>Terreinvoorz.</t>
  </si>
  <si>
    <t>Instandhoudingsinvesteringen (WZV-meldingsplichtige vaste activa)</t>
  </si>
  <si>
    <t>Incidentele instandhouding (trekkingsrechten)</t>
  </si>
  <si>
    <t>Saldo</t>
  </si>
  <si>
    <t>Structurele</t>
  </si>
  <si>
    <t>Bedrag investering</t>
  </si>
  <si>
    <t>(in gebruik genomen)</t>
  </si>
  <si>
    <t>t.l.v. jaarl. Insth.</t>
  </si>
  <si>
    <t>Mut.afschr.</t>
  </si>
  <si>
    <t>- mondziekten &amp; kaakchirurgie</t>
  </si>
  <si>
    <t>-dentomax. Orthopedie</t>
  </si>
  <si>
    <t>TOTAAL</t>
  </si>
  <si>
    <t>IVF</t>
  </si>
  <si>
    <t>Eerstelijnsvoorzieningen / -functies</t>
  </si>
  <si>
    <t>Laboratoriumtarieven t.b.v. huisartsen :</t>
  </si>
  <si>
    <t>- aantal centrale afnames (a)*</t>
  </si>
  <si>
    <t>- totaal aantal afnames (a+b+c)</t>
  </si>
  <si>
    <t>- deconcentratiegraad [b:(a+b)]x100%</t>
  </si>
  <si>
    <t xml:space="preserve">Met bovenstaande regels ten behoeve van de eerstelijnsvoorzieningen kan in de meeste gevallen worden volstaan. In beperkte mate wordt in </t>
  </si>
</sst>
</file>

<file path=xl/styles.xml><?xml version="1.0" encoding="utf-8"?>
<styleSheet xmlns="http://schemas.openxmlformats.org/spreadsheetml/2006/main">
  <numFmts count="5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fl&quot;\ * #,##0_-;_-&quot;fl&quot;\ * #,##0\-;_-&quot;fl&quot;\ * &quot;-&quot;_-;_-@_-"/>
    <numFmt numFmtId="165" formatCode="_-&quot;fl&quot;\ * #,##0.00_-;_-&quot;fl&quot;\ * #,##0.00\-;_-&quot;fl&quot;\ * &quot;-&quot;??_-;_-@_-"/>
    <numFmt numFmtId="166" formatCode="0.0000"/>
    <numFmt numFmtId="167" formatCode="#,##0.0_-;#,##0.0\-"/>
    <numFmt numFmtId="168" formatCode="0.000"/>
    <numFmt numFmtId="169" formatCode="#,##0_ ;[Red]\-#,##0\ "/>
    <numFmt numFmtId="170" formatCode="#,##0.0"/>
    <numFmt numFmtId="171" formatCode="#,##0;\(#,##0\);"/>
    <numFmt numFmtId="172" formatCode="d\ mmmm\ yyyy"/>
    <numFmt numFmtId="173" formatCode="0.0%"/>
    <numFmt numFmtId="174" formatCode="0.00000"/>
    <numFmt numFmtId="175" formatCode="#,##0.0000"/>
    <numFmt numFmtId="176" formatCode="dd/mm/yy"/>
    <numFmt numFmtId="177" formatCode="#,##0;\(#,##0_ \ \);"/>
    <numFmt numFmtId="178" formatCode="#,##0_ \ ;\(#,##0\)_ ;"/>
    <numFmt numFmtId="179" formatCode="#,##0\ ;\(#,##0\);"/>
    <numFmt numFmtId="180" formatCode="#,##0_ \ ;\(#,##0\)_ ;\ \ "/>
    <numFmt numFmtId="181" formatCode="#,##0_ ;\(#,##0\);"/>
    <numFmt numFmtId="182" formatCode="dd/mm/yy_ "/>
    <numFmt numFmtId="183" formatCode="\(#,##0\)_ ;#,##0_ \ ;\ \(* \)_ "/>
    <numFmt numFmtId="184" formatCode="#,##0_ ;;"/>
    <numFmt numFmtId="185" formatCode="General\ "/>
    <numFmt numFmtId="186" formatCode="0\ ;"/>
    <numFmt numFmtId="187" formatCode="\ \ƒ* #,##0_ \ ;\ \ƒ* ;\ \ƒ* "/>
    <numFmt numFmtId="188" formatCode="\ \ \ \ 0"/>
    <numFmt numFmtId="189" formatCode="0_ "/>
    <numFmt numFmtId="190" formatCode="0;;"/>
    <numFmt numFmtId="191" formatCode="0%;\(0%\);\%"/>
    <numFmt numFmtId="192" formatCode="#,##0.00_ ;\-#,##0.00\ "/>
    <numFmt numFmtId="193" formatCode="#,##0.00_ ;[Red]\-#,##0.00\ "/>
    <numFmt numFmtId="194" formatCode="0.0"/>
    <numFmt numFmtId="195" formatCode="[$-413]dddd\ d\ mmmm\ yyyy"/>
    <numFmt numFmtId="196" formatCode="[$-413]d/mmm/yy;@"/>
    <numFmt numFmtId="197" formatCode="_-* #,##0.0_-;_-* #,##0.0\-;_-* &quot;-&quot;??_-;_-@_-"/>
    <numFmt numFmtId="198" formatCode="_-* #,##0_-;_-* #,##0\-;_-* &quot;-&quot;??_-;_-@_-"/>
    <numFmt numFmtId="199" formatCode="#,##0_ ;\-#,##0\ "/>
    <numFmt numFmtId="200" formatCode="&quot;Ja&quot;;&quot;Ja&quot;;&quot;Nee&quot;"/>
    <numFmt numFmtId="201" formatCode="&quot;Waar&quot;;&quot;Waar&quot;;&quot;Niet waar&quot;"/>
    <numFmt numFmtId="202" formatCode="&quot;Aan&quot;;&quot;Aan&quot;;&quot;Uit&quot;"/>
    <numFmt numFmtId="203" formatCode="[$€-2]\ #.##000_);[Red]\([$€-2]\ #.##000\)"/>
    <numFmt numFmtId="204" formatCode="#,##0.000_ ;[Red]\-#,##0.000\ "/>
    <numFmt numFmtId="205" formatCode="0.000%"/>
  </numFmts>
  <fonts count="31">
    <font>
      <sz val="10"/>
      <name val="Arial"/>
      <family val="0"/>
    </font>
    <font>
      <b/>
      <sz val="10"/>
      <name val="Arial"/>
      <family val="2"/>
    </font>
    <font>
      <sz val="8"/>
      <name val="Arial"/>
      <family val="2"/>
    </font>
    <font>
      <b/>
      <sz val="8"/>
      <name val="Arial"/>
      <family val="2"/>
    </font>
    <font>
      <sz val="9"/>
      <name val="Arial"/>
      <family val="2"/>
    </font>
    <font>
      <b/>
      <sz val="9"/>
      <name val="Arial"/>
      <family val="2"/>
    </font>
    <font>
      <sz val="8"/>
      <color indexed="9"/>
      <name val="Arial"/>
      <family val="2"/>
    </font>
    <font>
      <sz val="10"/>
      <name val="Helv"/>
      <family val="0"/>
    </font>
    <font>
      <b/>
      <sz val="14"/>
      <name val="Helv"/>
      <family val="0"/>
    </font>
    <font>
      <sz val="24"/>
      <color indexed="13"/>
      <name val="Helv"/>
      <family val="0"/>
    </font>
    <font>
      <b/>
      <i/>
      <sz val="8"/>
      <name val="Arial"/>
      <family val="2"/>
    </font>
    <font>
      <sz val="10"/>
      <color indexed="9"/>
      <name val="Arial"/>
      <family val="2"/>
    </font>
    <font>
      <sz val="8"/>
      <name val="Tahoma"/>
      <family val="2"/>
    </font>
    <font>
      <b/>
      <sz val="8"/>
      <color indexed="9"/>
      <name val="Arial"/>
      <family val="2"/>
    </font>
    <font>
      <b/>
      <i/>
      <sz val="9"/>
      <name val="Arial"/>
      <family val="2"/>
    </font>
    <font>
      <sz val="9"/>
      <color indexed="9"/>
      <name val="Arial"/>
      <family val="2"/>
    </font>
    <font>
      <b/>
      <sz val="9"/>
      <color indexed="9"/>
      <name val="Arial"/>
      <family val="2"/>
    </font>
    <font>
      <sz val="12"/>
      <name val="Arial"/>
      <family val="2"/>
    </font>
    <font>
      <sz val="20"/>
      <name val="Arial"/>
      <family val="2"/>
    </font>
    <font>
      <sz val="9"/>
      <color indexed="61"/>
      <name val="Arial"/>
      <family val="2"/>
    </font>
    <font>
      <i/>
      <sz val="9"/>
      <name val="Arial"/>
      <family val="2"/>
    </font>
    <font>
      <b/>
      <sz val="9"/>
      <color indexed="8"/>
      <name val="Arial"/>
      <family val="2"/>
    </font>
    <font>
      <u val="single"/>
      <sz val="10"/>
      <color indexed="12"/>
      <name val="Arial"/>
      <family val="0"/>
    </font>
    <font>
      <u val="single"/>
      <sz val="10"/>
      <color indexed="36"/>
      <name val="Arial"/>
      <family val="0"/>
    </font>
    <font>
      <u val="single"/>
      <sz val="9"/>
      <name val="Arial"/>
      <family val="2"/>
    </font>
    <font>
      <b/>
      <sz val="12"/>
      <name val="Arial"/>
      <family val="2"/>
    </font>
    <font>
      <sz val="9"/>
      <color indexed="47"/>
      <name val="Arial"/>
      <family val="2"/>
    </font>
    <font>
      <sz val="9"/>
      <color indexed="8"/>
      <name val="Arial"/>
      <family val="2"/>
    </font>
    <font>
      <u val="single"/>
      <sz val="10"/>
      <name val="Arial"/>
      <family val="2"/>
    </font>
    <font>
      <b/>
      <sz val="9"/>
      <color indexed="10"/>
      <name val="Arial"/>
      <family val="2"/>
    </font>
    <font>
      <vertAlign val="superscript"/>
      <sz val="9"/>
      <name val="Arial"/>
      <family val="2"/>
    </font>
  </fonts>
  <fills count="9">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60"/>
        <bgColor indexed="64"/>
      </patternFill>
    </fill>
    <fill>
      <patternFill patternType="solid">
        <fgColor indexed="16"/>
        <bgColor indexed="64"/>
      </patternFill>
    </fill>
    <fill>
      <patternFill patternType="solid">
        <fgColor indexed="9"/>
        <bgColor indexed="64"/>
      </patternFill>
    </fill>
    <fill>
      <patternFill patternType="solid">
        <fgColor indexed="22"/>
        <bgColor indexed="64"/>
      </patternFill>
    </fill>
  </fills>
  <borders count="103">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color indexed="63"/>
      </bottom>
    </border>
    <border>
      <left>
        <color indexed="63"/>
      </left>
      <right style="hair"/>
      <top style="hair"/>
      <bottom>
        <color indexed="63"/>
      </bottom>
    </border>
    <border>
      <left>
        <color indexed="63"/>
      </left>
      <right>
        <color indexed="63"/>
      </right>
      <top style="hair"/>
      <bottom style="hair"/>
    </border>
    <border>
      <left style="thin"/>
      <right style="thin"/>
      <top>
        <color indexed="63"/>
      </top>
      <bottom style="thin"/>
    </border>
    <border>
      <left style="thin"/>
      <right style="thin"/>
      <top style="hair"/>
      <bottom style="thin"/>
    </border>
    <border>
      <left style="thin"/>
      <right>
        <color indexed="63"/>
      </right>
      <top style="thin"/>
      <bottom style="thin"/>
    </border>
    <border>
      <left>
        <color indexed="63"/>
      </left>
      <right style="hair"/>
      <top style="hair"/>
      <bottom style="hair"/>
    </border>
    <border>
      <left>
        <color indexed="63"/>
      </left>
      <right>
        <color indexed="63"/>
      </right>
      <top style="hair"/>
      <bottom style="thin"/>
    </border>
    <border>
      <left>
        <color indexed="63"/>
      </left>
      <right style="hair"/>
      <top style="hair"/>
      <bottom style="thin"/>
    </border>
    <border>
      <left>
        <color indexed="63"/>
      </left>
      <right style="hair"/>
      <top style="thin"/>
      <bottom style="thin"/>
    </border>
    <border>
      <left style="thin"/>
      <right style="thin"/>
      <top style="thin"/>
      <bottom>
        <color indexed="63"/>
      </bottom>
    </border>
    <border>
      <left>
        <color indexed="63"/>
      </left>
      <right style="thin"/>
      <top>
        <color indexed="63"/>
      </top>
      <bottom style="thin"/>
    </border>
    <border>
      <left style="hair"/>
      <right style="hair"/>
      <top style="hair"/>
      <bottom style="hair"/>
    </border>
    <border>
      <left style="hair"/>
      <right style="hair"/>
      <top style="hair"/>
      <bottom>
        <color indexed="63"/>
      </bottom>
    </border>
    <border>
      <left style="hair"/>
      <right>
        <color indexed="63"/>
      </right>
      <top style="hair"/>
      <bottom style="hair"/>
    </border>
    <border>
      <left>
        <color indexed="63"/>
      </left>
      <right>
        <color indexed="63"/>
      </right>
      <top>
        <color indexed="63"/>
      </top>
      <bottom style="hair"/>
    </border>
    <border>
      <left style="thin"/>
      <right style="hair"/>
      <top style="hair"/>
      <bottom style="hair"/>
    </border>
    <border>
      <left style="thin"/>
      <right style="hair"/>
      <top style="hair"/>
      <bottom style="thin"/>
    </border>
    <border>
      <left style="thin"/>
      <right>
        <color indexed="63"/>
      </right>
      <top style="hair"/>
      <bottom style="hair"/>
    </border>
    <border>
      <left style="thin"/>
      <right>
        <color indexed="63"/>
      </right>
      <top style="hair"/>
      <bottom style="thin"/>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hair"/>
      <bottom>
        <color indexed="63"/>
      </bottom>
    </border>
    <border>
      <left style="hair"/>
      <right style="hair"/>
      <top style="hair"/>
      <bottom style="thin"/>
    </border>
    <border>
      <left>
        <color indexed="63"/>
      </left>
      <right style="thin"/>
      <top style="thin"/>
      <bottom>
        <color indexed="63"/>
      </bottom>
    </border>
    <border>
      <left style="hair"/>
      <right style="hair"/>
      <top>
        <color indexed="63"/>
      </top>
      <bottom style="hair"/>
    </border>
    <border>
      <left>
        <color indexed="63"/>
      </left>
      <right style="hair"/>
      <top style="thin"/>
      <bottom style="hair"/>
    </border>
    <border>
      <left style="hair"/>
      <right>
        <color indexed="63"/>
      </right>
      <top style="hair"/>
      <bottom style="thin"/>
    </border>
    <border>
      <left style="hair"/>
      <right>
        <color indexed="63"/>
      </right>
      <top style="thin"/>
      <bottom style="thin"/>
    </border>
    <border>
      <left>
        <color indexed="63"/>
      </left>
      <right style="hair"/>
      <top>
        <color indexed="63"/>
      </top>
      <bottom style="thin"/>
    </border>
    <border>
      <left style="hair"/>
      <right style="hair"/>
      <top>
        <color indexed="63"/>
      </top>
      <bottom style="thin"/>
    </border>
    <border>
      <left style="hair"/>
      <right style="hair"/>
      <top style="thin"/>
      <bottom style="thin"/>
    </border>
    <border>
      <left style="thin"/>
      <right style="hair"/>
      <top>
        <color indexed="63"/>
      </top>
      <bottom style="hair"/>
    </border>
    <border>
      <left style="thin"/>
      <right style="hair"/>
      <top style="hair"/>
      <bottom>
        <color indexed="63"/>
      </bottom>
    </border>
    <border>
      <left>
        <color indexed="63"/>
      </left>
      <right style="hair"/>
      <top>
        <color indexed="63"/>
      </top>
      <bottom style="hair"/>
    </border>
    <border>
      <left>
        <color indexed="63"/>
      </left>
      <right>
        <color indexed="63"/>
      </right>
      <top style="thin"/>
      <bottom style="hair"/>
    </border>
    <border>
      <left style="hair"/>
      <right>
        <color indexed="63"/>
      </right>
      <top style="hair"/>
      <bottom>
        <color indexed="63"/>
      </bottom>
    </border>
    <border>
      <left style="thin"/>
      <right>
        <color indexed="63"/>
      </right>
      <top style="thin"/>
      <bottom>
        <color indexed="63"/>
      </bottom>
    </border>
    <border>
      <left style="thin"/>
      <right>
        <color indexed="63"/>
      </right>
      <top>
        <color indexed="63"/>
      </top>
      <bottom style="thin"/>
    </border>
    <border>
      <left style="hair"/>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style="thin"/>
      <bottom style="hair"/>
    </border>
    <border>
      <left style="thin"/>
      <right>
        <color indexed="63"/>
      </right>
      <top style="thin"/>
      <bottom style="hair"/>
    </border>
    <border>
      <left>
        <color indexed="63"/>
      </left>
      <right style="thin"/>
      <top style="thin"/>
      <bottom style="hair"/>
    </border>
    <border>
      <left style="thin"/>
      <right>
        <color indexed="63"/>
      </right>
      <top>
        <color indexed="63"/>
      </top>
      <bottom>
        <color indexed="63"/>
      </bottom>
    </border>
    <border>
      <left>
        <color indexed="63"/>
      </left>
      <right style="thin"/>
      <top style="hair"/>
      <bottom style="thin"/>
    </border>
    <border>
      <left style="medium"/>
      <right>
        <color indexed="63"/>
      </right>
      <top style="medium"/>
      <bottom style="medium"/>
    </border>
    <border>
      <left>
        <color indexed="63"/>
      </left>
      <right style="thin"/>
      <top style="medium"/>
      <bottom style="medium"/>
    </border>
    <border>
      <left style="medium"/>
      <right style="medium"/>
      <top style="medium"/>
      <bottom style="medium"/>
    </border>
    <border>
      <left>
        <color indexed="63"/>
      </left>
      <right style="thin"/>
      <top style="hair"/>
      <bottom>
        <color indexed="63"/>
      </bottom>
    </border>
    <border>
      <left>
        <color indexed="63"/>
      </left>
      <right style="thin"/>
      <top>
        <color indexed="63"/>
      </top>
      <bottom style="hair"/>
    </border>
    <border>
      <left style="hair"/>
      <right style="hair"/>
      <top>
        <color indexed="63"/>
      </top>
      <bottom>
        <color indexed="63"/>
      </bottom>
    </border>
    <border>
      <left style="hair"/>
      <right>
        <color indexed="63"/>
      </right>
      <top>
        <color indexed="63"/>
      </top>
      <bottom style="hair"/>
    </border>
    <border>
      <left style="thin"/>
      <right style="medium"/>
      <top style="medium"/>
      <bottom style="medium"/>
    </border>
    <border>
      <left style="thin"/>
      <right style="hair"/>
      <top style="thin"/>
      <bottom style="thin"/>
    </border>
    <border>
      <left style="hair"/>
      <right style="thin"/>
      <top style="thin"/>
      <bottom style="thin"/>
    </border>
    <border>
      <left style="thin"/>
      <right style="medium"/>
      <top>
        <color indexed="63"/>
      </top>
      <bottom>
        <color indexed="63"/>
      </bottom>
    </border>
    <border>
      <left style="hair"/>
      <right>
        <color indexed="63"/>
      </right>
      <top style="thin"/>
      <bottom style="hair"/>
    </border>
    <border>
      <left style="hair"/>
      <right style="thin"/>
      <top style="hair"/>
      <bottom style="hair"/>
    </border>
    <border>
      <left style="thin"/>
      <right style="hair"/>
      <top style="thin"/>
      <bottom style="hair"/>
    </border>
    <border>
      <left style="thin"/>
      <right>
        <color indexed="63"/>
      </right>
      <top>
        <color indexed="63"/>
      </top>
      <bottom style="hair"/>
    </border>
    <border>
      <left>
        <color indexed="63"/>
      </left>
      <right style="thin"/>
      <top style="hair"/>
      <bottom style="hair"/>
    </border>
    <border>
      <left style="hair"/>
      <right style="thin"/>
      <top style="hair"/>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style="thin"/>
      <top style="medium"/>
      <bottom>
        <color indexed="63"/>
      </bottom>
    </border>
    <border>
      <left style="thin"/>
      <right style="medium"/>
      <top>
        <color indexed="63"/>
      </top>
      <bottom style="medium"/>
    </border>
    <border>
      <left style="medium"/>
      <right style="thin"/>
      <top>
        <color indexed="63"/>
      </top>
      <bottom style="medium"/>
    </border>
    <border>
      <left style="thin"/>
      <right style="medium"/>
      <top style="medium"/>
      <bottom style="thin"/>
    </border>
    <border>
      <left style="medium"/>
      <right style="thin"/>
      <top style="medium"/>
      <bottom>
        <color indexed="63"/>
      </bottom>
    </border>
    <border>
      <left style="thin"/>
      <right style="medium"/>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style="medium"/>
      <right>
        <color indexed="63"/>
      </right>
      <top>
        <color indexed="63"/>
      </top>
      <bottom style="thin"/>
    </border>
  </borders>
  <cellStyleXfs count="45">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7" fillId="0" borderId="1">
      <alignment/>
      <protection/>
    </xf>
    <xf numFmtId="0" fontId="23"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Protection="0">
      <alignment/>
    </xf>
    <xf numFmtId="0" fontId="8" fillId="2" borderId="1">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xf numFmtId="0" fontId="7" fillId="0" borderId="0">
      <alignment/>
      <protection/>
    </xf>
    <xf numFmtId="0" fontId="0" fillId="0" borderId="0">
      <alignment/>
      <protection/>
    </xf>
    <xf numFmtId="0" fontId="0" fillId="0" borderId="0" applyFill="0" applyBorder="0">
      <alignment/>
      <protection/>
    </xf>
    <xf numFmtId="178" fontId="4" fillId="0" borderId="2" applyFill="0" applyBorder="0">
      <alignment/>
      <protection/>
    </xf>
    <xf numFmtId="187" fontId="4" fillId="0" borderId="2" applyFill="0" applyBorder="0">
      <alignment/>
      <protection/>
    </xf>
    <xf numFmtId="183" fontId="4" fillId="0" borderId="2" applyFill="0" applyBorder="0">
      <alignment/>
      <protection/>
    </xf>
    <xf numFmtId="178" fontId="5" fillId="3" borderId="3">
      <alignment/>
      <protection/>
    </xf>
    <xf numFmtId="183" fontId="5" fillId="3" borderId="3">
      <alignment/>
      <protection/>
    </xf>
    <xf numFmtId="0" fontId="7" fillId="0" borderId="1">
      <alignment/>
      <protection/>
    </xf>
    <xf numFmtId="0" fontId="9" fillId="4" borderId="0">
      <alignment/>
      <protection/>
    </xf>
    <xf numFmtId="0" fontId="8" fillId="0" borderId="4">
      <alignment/>
      <protection/>
    </xf>
    <xf numFmtId="0" fontId="8" fillId="0" borderId="1">
      <alignment/>
      <protection/>
    </xf>
    <xf numFmtId="165" fontId="0" fillId="0" borderId="0" applyFont="0" applyFill="0" applyBorder="0" applyAlignment="0" applyProtection="0"/>
    <xf numFmtId="164" fontId="0" fillId="0" borderId="0" applyFont="0" applyFill="0" applyBorder="0" applyAlignment="0" applyProtection="0"/>
  </cellStyleXfs>
  <cellXfs count="1660">
    <xf numFmtId="0" fontId="0" fillId="0" borderId="0" xfId="0" applyAlignment="1">
      <alignment/>
    </xf>
    <xf numFmtId="0" fontId="1" fillId="0" borderId="0" xfId="0" applyNumberFormat="1" applyFont="1" applyAlignment="1" applyProtection="1">
      <alignment/>
      <protection hidden="1"/>
    </xf>
    <xf numFmtId="0" fontId="0" fillId="0" borderId="0" xfId="0" applyAlignment="1" applyProtection="1">
      <alignment/>
      <protection hidden="1"/>
    </xf>
    <xf numFmtId="0" fontId="0" fillId="0" borderId="0" xfId="0" applyAlignment="1" applyProtection="1">
      <alignment horizontal="left"/>
      <protection hidden="1"/>
    </xf>
    <xf numFmtId="0" fontId="1" fillId="0" borderId="0" xfId="0" applyFont="1" applyBorder="1" applyAlignment="1" applyProtection="1">
      <alignment/>
      <protection hidden="1"/>
    </xf>
    <xf numFmtId="0" fontId="0" fillId="0" borderId="0" xfId="0" applyBorder="1" applyAlignment="1" applyProtection="1">
      <alignment/>
      <protection hidden="1"/>
    </xf>
    <xf numFmtId="0" fontId="2" fillId="0" borderId="5" xfId="0" applyNumberFormat="1" applyFont="1" applyBorder="1" applyAlignment="1" applyProtection="1">
      <alignment vertical="center"/>
      <protection hidden="1"/>
    </xf>
    <xf numFmtId="0" fontId="2" fillId="0" borderId="5" xfId="0" applyFont="1" applyBorder="1" applyAlignment="1" applyProtection="1">
      <alignment vertical="center"/>
      <protection hidden="1"/>
    </xf>
    <xf numFmtId="0" fontId="13" fillId="0" borderId="5" xfId="0" applyNumberFormat="1" applyFont="1" applyBorder="1" applyAlignment="1" applyProtection="1">
      <alignment vertical="center"/>
      <protection hidden="1"/>
    </xf>
    <xf numFmtId="0" fontId="6" fillId="0" borderId="5" xfId="0" applyFont="1" applyBorder="1" applyAlignment="1" applyProtection="1">
      <alignment vertical="center"/>
      <protection hidden="1"/>
    </xf>
    <xf numFmtId="186" fontId="2" fillId="0" borderId="6" xfId="0" applyNumberFormat="1" applyFont="1" applyBorder="1" applyAlignment="1" applyProtection="1">
      <alignment horizontal="right" vertical="center"/>
      <protection hidden="1"/>
    </xf>
    <xf numFmtId="0" fontId="2"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5" fillId="0" borderId="0" xfId="0" applyNumberFormat="1" applyFont="1" applyBorder="1" applyAlignment="1" applyProtection="1">
      <alignment horizontal="left"/>
      <protection hidden="1"/>
    </xf>
    <xf numFmtId="37" fontId="0" fillId="0" borderId="0" xfId="0" applyNumberFormat="1" applyAlignment="1" applyProtection="1">
      <alignment/>
      <protection hidden="1"/>
    </xf>
    <xf numFmtId="2" fontId="0" fillId="0" borderId="0" xfId="0" applyNumberFormat="1" applyFont="1" applyAlignment="1" applyProtection="1">
      <alignment/>
      <protection hidden="1"/>
    </xf>
    <xf numFmtId="37" fontId="0" fillId="0" borderId="0" xfId="0" applyNumberFormat="1" applyFont="1" applyAlignment="1" applyProtection="1">
      <alignment/>
      <protection hidden="1"/>
    </xf>
    <xf numFmtId="37" fontId="1" fillId="0" borderId="0" xfId="0" applyNumberFormat="1" applyFont="1" applyBorder="1" applyAlignment="1" applyProtection="1">
      <alignment horizontal="left"/>
      <protection hidden="1"/>
    </xf>
    <xf numFmtId="37" fontId="1" fillId="0" borderId="0" xfId="0" applyNumberFormat="1" applyFont="1" applyBorder="1" applyAlignment="1" applyProtection="1">
      <alignment horizontal="center"/>
      <protection hidden="1"/>
    </xf>
    <xf numFmtId="0" fontId="1" fillId="0" borderId="0" xfId="32" applyFont="1" applyBorder="1" applyAlignment="1" applyProtection="1">
      <alignment horizontal="left"/>
      <protection hidden="1"/>
    </xf>
    <xf numFmtId="0" fontId="3" fillId="0" borderId="0" xfId="0" applyNumberFormat="1" applyFont="1" applyBorder="1" applyAlignment="1" applyProtection="1">
      <alignment vertical="center"/>
      <protection hidden="1"/>
    </xf>
    <xf numFmtId="37" fontId="3" fillId="3" borderId="3" xfId="0" applyNumberFormat="1" applyFont="1" applyFill="1" applyBorder="1" applyAlignment="1" applyProtection="1">
      <alignment horizontal="left" vertical="center"/>
      <protection hidden="1"/>
    </xf>
    <xf numFmtId="37" fontId="3" fillId="3" borderId="7" xfId="0" applyNumberFormat="1" applyFont="1" applyFill="1" applyBorder="1" applyAlignment="1" applyProtection="1">
      <alignment horizontal="right" vertical="center"/>
      <protection hidden="1"/>
    </xf>
    <xf numFmtId="37" fontId="3" fillId="0" borderId="0" xfId="0" applyNumberFormat="1" applyFont="1" applyBorder="1" applyAlignment="1" applyProtection="1">
      <alignment vertical="center"/>
      <protection hidden="1"/>
    </xf>
    <xf numFmtId="37" fontId="3" fillId="3" borderId="3" xfId="0" applyNumberFormat="1" applyFont="1" applyFill="1" applyBorder="1" applyAlignment="1" applyProtection="1">
      <alignment horizontal="right" vertical="center"/>
      <protection hidden="1"/>
    </xf>
    <xf numFmtId="0" fontId="5" fillId="0" borderId="0" xfId="0" applyNumberFormat="1" applyFont="1" applyBorder="1" applyAlignment="1" applyProtection="1">
      <alignment/>
      <protection hidden="1"/>
    </xf>
    <xf numFmtId="37" fontId="5" fillId="0" borderId="0" xfId="0" applyNumberFormat="1" applyFont="1" applyBorder="1" applyAlignment="1" applyProtection="1">
      <alignment/>
      <protection hidden="1"/>
    </xf>
    <xf numFmtId="0" fontId="5" fillId="0" borderId="0" xfId="0" applyFont="1" applyBorder="1" applyAlignment="1" applyProtection="1">
      <alignment horizontal="left" vertical="top"/>
      <protection hidden="1"/>
    </xf>
    <xf numFmtId="0" fontId="5" fillId="0" borderId="0" xfId="0" applyFont="1" applyBorder="1" applyAlignment="1" applyProtection="1">
      <alignment horizontal="right" vertical="top"/>
      <protection hidden="1"/>
    </xf>
    <xf numFmtId="0" fontId="5" fillId="0" borderId="0" xfId="0" applyFont="1" applyBorder="1" applyAlignment="1" applyProtection="1">
      <alignment horizontal="right"/>
      <protection hidden="1"/>
    </xf>
    <xf numFmtId="0" fontId="5" fillId="3" borderId="8" xfId="0" applyNumberFormat="1" applyFont="1" applyFill="1" applyBorder="1" applyAlignment="1" applyProtection="1">
      <alignment horizontal="left"/>
      <protection hidden="1"/>
    </xf>
    <xf numFmtId="0" fontId="5" fillId="3" borderId="9" xfId="0" applyNumberFormat="1" applyFont="1" applyFill="1" applyBorder="1" applyAlignment="1" applyProtection="1">
      <alignment horizontal="left"/>
      <protection hidden="1"/>
    </xf>
    <xf numFmtId="37" fontId="5" fillId="0" borderId="0" xfId="0" applyNumberFormat="1" applyFont="1" applyBorder="1" applyAlignment="1" applyProtection="1">
      <alignment horizontal="left"/>
      <protection hidden="1"/>
    </xf>
    <xf numFmtId="0" fontId="5" fillId="3" borderId="10" xfId="0" applyNumberFormat="1" applyFont="1" applyFill="1" applyBorder="1" applyAlignment="1" applyProtection="1">
      <alignment horizontal="left"/>
      <protection hidden="1"/>
    </xf>
    <xf numFmtId="0" fontId="5" fillId="3" borderId="11" xfId="0" applyNumberFormat="1" applyFont="1" applyFill="1" applyBorder="1" applyAlignment="1" applyProtection="1">
      <alignment horizontal="left"/>
      <protection hidden="1"/>
    </xf>
    <xf numFmtId="37" fontId="4" fillId="0" borderId="12" xfId="0" applyNumberFormat="1" applyFont="1" applyFill="1" applyBorder="1" applyAlignment="1" applyProtection="1">
      <alignment/>
      <protection hidden="1"/>
    </xf>
    <xf numFmtId="0" fontId="5" fillId="3" borderId="3" xfId="0" applyNumberFormat="1" applyFont="1" applyFill="1" applyBorder="1" applyAlignment="1" applyProtection="1">
      <alignment horizontal="left"/>
      <protection hidden="1"/>
    </xf>
    <xf numFmtId="37" fontId="5" fillId="3" borderId="5" xfId="0" applyNumberFormat="1" applyFont="1" applyFill="1" applyBorder="1" applyAlignment="1" applyProtection="1">
      <alignment/>
      <protection hidden="1"/>
    </xf>
    <xf numFmtId="184" fontId="4" fillId="3" borderId="5" xfId="34" applyNumberFormat="1" applyFont="1" applyFill="1" applyBorder="1" applyAlignment="1" applyProtection="1">
      <alignment horizontal="left"/>
      <protection hidden="1"/>
    </xf>
    <xf numFmtId="184" fontId="4" fillId="3" borderId="5" xfId="36" applyNumberFormat="1" applyFont="1" applyFill="1" applyBorder="1" applyAlignment="1" applyProtection="1">
      <alignment/>
      <protection hidden="1"/>
    </xf>
    <xf numFmtId="0" fontId="5" fillId="0" borderId="0" xfId="0" applyNumberFormat="1" applyFont="1" applyAlignment="1" applyProtection="1">
      <alignment/>
      <protection hidden="1"/>
    </xf>
    <xf numFmtId="0" fontId="4" fillId="0" borderId="0" xfId="0" applyFont="1" applyAlignment="1" applyProtection="1">
      <alignment/>
      <protection hidden="1"/>
    </xf>
    <xf numFmtId="0" fontId="4" fillId="0" borderId="0" xfId="0" applyFont="1" applyAlignment="1" applyProtection="1">
      <alignment horizontal="left"/>
      <protection hidden="1"/>
    </xf>
    <xf numFmtId="0" fontId="5" fillId="0" borderId="0" xfId="0" applyFont="1" applyBorder="1" applyAlignment="1" applyProtection="1">
      <alignment horizontal="left"/>
      <protection hidden="1"/>
    </xf>
    <xf numFmtId="0" fontId="5" fillId="0" borderId="0" xfId="0" applyFont="1" applyBorder="1" applyAlignment="1" applyProtection="1">
      <alignment/>
      <protection hidden="1"/>
    </xf>
    <xf numFmtId="184" fontId="4" fillId="3" borderId="7" xfId="36" applyNumberFormat="1" applyFont="1" applyFill="1" applyBorder="1" applyAlignment="1" applyProtection="1">
      <alignment/>
      <protection hidden="1"/>
    </xf>
    <xf numFmtId="0" fontId="5" fillId="0" borderId="0" xfId="0" applyFont="1" applyAlignment="1" applyProtection="1">
      <alignment/>
      <protection hidden="1"/>
    </xf>
    <xf numFmtId="0" fontId="4" fillId="0" borderId="0" xfId="0" applyFont="1" applyAlignment="1" applyProtection="1">
      <alignment vertical="top"/>
      <protection hidden="1"/>
    </xf>
    <xf numFmtId="37" fontId="4" fillId="0" borderId="13" xfId="0" applyNumberFormat="1" applyFont="1" applyFill="1" applyBorder="1" applyAlignment="1" applyProtection="1">
      <alignment/>
      <protection hidden="1" locked="0"/>
    </xf>
    <xf numFmtId="0" fontId="4" fillId="0" borderId="13" xfId="0" applyFont="1" applyFill="1" applyBorder="1" applyAlignment="1" applyProtection="1">
      <alignment/>
      <protection hidden="1" locked="0"/>
    </xf>
    <xf numFmtId="0" fontId="5" fillId="3" borderId="14" xfId="0" applyNumberFormat="1" applyFont="1" applyFill="1" applyBorder="1" applyAlignment="1" applyProtection="1">
      <alignment horizontal="left"/>
      <protection hidden="1"/>
    </xf>
    <xf numFmtId="0" fontId="4" fillId="3" borderId="5" xfId="0" applyFont="1" applyFill="1" applyBorder="1" applyAlignment="1" applyProtection="1">
      <alignment/>
      <protection hidden="1"/>
    </xf>
    <xf numFmtId="0" fontId="1" fillId="0" borderId="0" xfId="0" applyNumberFormat="1" applyFont="1" applyBorder="1" applyAlignment="1" applyProtection="1">
      <alignment/>
      <protection hidden="1"/>
    </xf>
    <xf numFmtId="0" fontId="5" fillId="3" borderId="15" xfId="0" applyNumberFormat="1" applyFont="1" applyFill="1" applyBorder="1" applyAlignment="1" applyProtection="1">
      <alignment horizontal="left"/>
      <protection hidden="1"/>
    </xf>
    <xf numFmtId="37" fontId="4" fillId="0" borderId="6" xfId="0" applyNumberFormat="1" applyFont="1" applyFill="1" applyBorder="1" applyAlignment="1" applyProtection="1">
      <alignment/>
      <protection hidden="1" locked="0"/>
    </xf>
    <xf numFmtId="0" fontId="4" fillId="0" borderId="6" xfId="0" applyFont="1" applyFill="1" applyBorder="1" applyAlignment="1" applyProtection="1">
      <alignment/>
      <protection hidden="1" locked="0"/>
    </xf>
    <xf numFmtId="166" fontId="4" fillId="0" borderId="0" xfId="0" applyNumberFormat="1" applyFont="1" applyBorder="1" applyAlignment="1" applyProtection="1">
      <alignment horizontal="center"/>
      <protection hidden="1"/>
    </xf>
    <xf numFmtId="178" fontId="4" fillId="0" borderId="0" xfId="34" applyFont="1" applyBorder="1" applyAlignment="1" applyProtection="1">
      <alignment/>
      <protection hidden="1"/>
    </xf>
    <xf numFmtId="37" fontId="5" fillId="3" borderId="16" xfId="0" applyNumberFormat="1" applyFont="1" applyFill="1" applyBorder="1" applyAlignment="1" applyProtection="1">
      <alignment/>
      <protection hidden="1"/>
    </xf>
    <xf numFmtId="0" fontId="5" fillId="3" borderId="5" xfId="0" applyFont="1" applyFill="1" applyBorder="1" applyAlignment="1" applyProtection="1">
      <alignment/>
      <protection hidden="1"/>
    </xf>
    <xf numFmtId="0" fontId="5" fillId="3" borderId="7" xfId="0" applyFont="1" applyFill="1" applyBorder="1" applyAlignment="1" applyProtection="1">
      <alignment/>
      <protection hidden="1"/>
    </xf>
    <xf numFmtId="37" fontId="3" fillId="0" borderId="0" xfId="0" applyNumberFormat="1" applyFont="1" applyFill="1" applyBorder="1" applyAlignment="1" applyProtection="1">
      <alignment horizontal="right" vertical="center"/>
      <protection hidden="1"/>
    </xf>
    <xf numFmtId="185" fontId="3" fillId="0" borderId="0" xfId="0" applyNumberFormat="1" applyFont="1" applyFill="1" applyBorder="1" applyAlignment="1" applyProtection="1">
      <alignment horizontal="right" vertical="center"/>
      <protection hidden="1"/>
    </xf>
    <xf numFmtId="0" fontId="3" fillId="0" borderId="0" xfId="0" applyNumberFormat="1" applyFont="1" applyBorder="1" applyAlignment="1" applyProtection="1">
      <alignment/>
      <protection hidden="1"/>
    </xf>
    <xf numFmtId="37" fontId="3" fillId="0" borderId="0" xfId="0" applyNumberFormat="1" applyFont="1" applyBorder="1" applyAlignment="1" applyProtection="1">
      <alignment/>
      <protection hidden="1"/>
    </xf>
    <xf numFmtId="0" fontId="1" fillId="0" borderId="0" xfId="0" applyFont="1" applyBorder="1" applyAlignment="1" applyProtection="1">
      <alignment horizontal="right" vertical="top"/>
      <protection hidden="1"/>
    </xf>
    <xf numFmtId="0" fontId="1" fillId="0" borderId="0" xfId="0" applyFont="1" applyBorder="1" applyAlignment="1" applyProtection="1">
      <alignment horizontal="right"/>
      <protection hidden="1"/>
    </xf>
    <xf numFmtId="37" fontId="3" fillId="0" borderId="0" xfId="0" applyNumberFormat="1" applyFont="1" applyFill="1" applyBorder="1" applyAlignment="1" applyProtection="1">
      <alignment/>
      <protection hidden="1"/>
    </xf>
    <xf numFmtId="0" fontId="1" fillId="0" borderId="0" xfId="0" applyFont="1" applyFill="1" applyBorder="1" applyAlignment="1" applyProtection="1">
      <alignment horizontal="right" vertical="top"/>
      <protection hidden="1"/>
    </xf>
    <xf numFmtId="0" fontId="1" fillId="0" borderId="0" xfId="0" applyFont="1" applyFill="1" applyBorder="1" applyAlignment="1" applyProtection="1">
      <alignment horizontal="right"/>
      <protection hidden="1"/>
    </xf>
    <xf numFmtId="0" fontId="5" fillId="0" borderId="0" xfId="0" applyNumberFormat="1" applyFont="1" applyFill="1" applyBorder="1" applyAlignment="1" applyProtection="1">
      <alignment horizontal="left"/>
      <protection hidden="1"/>
    </xf>
    <xf numFmtId="0" fontId="5" fillId="0" borderId="0" xfId="0" applyFont="1" applyFill="1" applyBorder="1" applyAlignment="1" applyProtection="1">
      <alignment vertical="top"/>
      <protection hidden="1"/>
    </xf>
    <xf numFmtId="0" fontId="4" fillId="0" borderId="0" xfId="0" applyFont="1" applyFill="1" applyBorder="1" applyAlignment="1" applyProtection="1">
      <alignment vertical="top"/>
      <protection hidden="1"/>
    </xf>
    <xf numFmtId="0" fontId="10" fillId="0" borderId="17" xfId="0" applyNumberFormat="1" applyFont="1" applyFill="1" applyBorder="1" applyAlignment="1" applyProtection="1">
      <alignment horizontal="right"/>
      <protection hidden="1"/>
    </xf>
    <xf numFmtId="0" fontId="1" fillId="0" borderId="0" xfId="0" applyNumberFormat="1" applyFont="1" applyFill="1" applyBorder="1" applyAlignment="1" applyProtection="1">
      <alignment/>
      <protection hidden="1"/>
    </xf>
    <xf numFmtId="0" fontId="0" fillId="0" borderId="0" xfId="0" applyFill="1" applyBorder="1" applyAlignment="1" applyProtection="1">
      <alignment/>
      <protection hidden="1"/>
    </xf>
    <xf numFmtId="0" fontId="5" fillId="0" borderId="17" xfId="0" applyFont="1" applyFill="1" applyBorder="1" applyAlignment="1" applyProtection="1">
      <alignment horizontal="right"/>
      <protection hidden="1"/>
    </xf>
    <xf numFmtId="0" fontId="4" fillId="0" borderId="18" xfId="0" applyFont="1" applyFill="1" applyBorder="1" applyAlignment="1" applyProtection="1">
      <alignment/>
      <protection hidden="1"/>
    </xf>
    <xf numFmtId="178" fontId="4" fillId="0" borderId="19" xfId="34" applyFont="1" applyFill="1" applyBorder="1" applyAlignment="1" applyProtection="1">
      <alignment/>
      <protection hidden="1"/>
    </xf>
    <xf numFmtId="178" fontId="4" fillId="3" borderId="7" xfId="34" applyFont="1" applyFill="1" applyBorder="1" applyAlignment="1" applyProtection="1">
      <alignment/>
      <protection hidden="1"/>
    </xf>
    <xf numFmtId="0" fontId="5" fillId="3" borderId="2" xfId="0" applyNumberFormat="1" applyFont="1" applyFill="1" applyBorder="1" applyAlignment="1" applyProtection="1">
      <alignment horizontal="left"/>
      <protection hidden="1"/>
    </xf>
    <xf numFmtId="0" fontId="5" fillId="0" borderId="20" xfId="0" applyFont="1" applyFill="1" applyBorder="1" applyAlignment="1" applyProtection="1">
      <alignment horizontal="right"/>
      <protection hidden="1"/>
    </xf>
    <xf numFmtId="0" fontId="5" fillId="0" borderId="0" xfId="0" applyNumberFormat="1" applyFont="1" applyFill="1" applyBorder="1" applyAlignment="1" applyProtection="1">
      <alignment/>
      <protection hidden="1"/>
    </xf>
    <xf numFmtId="0" fontId="4" fillId="0" borderId="0" xfId="0" applyFont="1" applyFill="1" applyBorder="1" applyAlignment="1" applyProtection="1">
      <alignment/>
      <protection hidden="1"/>
    </xf>
    <xf numFmtId="0" fontId="1" fillId="0" borderId="0" xfId="0" applyFont="1" applyFill="1" applyBorder="1" applyAlignment="1" applyProtection="1">
      <alignment/>
      <protection hidden="1"/>
    </xf>
    <xf numFmtId="0" fontId="1" fillId="0" borderId="0" xfId="0" applyNumberFormat="1" applyFont="1" applyFill="1" applyAlignment="1" applyProtection="1">
      <alignment/>
      <protection hidden="1"/>
    </xf>
    <xf numFmtId="0" fontId="0" fillId="0" borderId="0" xfId="0" applyFill="1" applyAlignment="1" applyProtection="1">
      <alignment/>
      <protection hidden="1"/>
    </xf>
    <xf numFmtId="0" fontId="10" fillId="0" borderId="13" xfId="0" applyFont="1" applyFill="1" applyBorder="1" applyAlignment="1" applyProtection="1">
      <alignment horizontal="right"/>
      <protection hidden="1"/>
    </xf>
    <xf numFmtId="178" fontId="4" fillId="3" borderId="5" xfId="34" applyFont="1" applyFill="1" applyBorder="1" applyAlignment="1" applyProtection="1">
      <alignment/>
      <protection hidden="1"/>
    </xf>
    <xf numFmtId="0" fontId="4" fillId="0" borderId="0" xfId="0" applyFont="1" applyBorder="1" applyAlignment="1" applyProtection="1">
      <alignment/>
      <protection hidden="1"/>
    </xf>
    <xf numFmtId="0" fontId="4" fillId="0" borderId="0" xfId="0" applyFont="1" applyBorder="1" applyAlignment="1" applyProtection="1">
      <alignment vertical="center"/>
      <protection hidden="1"/>
    </xf>
    <xf numFmtId="0" fontId="4" fillId="0" borderId="0" xfId="0" applyFont="1" applyAlignment="1" applyProtection="1">
      <alignment vertical="center"/>
      <protection hidden="1"/>
    </xf>
    <xf numFmtId="0" fontId="0" fillId="0" borderId="0" xfId="0" applyFont="1" applyAlignment="1" applyProtection="1">
      <alignment/>
      <protection hidden="1"/>
    </xf>
    <xf numFmtId="37" fontId="5" fillId="0" borderId="0" xfId="0" applyNumberFormat="1" applyFont="1" applyAlignment="1" applyProtection="1">
      <alignment/>
      <protection hidden="1"/>
    </xf>
    <xf numFmtId="37" fontId="4" fillId="0" borderId="0" xfId="0" applyNumberFormat="1" applyFont="1" applyAlignment="1" applyProtection="1">
      <alignment/>
      <protection hidden="1"/>
    </xf>
    <xf numFmtId="0" fontId="0" fillId="0" borderId="0" xfId="0" applyFont="1" applyBorder="1" applyAlignment="1" applyProtection="1">
      <alignment/>
      <protection hidden="1"/>
    </xf>
    <xf numFmtId="2" fontId="0" fillId="0" borderId="0" xfId="0" applyNumberFormat="1" applyFont="1" applyAlignment="1" applyProtection="1">
      <alignment horizontal="left"/>
      <protection hidden="1"/>
    </xf>
    <xf numFmtId="0" fontId="1" fillId="0" borderId="0" xfId="0" applyNumberFormat="1" applyFont="1" applyBorder="1" applyAlignment="1" applyProtection="1">
      <alignment horizontal="left"/>
      <protection hidden="1"/>
    </xf>
    <xf numFmtId="0" fontId="3" fillId="0" borderId="0" xfId="0" applyFont="1" applyFill="1" applyBorder="1" applyAlignment="1" applyProtection="1">
      <alignment horizontal="left"/>
      <protection hidden="1"/>
    </xf>
    <xf numFmtId="170" fontId="3" fillId="0" borderId="0" xfId="0" applyNumberFormat="1" applyFont="1" applyFill="1" applyBorder="1" applyAlignment="1" applyProtection="1">
      <alignment horizontal="left"/>
      <protection hidden="1"/>
    </xf>
    <xf numFmtId="0" fontId="3" fillId="0" borderId="0" xfId="0" applyNumberFormat="1" applyFont="1" applyFill="1" applyBorder="1" applyAlignment="1" applyProtection="1">
      <alignment horizontal="right"/>
      <protection hidden="1"/>
    </xf>
    <xf numFmtId="37" fontId="3" fillId="0" borderId="0" xfId="0" applyNumberFormat="1" applyFont="1" applyFill="1" applyBorder="1" applyAlignment="1" applyProtection="1">
      <alignment horizontal="center"/>
      <protection hidden="1"/>
    </xf>
    <xf numFmtId="0" fontId="3" fillId="0" borderId="0" xfId="0" applyFont="1" applyFill="1" applyBorder="1" applyAlignment="1" applyProtection="1">
      <alignment horizontal="right"/>
      <protection hidden="1"/>
    </xf>
    <xf numFmtId="0" fontId="3" fillId="0" borderId="0" xfId="0" applyFont="1" applyFill="1" applyAlignment="1" applyProtection="1">
      <alignment/>
      <protection hidden="1"/>
    </xf>
    <xf numFmtId="37" fontId="3" fillId="3" borderId="21" xfId="0" applyNumberFormat="1" applyFont="1" applyFill="1" applyBorder="1" applyAlignment="1" applyProtection="1">
      <alignment horizontal="right" vertical="center"/>
      <protection hidden="1"/>
    </xf>
    <xf numFmtId="189" fontId="3" fillId="3" borderId="14" xfId="0" applyNumberFormat="1" applyFont="1" applyFill="1" applyBorder="1" applyAlignment="1" applyProtection="1">
      <alignment horizontal="right" vertical="center"/>
      <protection hidden="1"/>
    </xf>
    <xf numFmtId="0" fontId="3" fillId="3" borderId="22" xfId="0" applyFont="1" applyFill="1" applyBorder="1" applyAlignment="1" applyProtection="1">
      <alignment horizontal="right" vertical="center"/>
      <protection hidden="1"/>
    </xf>
    <xf numFmtId="0" fontId="3" fillId="3" borderId="3" xfId="0" applyFont="1" applyFill="1" applyBorder="1" applyAlignment="1" applyProtection="1">
      <alignment horizontal="right" vertical="center"/>
      <protection hidden="1"/>
    </xf>
    <xf numFmtId="0" fontId="3" fillId="3" borderId="14" xfId="0" applyFont="1" applyFill="1" applyBorder="1" applyAlignment="1" applyProtection="1">
      <alignment horizontal="right" vertical="center"/>
      <protection hidden="1"/>
    </xf>
    <xf numFmtId="170" fontId="5" fillId="0" borderId="0" xfId="0" applyNumberFormat="1" applyFont="1" applyFill="1" applyBorder="1" applyAlignment="1" applyProtection="1">
      <alignment horizontal="left"/>
      <protection hidden="1"/>
    </xf>
    <xf numFmtId="0" fontId="5" fillId="0" borderId="0" xfId="0" applyNumberFormat="1" applyFont="1" applyFill="1" applyBorder="1" applyAlignment="1" applyProtection="1">
      <alignment horizontal="right"/>
      <protection hidden="1"/>
    </xf>
    <xf numFmtId="37" fontId="5" fillId="0" borderId="0" xfId="0" applyNumberFormat="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0" fontId="2" fillId="0" borderId="0" xfId="0" applyNumberFormat="1" applyFont="1" applyBorder="1" applyAlignment="1" applyProtection="1">
      <alignment horizontal="left"/>
      <protection hidden="1"/>
    </xf>
    <xf numFmtId="0" fontId="3" fillId="0" borderId="0" xfId="0" applyFont="1" applyBorder="1" applyAlignment="1" applyProtection="1">
      <alignment horizontal="left"/>
      <protection hidden="1"/>
    </xf>
    <xf numFmtId="0" fontId="2"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Alignment="1" applyProtection="1">
      <alignment/>
      <protection hidden="1"/>
    </xf>
    <xf numFmtId="37" fontId="5" fillId="0" borderId="0" xfId="0" applyNumberFormat="1" applyFont="1" applyFill="1" applyBorder="1" applyAlignment="1" applyProtection="1">
      <alignment horizontal="right"/>
      <protection hidden="1"/>
    </xf>
    <xf numFmtId="0" fontId="10" fillId="0" borderId="0" xfId="0" applyFont="1" applyBorder="1" applyAlignment="1" applyProtection="1">
      <alignment horizontal="right"/>
      <protection hidden="1"/>
    </xf>
    <xf numFmtId="0" fontId="4" fillId="0" borderId="17" xfId="0" applyFont="1" applyFill="1" applyBorder="1" applyAlignment="1" applyProtection="1">
      <alignment/>
      <protection hidden="1"/>
    </xf>
    <xf numFmtId="170" fontId="0" fillId="0" borderId="0" xfId="0" applyNumberFormat="1" applyAlignment="1" applyProtection="1">
      <alignment horizontal="left"/>
      <protection hidden="1"/>
    </xf>
    <xf numFmtId="37" fontId="5" fillId="0" borderId="0" xfId="0" applyNumberFormat="1" applyFont="1" applyFill="1" applyBorder="1" applyAlignment="1" applyProtection="1">
      <alignment horizontal="right" vertical="center"/>
      <protection hidden="1"/>
    </xf>
    <xf numFmtId="0" fontId="5" fillId="0" borderId="0" xfId="32" applyFont="1" applyAlignment="1" applyProtection="1">
      <alignment horizontal="left"/>
      <protection hidden="1"/>
    </xf>
    <xf numFmtId="0" fontId="5" fillId="3" borderId="8" xfId="32" applyFont="1" applyFill="1" applyBorder="1" applyAlignment="1" applyProtection="1">
      <alignment horizontal="left"/>
      <protection hidden="1"/>
    </xf>
    <xf numFmtId="0" fontId="5" fillId="3" borderId="10" xfId="32" applyFont="1" applyFill="1" applyBorder="1" applyAlignment="1" applyProtection="1">
      <alignment horizontal="left"/>
      <protection hidden="1"/>
    </xf>
    <xf numFmtId="0" fontId="4" fillId="0" borderId="0" xfId="32" applyFont="1" applyBorder="1" applyAlignment="1" applyProtection="1">
      <alignment horizontal="center"/>
      <protection hidden="1"/>
    </xf>
    <xf numFmtId="0" fontId="5" fillId="3" borderId="15" xfId="32" applyFont="1" applyFill="1" applyBorder="1" applyAlignment="1" applyProtection="1">
      <alignment horizontal="left"/>
      <protection hidden="1"/>
    </xf>
    <xf numFmtId="0" fontId="5" fillId="3" borderId="3" xfId="32" applyFont="1" applyFill="1" applyBorder="1" applyAlignment="1" applyProtection="1">
      <alignment horizontal="left"/>
      <protection hidden="1"/>
    </xf>
    <xf numFmtId="0" fontId="5" fillId="3" borderId="3" xfId="0" applyFont="1" applyFill="1" applyBorder="1" applyAlignment="1" applyProtection="1">
      <alignment horizontal="left"/>
      <protection hidden="1"/>
    </xf>
    <xf numFmtId="0" fontId="4" fillId="0" borderId="0" xfId="32" applyFont="1" applyAlignment="1" applyProtection="1">
      <alignment horizontal="left"/>
      <protection hidden="1"/>
    </xf>
    <xf numFmtId="37" fontId="5" fillId="0" borderId="0" xfId="0" applyNumberFormat="1" applyFont="1" applyFill="1" applyBorder="1" applyAlignment="1" applyProtection="1">
      <alignment/>
      <protection hidden="1"/>
    </xf>
    <xf numFmtId="0" fontId="5" fillId="3" borderId="8" xfId="0" applyFont="1" applyFill="1" applyBorder="1" applyAlignment="1" applyProtection="1">
      <alignment horizontal="left"/>
      <protection hidden="1"/>
    </xf>
    <xf numFmtId="0" fontId="4" fillId="0" borderId="13" xfId="0" applyFont="1" applyFill="1" applyBorder="1" applyAlignment="1" applyProtection="1">
      <alignment/>
      <protection hidden="1"/>
    </xf>
    <xf numFmtId="0" fontId="5" fillId="3" borderId="10" xfId="0" applyFont="1" applyFill="1" applyBorder="1" applyAlignment="1" applyProtection="1">
      <alignment horizontal="left"/>
      <protection hidden="1"/>
    </xf>
    <xf numFmtId="182" fontId="4" fillId="0" borderId="23" xfId="0" applyNumberFormat="1" applyFont="1" applyFill="1" applyBorder="1" applyAlignment="1" applyProtection="1">
      <alignment horizontal="left"/>
      <protection hidden="1" locked="0"/>
    </xf>
    <xf numFmtId="2" fontId="0" fillId="0" borderId="0" xfId="0" applyNumberFormat="1" applyAlignment="1" applyProtection="1">
      <alignment/>
      <protection hidden="1"/>
    </xf>
    <xf numFmtId="37" fontId="0" fillId="0" borderId="0" xfId="0" applyNumberFormat="1" applyAlignment="1" applyProtection="1">
      <alignment horizontal="center"/>
      <protection hidden="1"/>
    </xf>
    <xf numFmtId="37" fontId="0" fillId="0" borderId="0" xfId="0" applyNumberFormat="1" applyBorder="1" applyAlignment="1" applyProtection="1">
      <alignment/>
      <protection hidden="1"/>
    </xf>
    <xf numFmtId="37" fontId="0" fillId="0" borderId="0" xfId="0" applyNumberFormat="1" applyBorder="1" applyAlignment="1" applyProtection="1">
      <alignment horizontal="center"/>
      <protection hidden="1"/>
    </xf>
    <xf numFmtId="188" fontId="4" fillId="0" borderId="23" xfId="0" applyNumberFormat="1" applyFont="1" applyFill="1" applyBorder="1" applyAlignment="1" applyProtection="1">
      <alignment horizontal="left"/>
      <protection hidden="1"/>
    </xf>
    <xf numFmtId="0" fontId="4" fillId="0" borderId="23" xfId="0" applyNumberFormat="1" applyFont="1" applyFill="1" applyBorder="1" applyAlignment="1" applyProtection="1">
      <alignment horizontal="left"/>
      <protection hidden="1"/>
    </xf>
    <xf numFmtId="0" fontId="4" fillId="5" borderId="24" xfId="0" applyNumberFormat="1" applyFont="1" applyFill="1" applyBorder="1" applyAlignment="1" applyProtection="1">
      <alignment horizontal="left"/>
      <protection hidden="1"/>
    </xf>
    <xf numFmtId="188" fontId="4" fillId="5" borderId="24" xfId="0" applyNumberFormat="1" applyFont="1" applyFill="1" applyBorder="1" applyAlignment="1" applyProtection="1">
      <alignment horizontal="left"/>
      <protection hidden="1"/>
    </xf>
    <xf numFmtId="0" fontId="4" fillId="3" borderId="5" xfId="0" applyNumberFormat="1" applyFont="1" applyFill="1" applyBorder="1" applyAlignment="1" applyProtection="1">
      <alignment horizontal="left"/>
      <protection hidden="1"/>
    </xf>
    <xf numFmtId="178" fontId="4" fillId="0" borderId="0" xfId="0" applyNumberFormat="1" applyFont="1" applyBorder="1" applyAlignment="1" applyProtection="1">
      <alignment/>
      <protection hidden="1"/>
    </xf>
    <xf numFmtId="49" fontId="4" fillId="0" borderId="0" xfId="0" applyNumberFormat="1" applyFont="1" applyBorder="1" applyAlignment="1" applyProtection="1">
      <alignment horizontal="center"/>
      <protection hidden="1"/>
    </xf>
    <xf numFmtId="183" fontId="4" fillId="6" borderId="23" xfId="36" applyFont="1" applyFill="1" applyBorder="1" applyAlignment="1" applyProtection="1">
      <alignment horizontal="right"/>
      <protection hidden="1"/>
    </xf>
    <xf numFmtId="49" fontId="5" fillId="6" borderId="25" xfId="0" applyNumberFormat="1" applyFont="1" applyFill="1" applyBorder="1" applyAlignment="1" applyProtection="1">
      <alignment horizontal="left"/>
      <protection hidden="1"/>
    </xf>
    <xf numFmtId="183" fontId="4" fillId="0" borderId="0" xfId="36" applyFont="1" applyFill="1" applyBorder="1" applyAlignment="1" applyProtection="1">
      <alignment horizontal="right"/>
      <protection hidden="1"/>
    </xf>
    <xf numFmtId="49" fontId="5" fillId="0" borderId="0" xfId="0" applyNumberFormat="1" applyFont="1" applyFill="1" applyBorder="1" applyAlignment="1" applyProtection="1">
      <alignment horizontal="left"/>
      <protection hidden="1"/>
    </xf>
    <xf numFmtId="49" fontId="5" fillId="0" borderId="13" xfId="0" applyNumberFormat="1" applyFont="1" applyFill="1" applyBorder="1" applyAlignment="1" applyProtection="1">
      <alignment horizontal="left"/>
      <protection hidden="1"/>
    </xf>
    <xf numFmtId="49" fontId="5" fillId="0" borderId="6" xfId="0" applyNumberFormat="1" applyFont="1" applyFill="1" applyBorder="1" applyAlignment="1" applyProtection="1">
      <alignment horizontal="left"/>
      <protection hidden="1"/>
    </xf>
    <xf numFmtId="49" fontId="5" fillId="3" borderId="5" xfId="0" applyNumberFormat="1" applyFont="1" applyFill="1" applyBorder="1" applyAlignment="1" applyProtection="1">
      <alignment horizontal="left"/>
      <protection hidden="1"/>
    </xf>
    <xf numFmtId="49" fontId="0" fillId="0" borderId="0" xfId="0" applyNumberFormat="1" applyFont="1" applyBorder="1" applyAlignment="1" applyProtection="1">
      <alignment horizontal="center"/>
      <protection hidden="1"/>
    </xf>
    <xf numFmtId="49" fontId="5" fillId="0" borderId="0" xfId="0" applyNumberFormat="1" applyFont="1" applyFill="1" applyBorder="1" applyAlignment="1" applyProtection="1">
      <alignment horizontal="right"/>
      <protection hidden="1"/>
    </xf>
    <xf numFmtId="49" fontId="4" fillId="0" borderId="0" xfId="0" applyNumberFormat="1" applyFont="1" applyAlignment="1" applyProtection="1">
      <alignment/>
      <protection hidden="1"/>
    </xf>
    <xf numFmtId="49" fontId="4" fillId="0" borderId="13" xfId="0" applyNumberFormat="1" applyFont="1" applyFill="1" applyBorder="1" applyAlignment="1" applyProtection="1">
      <alignment horizontal="left"/>
      <protection hidden="1"/>
    </xf>
    <xf numFmtId="0" fontId="5" fillId="0" borderId="6" xfId="0" applyNumberFormat="1" applyFont="1" applyBorder="1" applyAlignment="1" applyProtection="1">
      <alignment horizontal="left"/>
      <protection hidden="1"/>
    </xf>
    <xf numFmtId="37" fontId="5" fillId="0" borderId="0" xfId="0" applyNumberFormat="1" applyFont="1" applyBorder="1" applyAlignment="1" applyProtection="1">
      <alignment horizontal="right"/>
      <protection hidden="1"/>
    </xf>
    <xf numFmtId="37" fontId="5" fillId="0" borderId="0" xfId="0" applyNumberFormat="1" applyFont="1" applyBorder="1" applyAlignment="1" applyProtection="1">
      <alignment horizontal="right" vertical="top"/>
      <protection hidden="1"/>
    </xf>
    <xf numFmtId="0" fontId="2" fillId="0" borderId="0" xfId="0" applyNumberFormat="1" applyFont="1" applyBorder="1" applyAlignment="1" applyProtection="1">
      <alignment/>
      <protection hidden="1"/>
    </xf>
    <xf numFmtId="37" fontId="4" fillId="0" borderId="0" xfId="0" applyNumberFormat="1" applyFont="1" applyBorder="1" applyAlignment="1" applyProtection="1">
      <alignment/>
      <protection hidden="1"/>
    </xf>
    <xf numFmtId="37" fontId="4" fillId="0" borderId="0" xfId="0" applyNumberFormat="1" applyFont="1" applyBorder="1" applyAlignment="1" applyProtection="1">
      <alignment horizontal="left"/>
      <protection hidden="1"/>
    </xf>
    <xf numFmtId="37" fontId="4" fillId="0" borderId="0" xfId="0" applyNumberFormat="1" applyFont="1" applyBorder="1" applyAlignment="1" applyProtection="1">
      <alignment horizontal="center"/>
      <protection hidden="1"/>
    </xf>
    <xf numFmtId="0" fontId="4" fillId="0" borderId="0" xfId="0" applyNumberFormat="1" applyFont="1" applyBorder="1" applyAlignment="1" applyProtection="1">
      <alignment/>
      <protection hidden="1"/>
    </xf>
    <xf numFmtId="3" fontId="4" fillId="0" borderId="0" xfId="0" applyNumberFormat="1" applyFont="1" applyAlignment="1" applyProtection="1">
      <alignment horizontal="left"/>
      <protection hidden="1"/>
    </xf>
    <xf numFmtId="3" fontId="4" fillId="0" borderId="0" xfId="0" applyNumberFormat="1" applyFont="1" applyAlignment="1" applyProtection="1">
      <alignment/>
      <protection hidden="1"/>
    </xf>
    <xf numFmtId="0" fontId="5" fillId="0" borderId="0" xfId="0" applyNumberFormat="1" applyFont="1" applyAlignment="1" applyProtection="1">
      <alignment vertical="center"/>
      <protection hidden="1"/>
    </xf>
    <xf numFmtId="0" fontId="4" fillId="3" borderId="26" xfId="0" applyFont="1" applyFill="1" applyBorder="1" applyAlignment="1" applyProtection="1">
      <alignment horizontal="left"/>
      <protection hidden="1"/>
    </xf>
    <xf numFmtId="0" fontId="4" fillId="3" borderId="0" xfId="0" applyFont="1" applyFill="1" applyBorder="1" applyAlignment="1" applyProtection="1">
      <alignment horizontal="left"/>
      <protection hidden="1"/>
    </xf>
    <xf numFmtId="0" fontId="4" fillId="3" borderId="0" xfId="0" applyFont="1" applyFill="1" applyBorder="1" applyAlignment="1" applyProtection="1">
      <alignment/>
      <protection hidden="1"/>
    </xf>
    <xf numFmtId="0" fontId="5" fillId="3" borderId="5" xfId="0" applyFont="1" applyFill="1" applyBorder="1" applyAlignment="1" applyProtection="1">
      <alignment horizontal="left"/>
      <protection hidden="1"/>
    </xf>
    <xf numFmtId="0" fontId="3" fillId="0" borderId="0" xfId="0" applyNumberFormat="1" applyFont="1" applyFill="1" applyBorder="1" applyAlignment="1" applyProtection="1">
      <alignment horizontal="left"/>
      <protection hidden="1"/>
    </xf>
    <xf numFmtId="0" fontId="5" fillId="0" borderId="0" xfId="0" applyFont="1" applyBorder="1" applyAlignment="1" applyProtection="1">
      <alignment horizontal="center"/>
      <protection hidden="1"/>
    </xf>
    <xf numFmtId="0" fontId="4" fillId="0" borderId="27" xfId="0" applyFont="1" applyFill="1" applyBorder="1" applyAlignment="1" applyProtection="1">
      <alignment horizontal="left"/>
      <protection hidden="1"/>
    </xf>
    <xf numFmtId="0" fontId="4" fillId="0" borderId="28" xfId="0" applyFont="1" applyFill="1" applyBorder="1" applyAlignment="1" applyProtection="1">
      <alignment/>
      <protection hidden="1"/>
    </xf>
    <xf numFmtId="0" fontId="4" fillId="0" borderId="0" xfId="0" applyFont="1" applyFill="1" applyAlignment="1" applyProtection="1">
      <alignment vertical="center"/>
      <protection hidden="1"/>
    </xf>
    <xf numFmtId="37" fontId="4" fillId="0" borderId="0" xfId="0" applyNumberFormat="1" applyFont="1" applyFill="1" applyAlignment="1" applyProtection="1">
      <alignment vertical="center"/>
      <protection hidden="1"/>
    </xf>
    <xf numFmtId="3" fontId="4" fillId="0" borderId="29" xfId="0" applyNumberFormat="1" applyFont="1" applyFill="1" applyBorder="1" applyAlignment="1" applyProtection="1">
      <alignment horizontal="left"/>
      <protection hidden="1"/>
    </xf>
    <xf numFmtId="0" fontId="4" fillId="0" borderId="29" xfId="0" applyFont="1" applyFill="1" applyBorder="1" applyAlignment="1" applyProtection="1">
      <alignment horizontal="left"/>
      <protection hidden="1"/>
    </xf>
    <xf numFmtId="3" fontId="4" fillId="0" borderId="30" xfId="0" applyNumberFormat="1" applyFont="1" applyFill="1" applyBorder="1" applyAlignment="1" applyProtection="1">
      <alignment horizontal="left"/>
      <protection hidden="1"/>
    </xf>
    <xf numFmtId="0" fontId="4" fillId="0" borderId="19" xfId="0" applyFont="1" applyFill="1" applyBorder="1" applyAlignment="1" applyProtection="1">
      <alignment/>
      <protection hidden="1"/>
    </xf>
    <xf numFmtId="0" fontId="0" fillId="0" borderId="0" xfId="0" applyFill="1" applyBorder="1" applyAlignment="1" applyProtection="1">
      <alignment vertical="center"/>
      <protection hidden="1"/>
    </xf>
    <xf numFmtId="0" fontId="4" fillId="0" borderId="0" xfId="0" applyFont="1" applyAlignment="1" applyProtection="1">
      <alignment horizontal="center"/>
      <protection hidden="1"/>
    </xf>
    <xf numFmtId="0" fontId="4" fillId="3" borderId="16" xfId="0" applyNumberFormat="1" applyFont="1" applyFill="1" applyBorder="1" applyAlignment="1" applyProtection="1">
      <alignment horizontal="left"/>
      <protection hidden="1"/>
    </xf>
    <xf numFmtId="0" fontId="4" fillId="0" borderId="31" xfId="0" applyNumberFormat="1" applyFont="1" applyFill="1" applyBorder="1" applyAlignment="1" applyProtection="1">
      <alignment horizontal="center"/>
      <protection hidden="1"/>
    </xf>
    <xf numFmtId="0" fontId="4" fillId="3" borderId="3" xfId="0" applyNumberFormat="1" applyFont="1" applyFill="1" applyBorder="1" applyAlignment="1" applyProtection="1">
      <alignment horizontal="left"/>
      <protection hidden="1"/>
    </xf>
    <xf numFmtId="0" fontId="4" fillId="0" borderId="13" xfId="0" applyNumberFormat="1" applyFont="1" applyFill="1" applyBorder="1" applyAlignment="1" applyProtection="1">
      <alignment horizontal="left"/>
      <protection hidden="1"/>
    </xf>
    <xf numFmtId="0" fontId="0" fillId="0" borderId="17" xfId="0" applyBorder="1" applyAlignment="1" applyProtection="1">
      <alignment/>
      <protection hidden="1"/>
    </xf>
    <xf numFmtId="0" fontId="4" fillId="0" borderId="32" xfId="0" applyFont="1" applyFill="1" applyBorder="1" applyAlignment="1" applyProtection="1">
      <alignment/>
      <protection hidden="1"/>
    </xf>
    <xf numFmtId="0" fontId="0" fillId="0" borderId="12" xfId="0" applyBorder="1" applyAlignment="1" applyProtection="1">
      <alignment/>
      <protection hidden="1"/>
    </xf>
    <xf numFmtId="0" fontId="5" fillId="0" borderId="5" xfId="0" applyFont="1" applyFill="1" applyBorder="1" applyAlignment="1" applyProtection="1">
      <alignment/>
      <protection hidden="1"/>
    </xf>
    <xf numFmtId="0" fontId="0" fillId="0" borderId="7" xfId="0" applyFill="1" applyBorder="1" applyAlignment="1" applyProtection="1">
      <alignment/>
      <protection hidden="1"/>
    </xf>
    <xf numFmtId="178" fontId="5" fillId="3" borderId="3" xfId="37" applyAlignment="1">
      <alignment/>
      <protection/>
    </xf>
    <xf numFmtId="0" fontId="5" fillId="0" borderId="33" xfId="0" applyFont="1" applyFill="1" applyBorder="1" applyAlignment="1" applyProtection="1">
      <alignment horizontal="right" vertical="top"/>
      <protection hidden="1"/>
    </xf>
    <xf numFmtId="0" fontId="3" fillId="0" borderId="0" xfId="0" applyNumberFormat="1" applyFont="1" applyFill="1" applyBorder="1" applyAlignment="1" applyProtection="1">
      <alignment vertical="center"/>
      <protection hidden="1"/>
    </xf>
    <xf numFmtId="0" fontId="3" fillId="3" borderId="21" xfId="0" applyFont="1" applyFill="1" applyBorder="1" applyAlignment="1" applyProtection="1">
      <alignment horizontal="right" vertical="center"/>
      <protection hidden="1"/>
    </xf>
    <xf numFmtId="37" fontId="3" fillId="0" borderId="34" xfId="0" applyNumberFormat="1" applyFont="1" applyFill="1" applyBorder="1" applyAlignment="1" applyProtection="1">
      <alignment vertical="center"/>
      <protection hidden="1"/>
    </xf>
    <xf numFmtId="0" fontId="3" fillId="0" borderId="0" xfId="0" applyFont="1" applyBorder="1" applyAlignment="1" applyProtection="1">
      <alignment horizontal="left" vertical="center"/>
      <protection hidden="1"/>
    </xf>
    <xf numFmtId="0" fontId="3" fillId="0" borderId="0" xfId="0" applyNumberFormat="1" applyFont="1" applyBorder="1" applyAlignment="1" applyProtection="1">
      <alignment horizontal="center" vertical="center"/>
      <protection hidden="1"/>
    </xf>
    <xf numFmtId="0" fontId="3" fillId="3" borderId="21" xfId="0" applyNumberFormat="1" applyFont="1" applyFill="1" applyBorder="1" applyAlignment="1" applyProtection="1">
      <alignment horizontal="right" vertical="center"/>
      <protection hidden="1"/>
    </xf>
    <xf numFmtId="0" fontId="3" fillId="0" borderId="0" xfId="0" applyFont="1" applyBorder="1" applyAlignment="1" applyProtection="1">
      <alignment horizontal="center" vertical="center"/>
      <protection hidden="1"/>
    </xf>
    <xf numFmtId="37" fontId="3" fillId="0" borderId="0" xfId="0" applyNumberFormat="1" applyFont="1" applyBorder="1" applyAlignment="1" applyProtection="1">
      <alignment horizontal="center" vertical="center"/>
      <protection hidden="1"/>
    </xf>
    <xf numFmtId="37" fontId="3" fillId="3" borderId="14" xfId="0" applyNumberFormat="1" applyFont="1" applyFill="1" applyBorder="1" applyAlignment="1" applyProtection="1">
      <alignment horizontal="right" vertical="center"/>
      <protection hidden="1"/>
    </xf>
    <xf numFmtId="49" fontId="3" fillId="3" borderId="3" xfId="0" applyNumberFormat="1" applyFont="1" applyFill="1" applyBorder="1" applyAlignment="1" applyProtection="1">
      <alignment horizontal="center" vertical="center"/>
      <protection hidden="1"/>
    </xf>
    <xf numFmtId="0" fontId="3" fillId="3" borderId="3" xfId="0" applyFont="1" applyFill="1" applyBorder="1" applyAlignment="1" applyProtection="1">
      <alignment horizontal="right"/>
      <protection hidden="1"/>
    </xf>
    <xf numFmtId="37" fontId="3" fillId="0" borderId="34" xfId="0" applyNumberFormat="1" applyFont="1" applyBorder="1" applyAlignment="1" applyProtection="1">
      <alignment vertical="center"/>
      <protection hidden="1"/>
    </xf>
    <xf numFmtId="37" fontId="3" fillId="3" borderId="16" xfId="0" applyNumberFormat="1" applyFont="1" applyFill="1" applyBorder="1" applyAlignment="1" applyProtection="1">
      <alignment horizontal="center" vertical="center"/>
      <protection hidden="1"/>
    </xf>
    <xf numFmtId="37" fontId="3" fillId="3" borderId="2" xfId="0" applyNumberFormat="1" applyFont="1" applyFill="1" applyBorder="1" applyAlignment="1" applyProtection="1">
      <alignment horizontal="right" vertical="center"/>
      <protection hidden="1"/>
    </xf>
    <xf numFmtId="0" fontId="3" fillId="0" borderId="0" xfId="0" applyNumberFormat="1" applyFont="1" applyBorder="1" applyAlignment="1" applyProtection="1">
      <alignment horizontal="left" vertical="center"/>
      <protection hidden="1"/>
    </xf>
    <xf numFmtId="37" fontId="3" fillId="3" borderId="3" xfId="0" applyNumberFormat="1" applyFont="1" applyFill="1" applyBorder="1" applyAlignment="1" applyProtection="1">
      <alignment horizontal="center" vertical="center"/>
      <protection hidden="1"/>
    </xf>
    <xf numFmtId="0" fontId="3" fillId="0" borderId="34" xfId="0" applyNumberFormat="1" applyFont="1" applyBorder="1" applyAlignment="1" applyProtection="1">
      <alignment horizontal="left" vertical="center"/>
      <protection hidden="1"/>
    </xf>
    <xf numFmtId="3" fontId="3" fillId="3" borderId="21" xfId="0" applyNumberFormat="1" applyFont="1" applyFill="1" applyBorder="1" applyAlignment="1" applyProtection="1">
      <alignment horizontal="left" vertical="center"/>
      <protection hidden="1"/>
    </xf>
    <xf numFmtId="3" fontId="3" fillId="3" borderId="21" xfId="0" applyNumberFormat="1" applyFont="1" applyFill="1" applyBorder="1" applyAlignment="1" applyProtection="1">
      <alignment horizontal="right" vertical="center"/>
      <protection hidden="1"/>
    </xf>
    <xf numFmtId="0" fontId="3" fillId="0" borderId="34" xfId="0" applyNumberFormat="1" applyFont="1" applyBorder="1" applyAlignment="1" applyProtection="1">
      <alignment horizontal="center" vertical="center"/>
      <protection hidden="1"/>
    </xf>
    <xf numFmtId="3" fontId="3" fillId="3" borderId="14" xfId="0" applyNumberFormat="1" applyFont="1" applyFill="1" applyBorder="1" applyAlignment="1" applyProtection="1">
      <alignment horizontal="center" vertical="center"/>
      <protection hidden="1"/>
    </xf>
    <xf numFmtId="2" fontId="3" fillId="3" borderId="14" xfId="0" applyNumberFormat="1" applyFont="1" applyFill="1" applyBorder="1" applyAlignment="1" applyProtection="1">
      <alignment horizontal="right" vertical="center"/>
      <protection hidden="1"/>
    </xf>
    <xf numFmtId="3" fontId="3" fillId="3" borderId="6" xfId="0" applyNumberFormat="1" applyFont="1" applyFill="1" applyBorder="1" applyAlignment="1" applyProtection="1">
      <alignment horizontal="right" vertical="center"/>
      <protection hidden="1"/>
    </xf>
    <xf numFmtId="3" fontId="3" fillId="3" borderId="3" xfId="0" applyNumberFormat="1" applyFont="1" applyFill="1" applyBorder="1" applyAlignment="1" applyProtection="1">
      <alignment horizontal="center" vertical="center"/>
      <protection hidden="1"/>
    </xf>
    <xf numFmtId="37" fontId="3" fillId="3" borderId="3" xfId="0" applyNumberFormat="1" applyFont="1" applyFill="1" applyBorder="1" applyAlignment="1" applyProtection="1">
      <alignment horizontal="right"/>
      <protection hidden="1"/>
    </xf>
    <xf numFmtId="0" fontId="2" fillId="0" borderId="0" xfId="0" applyFont="1" applyBorder="1" applyAlignment="1" applyProtection="1">
      <alignment horizontal="center" vertical="center"/>
      <protection hidden="1"/>
    </xf>
    <xf numFmtId="14" fontId="3" fillId="3" borderId="3" xfId="0" applyNumberFormat="1" applyFont="1" applyFill="1" applyBorder="1" applyAlignment="1" applyProtection="1">
      <alignment horizontal="right" vertical="center"/>
      <protection hidden="1"/>
    </xf>
    <xf numFmtId="49" fontId="4" fillId="0" borderId="18" xfId="0" applyNumberFormat="1" applyFont="1" applyFill="1" applyBorder="1" applyAlignment="1" applyProtection="1">
      <alignment horizontal="left"/>
      <protection hidden="1"/>
    </xf>
    <xf numFmtId="0" fontId="5" fillId="0" borderId="0" xfId="0" applyFont="1" applyFill="1" applyBorder="1" applyAlignment="1" applyProtection="1">
      <alignment/>
      <protection hidden="1"/>
    </xf>
    <xf numFmtId="37" fontId="20" fillId="0" borderId="13" xfId="0" applyNumberFormat="1" applyFont="1" applyFill="1" applyBorder="1" applyAlignment="1" applyProtection="1">
      <alignment/>
      <protection hidden="1" locked="0"/>
    </xf>
    <xf numFmtId="0" fontId="2" fillId="0" borderId="0" xfId="0" applyFont="1" applyAlignment="1" applyProtection="1">
      <alignment horizontal="left"/>
      <protection hidden="1"/>
    </xf>
    <xf numFmtId="49" fontId="4" fillId="0" borderId="0" xfId="0" applyNumberFormat="1" applyFont="1" applyFill="1" applyBorder="1" applyAlignment="1" applyProtection="1">
      <alignment horizontal="left"/>
      <protection hidden="1"/>
    </xf>
    <xf numFmtId="9" fontId="5" fillId="3" borderId="5" xfId="37" applyNumberFormat="1" applyFont="1" applyFill="1" applyBorder="1" applyAlignment="1" applyProtection="1">
      <alignment horizontal="right"/>
      <protection hidden="1"/>
    </xf>
    <xf numFmtId="0" fontId="10" fillId="0" borderId="0" xfId="32" applyFont="1" applyBorder="1" applyAlignment="1" applyProtection="1">
      <alignment horizontal="right"/>
      <protection hidden="1"/>
    </xf>
    <xf numFmtId="0" fontId="14" fillId="0" borderId="0" xfId="0" applyNumberFormat="1" applyFont="1" applyBorder="1" applyAlignment="1" applyProtection="1">
      <alignment horizontal="left"/>
      <protection hidden="1"/>
    </xf>
    <xf numFmtId="37" fontId="2" fillId="0" borderId="0" xfId="0" applyNumberFormat="1" applyFont="1" applyBorder="1" applyAlignment="1" applyProtection="1">
      <alignment vertical="center"/>
      <protection hidden="1"/>
    </xf>
    <xf numFmtId="0" fontId="3" fillId="3" borderId="3"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5" fillId="0" borderId="0" xfId="0" applyFont="1" applyAlignment="1" applyProtection="1">
      <alignment horizontal="right"/>
      <protection hidden="1"/>
    </xf>
    <xf numFmtId="37" fontId="4" fillId="0" borderId="32" xfId="0" applyNumberFormat="1" applyFont="1" applyFill="1" applyBorder="1" applyAlignment="1" applyProtection="1">
      <alignment/>
      <protection hidden="1"/>
    </xf>
    <xf numFmtId="0" fontId="4" fillId="0" borderId="33" xfId="0" applyFont="1" applyBorder="1" applyAlignment="1" applyProtection="1">
      <alignment horizontal="left"/>
      <protection hidden="1"/>
    </xf>
    <xf numFmtId="183" fontId="4" fillId="0" borderId="25" xfId="36" applyBorder="1" applyAlignment="1" applyProtection="1">
      <alignment/>
      <protection hidden="1"/>
    </xf>
    <xf numFmtId="49" fontId="4" fillId="0" borderId="35" xfId="0" applyNumberFormat="1" applyFont="1" applyFill="1" applyBorder="1" applyAlignment="1" applyProtection="1">
      <alignment horizontal="left"/>
      <protection hidden="1"/>
    </xf>
    <xf numFmtId="0" fontId="3" fillId="0" borderId="0" xfId="0" applyNumberFormat="1" applyFont="1" applyFill="1" applyBorder="1" applyAlignment="1" applyProtection="1">
      <alignment horizontal="right" vertical="center"/>
      <protection hidden="1"/>
    </xf>
    <xf numFmtId="49" fontId="3" fillId="0" borderId="0" xfId="0" applyNumberFormat="1" applyFont="1" applyFill="1" applyBorder="1" applyAlignment="1" applyProtection="1">
      <alignment horizontal="right" vertical="center"/>
      <protection hidden="1"/>
    </xf>
    <xf numFmtId="0" fontId="3" fillId="0" borderId="0" xfId="0" applyFont="1" applyFill="1" applyBorder="1" applyAlignment="1" applyProtection="1">
      <alignment horizontal="right" vertical="center"/>
      <protection hidden="1"/>
    </xf>
    <xf numFmtId="178" fontId="4" fillId="0" borderId="36" xfId="34" applyBorder="1" applyAlignment="1" applyProtection="1">
      <alignment/>
      <protection hidden="1"/>
    </xf>
    <xf numFmtId="0" fontId="3" fillId="3" borderId="21" xfId="0" applyFont="1" applyFill="1" applyBorder="1" applyAlignment="1" applyProtection="1">
      <alignment horizontal="right"/>
      <protection hidden="1"/>
    </xf>
    <xf numFmtId="0" fontId="3" fillId="3" borderId="7" xfId="0" applyFont="1" applyFill="1" applyBorder="1" applyAlignment="1" applyProtection="1">
      <alignment horizontal="right"/>
      <protection hidden="1"/>
    </xf>
    <xf numFmtId="0" fontId="3" fillId="3" borderId="14" xfId="0" applyFont="1" applyFill="1" applyBorder="1" applyAlignment="1" applyProtection="1">
      <alignment horizontal="right"/>
      <protection hidden="1"/>
    </xf>
    <xf numFmtId="49" fontId="4" fillId="0" borderId="19" xfId="0" applyNumberFormat="1" applyFont="1" applyFill="1" applyBorder="1" applyAlignment="1" applyProtection="1">
      <alignment horizontal="left"/>
      <protection hidden="1" locked="0"/>
    </xf>
    <xf numFmtId="49" fontId="4" fillId="0" borderId="32" xfId="0" applyNumberFormat="1" applyFont="1" applyFill="1" applyBorder="1" applyAlignment="1" applyProtection="1">
      <alignment horizontal="left"/>
      <protection hidden="1" locked="0"/>
    </xf>
    <xf numFmtId="49" fontId="4" fillId="0" borderId="0" xfId="0" applyNumberFormat="1" applyFont="1" applyFill="1" applyBorder="1" applyAlignment="1" applyProtection="1">
      <alignment horizontal="left"/>
      <protection hidden="1" locked="0"/>
    </xf>
    <xf numFmtId="0" fontId="3" fillId="3" borderId="37" xfId="0" applyFont="1" applyFill="1" applyBorder="1" applyAlignment="1" applyProtection="1">
      <alignment horizontal="right"/>
      <protection hidden="1"/>
    </xf>
    <xf numFmtId="0" fontId="4" fillId="0" borderId="38" xfId="0" applyNumberFormat="1" applyFont="1" applyFill="1" applyBorder="1" applyAlignment="1" applyProtection="1">
      <alignment horizontal="left"/>
      <protection hidden="1"/>
    </xf>
    <xf numFmtId="0" fontId="4" fillId="0" borderId="32" xfId="0" applyNumberFormat="1" applyFont="1" applyFill="1" applyBorder="1" applyAlignment="1" applyProtection="1">
      <alignment horizontal="left"/>
      <protection hidden="1"/>
    </xf>
    <xf numFmtId="188" fontId="4" fillId="0" borderId="39" xfId="0" applyNumberFormat="1" applyFont="1" applyFill="1" applyBorder="1" applyAlignment="1" applyProtection="1">
      <alignment horizontal="left"/>
      <protection hidden="1"/>
    </xf>
    <xf numFmtId="0" fontId="4" fillId="0" borderId="12" xfId="0" applyFont="1" applyFill="1" applyBorder="1" applyAlignment="1" applyProtection="1">
      <alignment/>
      <protection hidden="1"/>
    </xf>
    <xf numFmtId="0" fontId="20" fillId="0" borderId="29" xfId="0" applyFont="1" applyFill="1" applyBorder="1" applyAlignment="1" applyProtection="1">
      <alignment horizontal="left"/>
      <protection hidden="1"/>
    </xf>
    <xf numFmtId="3" fontId="20" fillId="0" borderId="29" xfId="0" applyNumberFormat="1" applyFont="1" applyFill="1" applyBorder="1" applyAlignment="1" applyProtection="1">
      <alignment horizontal="left"/>
      <protection hidden="1"/>
    </xf>
    <xf numFmtId="3" fontId="20" fillId="0" borderId="35" xfId="0" applyNumberFormat="1" applyFont="1" applyFill="1" applyBorder="1" applyAlignment="1" applyProtection="1">
      <alignment horizontal="left"/>
      <protection hidden="1"/>
    </xf>
    <xf numFmtId="3" fontId="20" fillId="0" borderId="30" xfId="0" applyNumberFormat="1" applyFont="1" applyFill="1" applyBorder="1" applyAlignment="1" applyProtection="1">
      <alignment horizontal="left"/>
      <protection hidden="1"/>
    </xf>
    <xf numFmtId="0" fontId="2" fillId="0" borderId="0" xfId="0" applyNumberFormat="1" applyFont="1" applyBorder="1" applyAlignment="1" applyProtection="1">
      <alignment vertical="center"/>
      <protection hidden="1"/>
    </xf>
    <xf numFmtId="0" fontId="2" fillId="0" borderId="0" xfId="0" applyNumberFormat="1" applyFont="1" applyAlignment="1" applyProtection="1">
      <alignment/>
      <protection hidden="1"/>
    </xf>
    <xf numFmtId="0" fontId="3" fillId="3" borderId="8" xfId="0" applyNumberFormat="1" applyFont="1" applyFill="1" applyBorder="1" applyAlignment="1" applyProtection="1">
      <alignment horizontal="left"/>
      <protection hidden="1"/>
    </xf>
    <xf numFmtId="178" fontId="5" fillId="3" borderId="3" xfId="37" applyFont="1" applyFill="1" applyBorder="1" applyAlignment="1" applyProtection="1">
      <alignment/>
      <protection hidden="1"/>
    </xf>
    <xf numFmtId="190" fontId="4" fillId="0" borderId="13" xfId="0" applyNumberFormat="1" applyFont="1" applyFill="1" applyBorder="1" applyAlignment="1" applyProtection="1">
      <alignment/>
      <protection hidden="1" locked="0"/>
    </xf>
    <xf numFmtId="190" fontId="4" fillId="0" borderId="40" xfId="0" applyNumberFormat="1" applyFont="1" applyFill="1" applyBorder="1" applyAlignment="1" applyProtection="1">
      <alignment horizontal="left"/>
      <protection hidden="1" locked="0"/>
    </xf>
    <xf numFmtId="190" fontId="4" fillId="0" borderId="23" xfId="0" applyNumberFormat="1" applyFont="1" applyFill="1" applyBorder="1" applyAlignment="1" applyProtection="1">
      <alignment horizontal="center"/>
      <protection hidden="1" locked="0"/>
    </xf>
    <xf numFmtId="178" fontId="4" fillId="0" borderId="23" xfId="34" applyFill="1" applyBorder="1" applyAlignment="1" applyProtection="1">
      <alignment/>
      <protection hidden="1" locked="0"/>
    </xf>
    <xf numFmtId="187" fontId="4" fillId="0" borderId="23" xfId="35" applyFill="1" applyBorder="1" applyAlignment="1" applyProtection="1">
      <alignment/>
      <protection hidden="1" locked="0"/>
    </xf>
    <xf numFmtId="187" fontId="4" fillId="0" borderId="23" xfId="35" applyFill="1" applyBorder="1" applyAlignment="1" applyProtection="1">
      <alignment/>
      <protection hidden="1"/>
    </xf>
    <xf numFmtId="178" fontId="4" fillId="0" borderId="23" xfId="34" applyFont="1" applyFill="1" applyBorder="1" applyAlignment="1" applyProtection="1">
      <alignment/>
      <protection hidden="1" locked="0"/>
    </xf>
    <xf numFmtId="0" fontId="4" fillId="0" borderId="5" xfId="0" applyFont="1" applyFill="1" applyBorder="1" applyAlignment="1" applyProtection="1">
      <alignment/>
      <protection hidden="1"/>
    </xf>
    <xf numFmtId="0" fontId="3" fillId="3" borderId="16" xfId="0" applyFont="1" applyFill="1" applyBorder="1" applyAlignment="1" applyProtection="1">
      <alignment horizontal="center"/>
      <protection hidden="1"/>
    </xf>
    <xf numFmtId="0" fontId="0" fillId="0" borderId="7" xfId="0" applyBorder="1" applyAlignment="1">
      <alignment horizontal="center"/>
    </xf>
    <xf numFmtId="0" fontId="2" fillId="0" borderId="0" xfId="0" applyNumberFormat="1" applyFont="1" applyAlignment="1" applyProtection="1">
      <alignment horizontal="justify"/>
      <protection hidden="1"/>
    </xf>
    <xf numFmtId="0" fontId="2" fillId="0" borderId="0" xfId="0" applyFont="1" applyAlignment="1">
      <alignment horizontal="justify"/>
    </xf>
    <xf numFmtId="49" fontId="3" fillId="3" borderId="16" xfId="0" applyNumberFormat="1" applyFont="1" applyFill="1" applyBorder="1" applyAlignment="1" applyProtection="1">
      <alignment horizontal="center" vertical="center"/>
      <protection hidden="1"/>
    </xf>
    <xf numFmtId="49" fontId="3" fillId="3" borderId="5" xfId="0" applyNumberFormat="1" applyFont="1" applyFill="1" applyBorder="1" applyAlignment="1" applyProtection="1">
      <alignment horizontal="center" vertical="center"/>
      <protection hidden="1"/>
    </xf>
    <xf numFmtId="49" fontId="3" fillId="3" borderId="16" xfId="0" applyNumberFormat="1" applyFont="1" applyFill="1" applyBorder="1" applyAlignment="1" applyProtection="1">
      <alignment horizontal="right" vertical="center"/>
      <protection hidden="1"/>
    </xf>
    <xf numFmtId="49" fontId="3" fillId="3" borderId="7" xfId="0" applyNumberFormat="1" applyFont="1" applyFill="1" applyBorder="1" applyAlignment="1" applyProtection="1">
      <alignment horizontal="right" vertical="center"/>
      <protection hidden="1"/>
    </xf>
    <xf numFmtId="178" fontId="4" fillId="0" borderId="41" xfId="34" applyFill="1" applyBorder="1" applyAlignment="1" applyProtection="1">
      <alignment/>
      <protection hidden="1" locked="0"/>
    </xf>
    <xf numFmtId="178" fontId="4" fillId="0" borderId="20" xfId="34" applyFill="1" applyBorder="1" applyAlignment="1" applyProtection="1">
      <alignment/>
      <protection hidden="1" locked="0"/>
    </xf>
    <xf numFmtId="178" fontId="5" fillId="0" borderId="0" xfId="34" applyFont="1" applyFill="1" applyBorder="1" applyAlignment="1" applyProtection="1">
      <alignment horizontal="right"/>
      <protection hidden="1"/>
    </xf>
    <xf numFmtId="178" fontId="14" fillId="0" borderId="0" xfId="34" applyFont="1" applyFill="1" applyBorder="1" applyAlignment="1" applyProtection="1">
      <alignment horizontal="right"/>
      <protection hidden="1"/>
    </xf>
    <xf numFmtId="0" fontId="4" fillId="0" borderId="0" xfId="32" applyFont="1" applyFill="1" applyBorder="1" applyAlignment="1" applyProtection="1">
      <alignment horizontal="left"/>
      <protection hidden="1"/>
    </xf>
    <xf numFmtId="37" fontId="4" fillId="0" borderId="0" xfId="0" applyNumberFormat="1"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4" fillId="0" borderId="0" xfId="0" applyFont="1" applyFill="1" applyBorder="1" applyAlignment="1" applyProtection="1">
      <alignment horizontal="left"/>
      <protection hidden="1"/>
    </xf>
    <xf numFmtId="0" fontId="5" fillId="3" borderId="26" xfId="0" applyNumberFormat="1" applyFont="1" applyFill="1" applyBorder="1" applyAlignment="1" applyProtection="1">
      <alignment horizontal="left"/>
      <protection hidden="1"/>
    </xf>
    <xf numFmtId="0" fontId="5" fillId="3" borderId="5" xfId="0" applyNumberFormat="1" applyFont="1" applyFill="1" applyBorder="1" applyAlignment="1" applyProtection="1">
      <alignment horizontal="left"/>
      <protection hidden="1"/>
    </xf>
    <xf numFmtId="0" fontId="5" fillId="3" borderId="0" xfId="0" applyNumberFormat="1" applyFont="1" applyFill="1" applyBorder="1" applyAlignment="1" applyProtection="1">
      <alignment horizontal="left"/>
      <protection hidden="1"/>
    </xf>
    <xf numFmtId="178" fontId="4" fillId="3" borderId="23" xfId="34" applyFill="1" applyBorder="1" applyAlignment="1" applyProtection="1">
      <alignment/>
      <protection hidden="1"/>
    </xf>
    <xf numFmtId="178" fontId="5" fillId="3" borderId="3" xfId="37" applyAlignment="1" applyProtection="1">
      <alignment/>
      <protection hidden="1"/>
    </xf>
    <xf numFmtId="0" fontId="0" fillId="0" borderId="0" xfId="0" applyFont="1" applyFill="1" applyAlignment="1" applyProtection="1">
      <alignment/>
      <protection hidden="1"/>
    </xf>
    <xf numFmtId="0" fontId="0" fillId="0" borderId="0" xfId="0" applyFont="1" applyFill="1" applyBorder="1" applyAlignment="1" applyProtection="1">
      <alignment/>
      <protection hidden="1"/>
    </xf>
    <xf numFmtId="178" fontId="4" fillId="0" borderId="24" xfId="34" applyFill="1" applyBorder="1" applyAlignment="1" applyProtection="1">
      <alignment/>
      <protection hidden="1" locked="0"/>
    </xf>
    <xf numFmtId="37" fontId="4" fillId="0" borderId="6" xfId="0" applyNumberFormat="1" applyFont="1" applyFill="1" applyBorder="1" applyAlignment="1" applyProtection="1">
      <alignment/>
      <protection hidden="1"/>
    </xf>
    <xf numFmtId="37" fontId="4" fillId="0" borderId="42" xfId="0" applyNumberFormat="1" applyFont="1" applyFill="1" applyBorder="1" applyAlignment="1" applyProtection="1">
      <alignment/>
      <protection hidden="1"/>
    </xf>
    <xf numFmtId="178" fontId="4" fillId="0" borderId="43" xfId="34" applyFill="1" applyBorder="1" applyAlignment="1" applyProtection="1">
      <alignment/>
      <protection hidden="1"/>
    </xf>
    <xf numFmtId="37" fontId="3" fillId="3" borderId="7" xfId="0" applyNumberFormat="1" applyFont="1" applyFill="1" applyBorder="1" applyAlignment="1" applyProtection="1">
      <alignment horizontal="center" vertical="center"/>
      <protection hidden="1"/>
    </xf>
    <xf numFmtId="0" fontId="3" fillId="3" borderId="16" xfId="0" applyFont="1" applyFill="1" applyBorder="1" applyAlignment="1" applyProtection="1">
      <alignment horizontal="center" vertical="center"/>
      <protection hidden="1"/>
    </xf>
    <xf numFmtId="0" fontId="3" fillId="3" borderId="7" xfId="0" applyFont="1" applyFill="1" applyBorder="1" applyAlignment="1" applyProtection="1">
      <alignment horizontal="center" vertical="center"/>
      <protection hidden="1"/>
    </xf>
    <xf numFmtId="0" fontId="2" fillId="3" borderId="5" xfId="0" applyFont="1" applyFill="1" applyBorder="1" applyAlignment="1" applyProtection="1">
      <alignment horizontal="center" vertical="center"/>
      <protection hidden="1"/>
    </xf>
    <xf numFmtId="0" fontId="2" fillId="3" borderId="7" xfId="0" applyFont="1" applyFill="1" applyBorder="1" applyAlignment="1" applyProtection="1">
      <alignment horizontal="center" vertical="center"/>
      <protection hidden="1"/>
    </xf>
    <xf numFmtId="183" fontId="4" fillId="0" borderId="23" xfId="36" applyFill="1" applyBorder="1" applyAlignment="1" applyProtection="1">
      <alignment/>
      <protection hidden="1" locked="0"/>
    </xf>
    <xf numFmtId="178" fontId="4" fillId="0" borderId="23" xfId="34" applyFill="1" applyBorder="1" applyAlignment="1" applyProtection="1">
      <alignment/>
      <protection hidden="1"/>
    </xf>
    <xf numFmtId="183" fontId="4" fillId="0" borderId="36" xfId="36" applyFill="1" applyBorder="1" applyAlignment="1" applyProtection="1">
      <alignment/>
      <protection hidden="1" locked="0"/>
    </xf>
    <xf numFmtId="178" fontId="5" fillId="3" borderId="3" xfId="37" applyFill="1" applyAlignment="1" applyProtection="1">
      <alignment/>
      <protection hidden="1"/>
    </xf>
    <xf numFmtId="183" fontId="5" fillId="3" borderId="3" xfId="38" applyAlignment="1" applyProtection="1">
      <alignment/>
      <protection hidden="1"/>
    </xf>
    <xf numFmtId="178" fontId="4" fillId="0" borderId="0" xfId="34" applyFont="1" applyFill="1" applyBorder="1" applyAlignment="1" applyProtection="1">
      <alignment/>
      <protection hidden="1"/>
    </xf>
    <xf numFmtId="178" fontId="5" fillId="0" borderId="5" xfId="37" applyFill="1" applyBorder="1" applyAlignment="1" applyProtection="1">
      <alignment/>
      <protection hidden="1"/>
    </xf>
    <xf numFmtId="178" fontId="5" fillId="3" borderId="5" xfId="34" applyFont="1" applyFill="1" applyBorder="1" applyAlignment="1" applyProtection="1">
      <alignment/>
      <protection hidden="1"/>
    </xf>
    <xf numFmtId="0" fontId="3" fillId="0" borderId="0" xfId="0" applyNumberFormat="1" applyFont="1" applyBorder="1" applyAlignment="1" applyProtection="1">
      <alignment horizontal="left"/>
      <protection hidden="1"/>
    </xf>
    <xf numFmtId="37" fontId="4" fillId="0" borderId="0" xfId="32" applyNumberFormat="1" applyFont="1" applyAlignment="1" applyProtection="1">
      <alignment/>
      <protection hidden="1"/>
    </xf>
    <xf numFmtId="0" fontId="4" fillId="0" borderId="0" xfId="32" applyFont="1" applyAlignment="1" applyProtection="1">
      <alignment/>
      <protection hidden="1"/>
    </xf>
    <xf numFmtId="0" fontId="5" fillId="0" borderId="0" xfId="32" applyFont="1" applyAlignment="1" applyProtection="1">
      <alignment/>
      <protection hidden="1"/>
    </xf>
    <xf numFmtId="0" fontId="4" fillId="0" borderId="27" xfId="32" applyFont="1" applyFill="1" applyBorder="1" applyAlignment="1" applyProtection="1">
      <alignment/>
      <protection hidden="1"/>
    </xf>
    <xf numFmtId="178" fontId="4" fillId="0" borderId="25" xfId="34" applyFill="1" applyBorder="1" applyAlignment="1" applyProtection="1">
      <alignment/>
      <protection hidden="1" locked="0"/>
    </xf>
    <xf numFmtId="0" fontId="4" fillId="0" borderId="0" xfId="32" applyFont="1" applyBorder="1" applyAlignment="1" applyProtection="1">
      <alignment/>
      <protection hidden="1"/>
    </xf>
    <xf numFmtId="183" fontId="4" fillId="0" borderId="38" xfId="36" applyFill="1" applyBorder="1" applyAlignment="1" applyProtection="1">
      <alignment/>
      <protection hidden="1" locked="0"/>
    </xf>
    <xf numFmtId="0" fontId="4" fillId="0" borderId="28" xfId="32" applyFont="1" applyFill="1" applyBorder="1" applyAlignment="1" applyProtection="1">
      <alignment/>
      <protection hidden="1"/>
    </xf>
    <xf numFmtId="178" fontId="4" fillId="5" borderId="36" xfId="34" applyFill="1" applyBorder="1" applyAlignment="1" applyProtection="1">
      <alignment/>
      <protection hidden="1"/>
    </xf>
    <xf numFmtId="178" fontId="4" fillId="0" borderId="44" xfId="34" applyFill="1" applyBorder="1" applyAlignment="1" applyProtection="1">
      <alignment/>
      <protection hidden="1"/>
    </xf>
    <xf numFmtId="0" fontId="5" fillId="3" borderId="3" xfId="32" applyFont="1" applyFill="1" applyBorder="1" applyAlignment="1" applyProtection="1">
      <alignment/>
      <protection hidden="1"/>
    </xf>
    <xf numFmtId="0" fontId="4" fillId="0" borderId="0" xfId="32" applyFont="1" applyFill="1" applyBorder="1" applyAlignment="1" applyProtection="1">
      <alignment/>
      <protection hidden="1"/>
    </xf>
    <xf numFmtId="37" fontId="4" fillId="0" borderId="0" xfId="0" applyNumberFormat="1" applyFont="1" applyFill="1" applyBorder="1" applyAlignment="1" applyProtection="1">
      <alignment/>
      <protection hidden="1"/>
    </xf>
    <xf numFmtId="178" fontId="4" fillId="0" borderId="0" xfId="34" applyFill="1" applyBorder="1" applyAlignment="1" applyProtection="1">
      <alignment/>
      <protection hidden="1"/>
    </xf>
    <xf numFmtId="0" fontId="5" fillId="0" borderId="0" xfId="32" applyFont="1" applyFill="1" applyBorder="1" applyAlignment="1" applyProtection="1">
      <alignment/>
      <protection hidden="1"/>
    </xf>
    <xf numFmtId="178" fontId="5" fillId="0" borderId="0" xfId="37" applyFill="1" applyBorder="1" applyAlignment="1" applyProtection="1">
      <alignment/>
      <protection hidden="1"/>
    </xf>
    <xf numFmtId="183" fontId="5" fillId="3" borderId="3" xfId="38" applyAlignment="1">
      <alignment/>
      <protection/>
    </xf>
    <xf numFmtId="0" fontId="20" fillId="0" borderId="0" xfId="0" applyFont="1" applyFill="1" applyBorder="1" applyAlignment="1" applyProtection="1">
      <alignment/>
      <protection hidden="1"/>
    </xf>
    <xf numFmtId="183" fontId="4" fillId="0" borderId="0" xfId="36" applyFill="1" applyBorder="1" applyAlignment="1">
      <alignment/>
      <protection/>
    </xf>
    <xf numFmtId="178" fontId="4" fillId="0" borderId="17" xfId="34" applyFill="1" applyBorder="1" applyAlignment="1" applyProtection="1">
      <alignment/>
      <protection hidden="1" locked="0"/>
    </xf>
    <xf numFmtId="49" fontId="4" fillId="0" borderId="0" xfId="0" applyNumberFormat="1" applyFont="1" applyBorder="1" applyAlignment="1" applyProtection="1">
      <alignment/>
      <protection hidden="1"/>
    </xf>
    <xf numFmtId="0" fontId="4" fillId="0" borderId="27" xfId="0" applyFont="1" applyFill="1" applyBorder="1" applyAlignment="1" applyProtection="1">
      <alignment/>
      <protection hidden="1"/>
    </xf>
    <xf numFmtId="178" fontId="4" fillId="0" borderId="25" xfId="34" applyBorder="1" applyAlignment="1" applyProtection="1">
      <alignment/>
      <protection hidden="1"/>
    </xf>
    <xf numFmtId="178" fontId="4" fillId="0" borderId="23" xfId="34" applyBorder="1" applyAlignment="1" applyProtection="1">
      <alignment/>
      <protection hidden="1"/>
    </xf>
    <xf numFmtId="0" fontId="5" fillId="3" borderId="3" xfId="0" applyFont="1" applyFill="1" applyBorder="1" applyAlignment="1" applyProtection="1">
      <alignment/>
      <protection hidden="1"/>
    </xf>
    <xf numFmtId="178" fontId="4" fillId="5" borderId="12" xfId="34" applyFill="1" applyBorder="1" applyAlignment="1" applyProtection="1">
      <alignment/>
      <protection hidden="1"/>
    </xf>
    <xf numFmtId="0" fontId="4" fillId="0" borderId="45" xfId="0" applyFont="1" applyFill="1" applyBorder="1" applyAlignment="1" applyProtection="1">
      <alignment/>
      <protection hidden="1"/>
    </xf>
    <xf numFmtId="183" fontId="4" fillId="0" borderId="12" xfId="36" applyFill="1" applyBorder="1" applyAlignment="1" applyProtection="1">
      <alignment/>
      <protection hidden="1" locked="0"/>
    </xf>
    <xf numFmtId="183" fontId="4" fillId="0" borderId="23" xfId="36" applyBorder="1" applyAlignment="1" applyProtection="1">
      <alignment/>
      <protection hidden="1"/>
    </xf>
    <xf numFmtId="0" fontId="4" fillId="0" borderId="46" xfId="0" applyFont="1" applyFill="1" applyBorder="1" applyAlignment="1" applyProtection="1">
      <alignment/>
      <protection hidden="1"/>
    </xf>
    <xf numFmtId="178" fontId="4" fillId="0" borderId="47" xfId="34" applyFill="1" applyBorder="1" applyAlignment="1" applyProtection="1">
      <alignment/>
      <protection hidden="1" locked="0"/>
    </xf>
    <xf numFmtId="178" fontId="5" fillId="3" borderId="7" xfId="37" applyFont="1" applyBorder="1" applyAlignment="1" applyProtection="1">
      <alignment/>
      <protection hidden="1"/>
    </xf>
    <xf numFmtId="178" fontId="5" fillId="0" borderId="0" xfId="37" applyFont="1" applyFill="1" applyBorder="1" applyAlignment="1" applyProtection="1">
      <alignment/>
      <protection hidden="1"/>
    </xf>
    <xf numFmtId="178" fontId="4" fillId="0" borderId="31" xfId="34" applyFont="1" applyFill="1" applyBorder="1" applyAlignment="1" applyProtection="1">
      <alignment/>
      <protection hidden="1"/>
    </xf>
    <xf numFmtId="178" fontId="5" fillId="3" borderId="5" xfId="37" applyFont="1" applyBorder="1" applyAlignment="1" applyProtection="1">
      <alignment/>
      <protection hidden="1"/>
    </xf>
    <xf numFmtId="178" fontId="5" fillId="3" borderId="3" xfId="37" applyBorder="1" applyAlignment="1" applyProtection="1">
      <alignment/>
      <protection hidden="1"/>
    </xf>
    <xf numFmtId="178" fontId="4" fillId="0" borderId="13" xfId="37" applyFont="1" applyFill="1" applyBorder="1" applyAlignment="1" applyProtection="1">
      <alignment/>
      <protection hidden="1"/>
    </xf>
    <xf numFmtId="178" fontId="4" fillId="0" borderId="17" xfId="37" applyFont="1" applyFill="1" applyBorder="1" applyAlignment="1" applyProtection="1">
      <alignment/>
      <protection hidden="1"/>
    </xf>
    <xf numFmtId="0" fontId="4" fillId="0" borderId="13" xfId="0" applyFont="1" applyBorder="1" applyAlignment="1" applyProtection="1">
      <alignment/>
      <protection hidden="1"/>
    </xf>
    <xf numFmtId="183" fontId="4" fillId="0" borderId="13" xfId="36" applyBorder="1" applyAlignment="1" applyProtection="1">
      <alignment/>
      <protection hidden="1"/>
    </xf>
    <xf numFmtId="183" fontId="4" fillId="6" borderId="17" xfId="36" applyFont="1" applyFill="1" applyBorder="1" applyAlignment="1" applyProtection="1">
      <alignment/>
      <protection hidden="1"/>
    </xf>
    <xf numFmtId="183" fontId="4" fillId="0" borderId="23" xfId="36" applyFont="1" applyBorder="1" applyAlignment="1" applyProtection="1">
      <alignment/>
      <protection hidden="1"/>
    </xf>
    <xf numFmtId="183" fontId="4" fillId="0" borderId="0" xfId="36" applyFont="1" applyFill="1" applyBorder="1" applyAlignment="1" applyProtection="1">
      <alignment/>
      <protection hidden="1"/>
    </xf>
    <xf numFmtId="0" fontId="4" fillId="0" borderId="0" xfId="0" applyFont="1" applyFill="1" applyAlignment="1" applyProtection="1">
      <alignment/>
      <protection hidden="1"/>
    </xf>
    <xf numFmtId="0" fontId="4" fillId="0" borderId="29" xfId="0" applyFont="1" applyFill="1" applyBorder="1" applyAlignment="1" applyProtection="1">
      <alignment/>
      <protection hidden="1"/>
    </xf>
    <xf numFmtId="183" fontId="4" fillId="0" borderId="13" xfId="36" applyFont="1" applyFill="1" applyBorder="1" applyAlignment="1" applyProtection="1">
      <alignment/>
      <protection hidden="1"/>
    </xf>
    <xf numFmtId="183" fontId="4" fillId="0" borderId="17" xfId="36" applyFont="1" applyFill="1" applyBorder="1" applyAlignment="1" applyProtection="1">
      <alignment/>
      <protection hidden="1"/>
    </xf>
    <xf numFmtId="183" fontId="4" fillId="0" borderId="6" xfId="36" applyFont="1" applyFill="1" applyBorder="1" applyAlignment="1" applyProtection="1">
      <alignment/>
      <protection hidden="1"/>
    </xf>
    <xf numFmtId="183" fontId="4" fillId="0" borderId="42" xfId="36" applyFont="1" applyFill="1" applyBorder="1" applyAlignment="1" applyProtection="1">
      <alignment/>
      <protection hidden="1"/>
    </xf>
    <xf numFmtId="0" fontId="5" fillId="3" borderId="16" xfId="0" applyFont="1" applyFill="1" applyBorder="1" applyAlignment="1" applyProtection="1">
      <alignment/>
      <protection hidden="1"/>
    </xf>
    <xf numFmtId="183" fontId="5" fillId="3" borderId="5" xfId="36" applyFont="1" applyFill="1" applyBorder="1" applyAlignment="1" applyProtection="1">
      <alignment/>
      <protection hidden="1"/>
    </xf>
    <xf numFmtId="183" fontId="5" fillId="3" borderId="7" xfId="36" applyFont="1" applyFill="1" applyBorder="1" applyAlignment="1" applyProtection="1">
      <alignment/>
      <protection hidden="1"/>
    </xf>
    <xf numFmtId="178" fontId="5" fillId="3" borderId="3" xfId="37" applyFont="1" applyFill="1" applyAlignment="1" applyProtection="1">
      <alignment/>
      <protection hidden="1"/>
    </xf>
    <xf numFmtId="37" fontId="2" fillId="0" borderId="0" xfId="0" applyNumberFormat="1" applyFont="1" applyBorder="1" applyAlignment="1" applyProtection="1">
      <alignment/>
      <protection hidden="1"/>
    </xf>
    <xf numFmtId="178" fontId="4" fillId="0" borderId="23" xfId="34" applyFont="1" applyBorder="1" applyAlignment="1" applyProtection="1">
      <alignment/>
      <protection hidden="1"/>
    </xf>
    <xf numFmtId="0" fontId="4" fillId="0" borderId="35" xfId="0" applyFont="1" applyFill="1" applyBorder="1" applyAlignment="1" applyProtection="1">
      <alignment/>
      <protection hidden="1"/>
    </xf>
    <xf numFmtId="178" fontId="4" fillId="0" borderId="0" xfId="34" applyAlignment="1" applyProtection="1">
      <alignment/>
      <protection hidden="1"/>
    </xf>
    <xf numFmtId="0" fontId="4" fillId="0" borderId="30" xfId="0" applyFont="1" applyFill="1" applyBorder="1" applyAlignment="1" applyProtection="1">
      <alignment/>
      <protection hidden="1"/>
    </xf>
    <xf numFmtId="0" fontId="4" fillId="0" borderId="18" xfId="0" applyFont="1" applyBorder="1" applyAlignment="1" applyProtection="1">
      <alignment/>
      <protection hidden="1"/>
    </xf>
    <xf numFmtId="178" fontId="4" fillId="0" borderId="19" xfId="34" applyBorder="1" applyAlignment="1" applyProtection="1">
      <alignment/>
      <protection hidden="1"/>
    </xf>
    <xf numFmtId="178" fontId="5" fillId="3" borderId="5" xfId="37" applyFont="1" applyFill="1" applyBorder="1" applyAlignment="1" applyProtection="1">
      <alignment/>
      <protection hidden="1"/>
    </xf>
    <xf numFmtId="183" fontId="5" fillId="3" borderId="7" xfId="38" applyFont="1" applyBorder="1" applyAlignment="1" applyProtection="1">
      <alignment/>
      <protection hidden="1"/>
    </xf>
    <xf numFmtId="169" fontId="4" fillId="0" borderId="13" xfId="0" applyNumberFormat="1" applyFont="1" applyFill="1" applyBorder="1" applyAlignment="1" applyProtection="1">
      <alignment/>
      <protection hidden="1"/>
    </xf>
    <xf numFmtId="0" fontId="4" fillId="0" borderId="48" xfId="0" applyFont="1" applyFill="1" applyBorder="1" applyAlignment="1" applyProtection="1">
      <alignment/>
      <protection hidden="1"/>
    </xf>
    <xf numFmtId="178" fontId="4" fillId="0" borderId="48" xfId="34" applyFont="1" applyFill="1" applyBorder="1" applyAlignment="1" applyProtection="1">
      <alignment/>
      <protection hidden="1"/>
    </xf>
    <xf numFmtId="178" fontId="4" fillId="0" borderId="39" xfId="34" applyFont="1" applyFill="1" applyBorder="1" applyAlignment="1" applyProtection="1">
      <alignment/>
      <protection hidden="1"/>
    </xf>
    <xf numFmtId="178" fontId="4" fillId="0" borderId="18" xfId="34" applyFont="1" applyFill="1" applyBorder="1" applyAlignment="1" applyProtection="1">
      <alignment/>
      <protection hidden="1" locked="0"/>
    </xf>
    <xf numFmtId="178" fontId="4" fillId="0" borderId="19" xfId="34" applyFont="1" applyFill="1" applyBorder="1" applyAlignment="1" applyProtection="1">
      <alignment/>
      <protection hidden="1" locked="0"/>
    </xf>
    <xf numFmtId="0" fontId="20" fillId="0" borderId="29" xfId="0" applyFont="1" applyFill="1" applyBorder="1" applyAlignment="1" applyProtection="1">
      <alignment/>
      <protection hidden="1"/>
    </xf>
    <xf numFmtId="0" fontId="20" fillId="0" borderId="35" xfId="0" applyFont="1" applyFill="1" applyBorder="1" applyAlignment="1" applyProtection="1">
      <alignment/>
      <protection hidden="1"/>
    </xf>
    <xf numFmtId="0" fontId="4" fillId="0" borderId="49" xfId="0" applyFont="1" applyBorder="1" applyAlignment="1" applyProtection="1">
      <alignment/>
      <protection hidden="1"/>
    </xf>
    <xf numFmtId="191" fontId="4" fillId="0" borderId="23" xfId="34" applyNumberFormat="1" applyBorder="1" applyAlignment="1" applyProtection="1">
      <alignment/>
      <protection hidden="1"/>
    </xf>
    <xf numFmtId="0" fontId="14" fillId="3" borderId="16" xfId="0" applyFont="1" applyFill="1" applyBorder="1" applyAlignment="1" applyProtection="1">
      <alignment/>
      <protection hidden="1"/>
    </xf>
    <xf numFmtId="183" fontId="5" fillId="3" borderId="5" xfId="38" applyFont="1" applyBorder="1" applyAlignment="1" applyProtection="1">
      <alignment/>
      <protection hidden="1"/>
    </xf>
    <xf numFmtId="2" fontId="4" fillId="0" borderId="0" xfId="0" applyNumberFormat="1" applyFont="1" applyAlignment="1" applyProtection="1">
      <alignment/>
      <protection hidden="1"/>
    </xf>
    <xf numFmtId="37" fontId="4" fillId="0" borderId="27" xfId="0" applyNumberFormat="1" applyFont="1" applyFill="1" applyBorder="1" applyAlignment="1" applyProtection="1">
      <alignment/>
      <protection hidden="1"/>
    </xf>
    <xf numFmtId="178" fontId="4" fillId="0" borderId="17" xfId="34" applyFont="1" applyFill="1" applyBorder="1" applyAlignment="1" applyProtection="1">
      <alignment/>
      <protection hidden="1" locked="0"/>
    </xf>
    <xf numFmtId="183" fontId="4" fillId="0" borderId="23" xfId="36" applyFont="1" applyFill="1" applyBorder="1" applyAlignment="1" applyProtection="1">
      <alignment/>
      <protection hidden="1" locked="0"/>
    </xf>
    <xf numFmtId="183" fontId="19" fillId="6" borderId="25" xfId="36" applyFont="1" applyFill="1" applyBorder="1" applyAlignment="1" applyProtection="1">
      <alignment/>
      <protection hidden="1"/>
    </xf>
    <xf numFmtId="183" fontId="4" fillId="0" borderId="25" xfId="36" applyFont="1" applyFill="1" applyBorder="1" applyAlignment="1" applyProtection="1">
      <alignment/>
      <protection hidden="1" locked="0"/>
    </xf>
    <xf numFmtId="37" fontId="4" fillId="0" borderId="28" xfId="0" applyNumberFormat="1" applyFont="1" applyFill="1" applyBorder="1" applyAlignment="1" applyProtection="1">
      <alignment/>
      <protection hidden="1"/>
    </xf>
    <xf numFmtId="178" fontId="5" fillId="3" borderId="16" xfId="34" applyFont="1" applyFill="1" applyBorder="1" applyAlignment="1" applyProtection="1">
      <alignment/>
      <protection hidden="1"/>
    </xf>
    <xf numFmtId="183" fontId="5" fillId="3" borderId="16" xfId="38" applyBorder="1" applyAlignment="1" applyProtection="1">
      <alignment horizontal="right"/>
      <protection hidden="1"/>
    </xf>
    <xf numFmtId="183" fontId="5" fillId="3" borderId="5" xfId="38" applyBorder="1" applyAlignment="1" applyProtection="1">
      <alignment horizontal="right"/>
      <protection hidden="1"/>
    </xf>
    <xf numFmtId="183" fontId="4" fillId="5" borderId="23" xfId="36" applyFont="1" applyFill="1" applyBorder="1" applyAlignment="1" applyProtection="1">
      <alignment/>
      <protection hidden="1"/>
    </xf>
    <xf numFmtId="183" fontId="4" fillId="5" borderId="36" xfId="36" applyFont="1" applyFill="1" applyBorder="1" applyAlignment="1" applyProtection="1">
      <alignment/>
      <protection hidden="1"/>
    </xf>
    <xf numFmtId="178" fontId="5" fillId="3" borderId="5" xfId="37" applyBorder="1" applyAlignment="1" applyProtection="1">
      <alignment/>
      <protection hidden="1"/>
    </xf>
    <xf numFmtId="183" fontId="5" fillId="3" borderId="5" xfId="38" applyBorder="1" applyAlignment="1" applyProtection="1">
      <alignment/>
      <protection hidden="1"/>
    </xf>
    <xf numFmtId="178" fontId="5" fillId="3" borderId="7" xfId="37" applyBorder="1" applyAlignment="1" applyProtection="1">
      <alignment/>
      <protection hidden="1"/>
    </xf>
    <xf numFmtId="178" fontId="4" fillId="0" borderId="3" xfId="34" applyFont="1" applyFill="1" applyBorder="1" applyAlignment="1" applyProtection="1">
      <alignment/>
      <protection hidden="1" locked="0"/>
    </xf>
    <xf numFmtId="178" fontId="4" fillId="5" borderId="23" xfId="34" applyFont="1" applyFill="1" applyBorder="1" applyAlignment="1" applyProtection="1">
      <alignment/>
      <protection hidden="1"/>
    </xf>
    <xf numFmtId="37" fontId="3" fillId="3" borderId="50" xfId="0" applyNumberFormat="1" applyFont="1" applyFill="1" applyBorder="1" applyAlignment="1" applyProtection="1">
      <alignment horizontal="right" vertical="center"/>
      <protection hidden="1"/>
    </xf>
    <xf numFmtId="0" fontId="2" fillId="0" borderId="37" xfId="0" applyFont="1" applyBorder="1" applyAlignment="1">
      <alignment horizontal="right" vertical="center"/>
    </xf>
    <xf numFmtId="0" fontId="3" fillId="3" borderId="51" xfId="0" applyFont="1" applyFill="1" applyBorder="1" applyAlignment="1" applyProtection="1">
      <alignment horizontal="right" vertical="center"/>
      <protection hidden="1"/>
    </xf>
    <xf numFmtId="0" fontId="2" fillId="0" borderId="22" xfId="0" applyFont="1" applyBorder="1" applyAlignment="1">
      <alignment horizontal="right" vertical="center"/>
    </xf>
    <xf numFmtId="37" fontId="4" fillId="0" borderId="26" xfId="0" applyNumberFormat="1" applyFont="1" applyFill="1" applyBorder="1" applyAlignment="1" applyProtection="1">
      <alignment/>
      <protection hidden="1"/>
    </xf>
    <xf numFmtId="183" fontId="4" fillId="0" borderId="49" xfId="36" applyFont="1" applyFill="1" applyBorder="1" applyAlignment="1" applyProtection="1">
      <alignment/>
      <protection hidden="1" locked="0"/>
    </xf>
    <xf numFmtId="178" fontId="4" fillId="0" borderId="17" xfId="34" applyFont="1" applyFill="1" applyBorder="1" applyAlignment="1" applyProtection="1">
      <alignment/>
      <protection hidden="1"/>
    </xf>
    <xf numFmtId="3" fontId="3" fillId="3" borderId="16" xfId="0" applyNumberFormat="1" applyFont="1" applyFill="1" applyBorder="1" applyAlignment="1" applyProtection="1">
      <alignment horizontal="center" vertical="center"/>
      <protection hidden="1"/>
    </xf>
    <xf numFmtId="3" fontId="3" fillId="3" borderId="5" xfId="0" applyNumberFormat="1" applyFont="1" applyFill="1" applyBorder="1" applyAlignment="1" applyProtection="1">
      <alignment horizontal="center" vertical="center"/>
      <protection hidden="1"/>
    </xf>
    <xf numFmtId="3" fontId="3" fillId="3" borderId="7" xfId="0" applyNumberFormat="1" applyFont="1" applyFill="1" applyBorder="1" applyAlignment="1" applyProtection="1">
      <alignment horizontal="center" vertical="center"/>
      <protection hidden="1"/>
    </xf>
    <xf numFmtId="190" fontId="4" fillId="0" borderId="23" xfId="0" applyNumberFormat="1" applyFont="1" applyFill="1" applyBorder="1" applyAlignment="1" applyProtection="1">
      <alignment/>
      <protection hidden="1" locked="0"/>
    </xf>
    <xf numFmtId="2" fontId="4" fillId="0" borderId="23" xfId="0" applyNumberFormat="1" applyFont="1" applyFill="1" applyBorder="1" applyAlignment="1" applyProtection="1">
      <alignment/>
      <protection hidden="1" locked="0"/>
    </xf>
    <xf numFmtId="181" fontId="5" fillId="3" borderId="16" xfId="34" applyNumberFormat="1" applyFont="1" applyFill="1" applyBorder="1" applyAlignment="1" applyProtection="1">
      <alignment/>
      <protection hidden="1"/>
    </xf>
    <xf numFmtId="181" fontId="5" fillId="3" borderId="5" xfId="34" applyNumberFormat="1" applyFont="1" applyFill="1" applyBorder="1" applyAlignment="1" applyProtection="1">
      <alignment/>
      <protection hidden="1"/>
    </xf>
    <xf numFmtId="3" fontId="5" fillId="0" borderId="0" xfId="0" applyNumberFormat="1" applyFont="1" applyAlignment="1" applyProtection="1">
      <alignment/>
      <protection hidden="1"/>
    </xf>
    <xf numFmtId="183" fontId="4" fillId="0" borderId="36" xfId="36" applyFont="1" applyFill="1" applyBorder="1" applyAlignment="1" applyProtection="1">
      <alignment/>
      <protection hidden="1" locked="0"/>
    </xf>
    <xf numFmtId="183" fontId="4" fillId="0" borderId="36" xfId="36" applyFont="1" applyFill="1" applyBorder="1" applyAlignment="1" applyProtection="1">
      <alignment/>
      <protection hidden="1"/>
    </xf>
    <xf numFmtId="37" fontId="14" fillId="3" borderId="5" xfId="0" applyNumberFormat="1" applyFont="1" applyFill="1" applyBorder="1" applyAlignment="1" applyProtection="1">
      <alignment/>
      <protection hidden="1"/>
    </xf>
    <xf numFmtId="0" fontId="3" fillId="3" borderId="3" xfId="0" applyFont="1" applyFill="1" applyBorder="1" applyAlignment="1" applyProtection="1">
      <alignment/>
      <protection hidden="1"/>
    </xf>
    <xf numFmtId="178" fontId="4" fillId="0" borderId="0" xfId="34" applyFont="1" applyFill="1" applyBorder="1" applyAlignment="1" applyProtection="1">
      <alignment/>
      <protection hidden="1" locked="0"/>
    </xf>
    <xf numFmtId="178" fontId="4" fillId="0" borderId="13" xfId="34" applyFont="1" applyFill="1" applyBorder="1" applyAlignment="1" applyProtection="1">
      <alignment/>
      <protection hidden="1" locked="0"/>
    </xf>
    <xf numFmtId="178" fontId="4" fillId="0" borderId="26" xfId="34" applyFont="1" applyFill="1" applyBorder="1" applyAlignment="1" applyProtection="1">
      <alignment/>
      <protection hidden="1" locked="0"/>
    </xf>
    <xf numFmtId="178" fontId="4" fillId="0" borderId="52" xfId="34" applyFont="1" applyFill="1" applyBorder="1" applyAlignment="1" applyProtection="1">
      <alignment/>
      <protection hidden="1"/>
    </xf>
    <xf numFmtId="178" fontId="5" fillId="3" borderId="21" xfId="37" applyFont="1" applyFill="1" applyBorder="1" applyAlignment="1" applyProtection="1">
      <alignment/>
      <protection hidden="1"/>
    </xf>
    <xf numFmtId="178" fontId="4" fillId="3" borderId="14" xfId="34" applyFont="1" applyFill="1" applyBorder="1" applyAlignment="1" applyProtection="1">
      <alignment/>
      <protection hidden="1" locked="0"/>
    </xf>
    <xf numFmtId="178" fontId="4" fillId="0" borderId="32" xfId="34" applyFont="1" applyFill="1" applyBorder="1" applyAlignment="1" applyProtection="1">
      <alignment/>
      <protection hidden="1"/>
    </xf>
    <xf numFmtId="178" fontId="4" fillId="0" borderId="25" xfId="34" applyFont="1" applyFill="1" applyBorder="1" applyAlignment="1" applyProtection="1">
      <alignment/>
      <protection hidden="1" locked="0"/>
    </xf>
    <xf numFmtId="178" fontId="4" fillId="0" borderId="38" xfId="34" applyFont="1" applyBorder="1" applyAlignment="1" applyProtection="1">
      <alignment/>
      <protection hidden="1"/>
    </xf>
    <xf numFmtId="178" fontId="4" fillId="0" borderId="23" xfId="34" applyFill="1" applyBorder="1" applyProtection="1">
      <alignment/>
      <protection/>
    </xf>
    <xf numFmtId="178" fontId="4" fillId="0" borderId="23" xfId="34" applyFont="1" applyFill="1" applyBorder="1" applyProtection="1">
      <alignment/>
      <protection locked="0"/>
    </xf>
    <xf numFmtId="0" fontId="1" fillId="0" borderId="0" xfId="0" applyNumberFormat="1" applyFont="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1"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2" fillId="0" borderId="5"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2" fillId="0" borderId="5" xfId="0" applyFont="1" applyBorder="1" applyAlignment="1" applyProtection="1">
      <alignment horizontal="left" vertical="center"/>
      <protection/>
    </xf>
    <xf numFmtId="0" fontId="3" fillId="0" borderId="5" xfId="0" applyNumberFormat="1" applyFont="1" applyBorder="1" applyAlignment="1" applyProtection="1">
      <alignment vertical="center"/>
      <protection/>
    </xf>
    <xf numFmtId="186" fontId="2" fillId="0" borderId="6" xfId="0" applyNumberFormat="1" applyFont="1" applyBorder="1" applyAlignment="1" applyProtection="1">
      <alignment horizontal="right" vertical="center"/>
      <protection/>
    </xf>
    <xf numFmtId="0" fontId="2"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5" fillId="0" borderId="0" xfId="0" applyNumberFormat="1" applyFont="1" applyBorder="1" applyAlignment="1" applyProtection="1">
      <alignment horizontal="left"/>
      <protection/>
    </xf>
    <xf numFmtId="37" fontId="5" fillId="0" borderId="0" xfId="0" applyNumberFormat="1" applyFont="1" applyBorder="1" applyAlignment="1" applyProtection="1">
      <alignment/>
      <protection/>
    </xf>
    <xf numFmtId="0" fontId="5" fillId="0" borderId="0" xfId="0" applyFont="1" applyBorder="1" applyAlignment="1" applyProtection="1">
      <alignment horizontal="right" vertical="top"/>
      <protection/>
    </xf>
    <xf numFmtId="0" fontId="5" fillId="0" borderId="0" xfId="0" applyFont="1" applyBorder="1" applyAlignment="1" applyProtection="1">
      <alignment horizontal="right"/>
      <protection/>
    </xf>
    <xf numFmtId="0" fontId="4" fillId="0" borderId="0" xfId="0" applyFont="1" applyBorder="1" applyAlignment="1" applyProtection="1">
      <alignment/>
      <protection/>
    </xf>
    <xf numFmtId="37" fontId="5" fillId="0" borderId="0" xfId="0" applyNumberFormat="1" applyFont="1" applyBorder="1" applyAlignment="1" applyProtection="1">
      <alignment horizontal="left"/>
      <protection/>
    </xf>
    <xf numFmtId="0" fontId="4" fillId="0" borderId="0" xfId="0" applyFont="1" applyAlignment="1" applyProtection="1">
      <alignment/>
      <protection/>
    </xf>
    <xf numFmtId="0" fontId="5" fillId="0" borderId="0" xfId="0" applyNumberFormat="1" applyFont="1" applyAlignment="1" applyProtection="1">
      <alignment/>
      <protection/>
    </xf>
    <xf numFmtId="0" fontId="4" fillId="0" borderId="0" xfId="0" applyFont="1" applyAlignment="1" applyProtection="1">
      <alignment/>
      <protection/>
    </xf>
    <xf numFmtId="0" fontId="5" fillId="0" borderId="0" xfId="0" applyFont="1" applyBorder="1" applyAlignment="1" applyProtection="1">
      <alignment horizontal="left"/>
      <protection/>
    </xf>
    <xf numFmtId="0" fontId="5" fillId="0" borderId="0" xfId="0" applyFont="1" applyBorder="1" applyAlignment="1" applyProtection="1">
      <alignment/>
      <protection/>
    </xf>
    <xf numFmtId="0" fontId="4" fillId="0" borderId="0" xfId="0" applyFont="1" applyAlignment="1" applyProtection="1">
      <alignment horizontal="left"/>
      <protection/>
    </xf>
    <xf numFmtId="0" fontId="5" fillId="0" borderId="0" xfId="0" applyFont="1" applyAlignment="1" applyProtection="1">
      <alignment/>
      <protection/>
    </xf>
    <xf numFmtId="0" fontId="4" fillId="0" borderId="0" xfId="0" applyFont="1" applyAlignment="1" applyProtection="1">
      <alignment vertical="top"/>
      <protection/>
    </xf>
    <xf numFmtId="0" fontId="0" fillId="0" borderId="0" xfId="0" applyBorder="1" applyAlignment="1" applyProtection="1">
      <alignment/>
      <protection/>
    </xf>
    <xf numFmtId="0" fontId="0" fillId="0" borderId="0" xfId="0" applyFill="1" applyAlignment="1" applyProtection="1">
      <alignment/>
      <protection/>
    </xf>
    <xf numFmtId="0" fontId="5" fillId="0" borderId="0" xfId="0" applyNumberFormat="1" applyFont="1" applyAlignment="1" applyProtection="1">
      <alignment/>
      <protection/>
    </xf>
    <xf numFmtId="0" fontId="5" fillId="0" borderId="0" xfId="0" applyFont="1" applyAlignment="1" applyProtection="1">
      <alignment/>
      <protection/>
    </xf>
    <xf numFmtId="0" fontId="4" fillId="0" borderId="0" xfId="0" applyFont="1" applyBorder="1" applyAlignment="1" applyProtection="1">
      <alignment/>
      <protection/>
    </xf>
    <xf numFmtId="0" fontId="4" fillId="0" borderId="17" xfId="0" applyFont="1" applyFill="1" applyBorder="1" applyAlignment="1" applyProtection="1">
      <alignment/>
      <protection/>
    </xf>
    <xf numFmtId="0" fontId="4" fillId="0" borderId="0" xfId="0" applyFont="1" applyFill="1" applyAlignment="1" applyProtection="1">
      <alignment vertical="center"/>
      <protection/>
    </xf>
    <xf numFmtId="37" fontId="4" fillId="0" borderId="0" xfId="0" applyNumberFormat="1" applyFont="1" applyAlignment="1" applyProtection="1">
      <alignment horizontal="left"/>
      <protection/>
    </xf>
    <xf numFmtId="2" fontId="4" fillId="0" borderId="0" xfId="0" applyNumberFormat="1" applyFont="1" applyAlignment="1" applyProtection="1">
      <alignment/>
      <protection/>
    </xf>
    <xf numFmtId="37" fontId="4" fillId="0" borderId="0" xfId="0" applyNumberFormat="1" applyFont="1" applyAlignment="1" applyProtection="1">
      <alignment/>
      <protection/>
    </xf>
    <xf numFmtId="0" fontId="5" fillId="0" borderId="0" xfId="0" applyFont="1" applyBorder="1" applyAlignment="1" applyProtection="1">
      <alignment/>
      <protection/>
    </xf>
    <xf numFmtId="37" fontId="5" fillId="3" borderId="3" xfId="0" applyNumberFormat="1" applyFont="1" applyFill="1" applyBorder="1" applyAlignment="1" applyProtection="1">
      <alignment horizontal="right"/>
      <protection/>
    </xf>
    <xf numFmtId="0" fontId="4" fillId="0" borderId="0" xfId="0" applyFont="1" applyBorder="1" applyAlignment="1" applyProtection="1">
      <alignment horizontal="left"/>
      <protection/>
    </xf>
    <xf numFmtId="37" fontId="4" fillId="0" borderId="0" xfId="0" applyNumberFormat="1" applyFont="1" applyBorder="1" applyAlignment="1" applyProtection="1">
      <alignment/>
      <protection/>
    </xf>
    <xf numFmtId="49" fontId="4" fillId="0" borderId="23" xfId="0" applyNumberFormat="1" applyFont="1" applyFill="1" applyBorder="1" applyAlignment="1" applyProtection="1">
      <alignment horizontal="left"/>
      <protection locked="0"/>
    </xf>
    <xf numFmtId="178" fontId="4" fillId="0" borderId="23" xfId="34" applyFont="1" applyBorder="1" applyProtection="1">
      <alignment/>
      <protection/>
    </xf>
    <xf numFmtId="0" fontId="5" fillId="0" borderId="0" xfId="0" applyFont="1" applyFill="1" applyBorder="1" applyAlignment="1" applyProtection="1">
      <alignment/>
      <protection/>
    </xf>
    <xf numFmtId="49" fontId="4" fillId="0" borderId="0" xfId="0" applyNumberFormat="1" applyFont="1" applyBorder="1" applyAlignment="1" applyProtection="1">
      <alignment horizontal="center"/>
      <protection/>
    </xf>
    <xf numFmtId="0" fontId="4" fillId="0" borderId="0" xfId="0" applyFont="1" applyFill="1" applyAlignment="1" applyProtection="1">
      <alignment/>
      <protection/>
    </xf>
    <xf numFmtId="0" fontId="0" fillId="0" borderId="0" xfId="0" applyFont="1" applyAlignment="1" applyProtection="1">
      <alignment/>
      <protection/>
    </xf>
    <xf numFmtId="0" fontId="2" fillId="0" borderId="0" xfId="0" applyFont="1" applyAlignment="1" applyProtection="1">
      <alignment/>
      <protection/>
    </xf>
    <xf numFmtId="37" fontId="4" fillId="0" borderId="0" xfId="0" applyNumberFormat="1" applyFont="1" applyAlignment="1" applyProtection="1">
      <alignment/>
      <protection/>
    </xf>
    <xf numFmtId="178" fontId="4" fillId="0" borderId="17" xfId="34" applyFont="1" applyFill="1" applyBorder="1" applyProtection="1">
      <alignment/>
      <protection locked="0"/>
    </xf>
    <xf numFmtId="183" fontId="4" fillId="0" borderId="23" xfId="36" applyFont="1" applyFill="1" applyBorder="1" applyProtection="1">
      <alignment/>
      <protection locked="0"/>
    </xf>
    <xf numFmtId="178" fontId="4" fillId="0" borderId="25" xfId="34" applyFont="1" applyBorder="1" applyAlignment="1" applyProtection="1">
      <alignment/>
      <protection/>
    </xf>
    <xf numFmtId="183" fontId="4" fillId="0" borderId="25" xfId="36" applyFont="1" applyFill="1" applyBorder="1" applyProtection="1">
      <alignment/>
      <protection locked="0"/>
    </xf>
    <xf numFmtId="37" fontId="5" fillId="0" borderId="0" xfId="0" applyNumberFormat="1" applyFont="1" applyBorder="1" applyAlignment="1" applyProtection="1">
      <alignment horizontal="right"/>
      <protection/>
    </xf>
    <xf numFmtId="178" fontId="4" fillId="0" borderId="25" xfId="34" applyFont="1" applyBorder="1" applyProtection="1">
      <alignment/>
      <protection/>
    </xf>
    <xf numFmtId="183" fontId="4" fillId="0" borderId="23" xfId="36" applyFont="1" applyFill="1" applyBorder="1" applyProtection="1">
      <alignment/>
      <protection/>
    </xf>
    <xf numFmtId="0" fontId="2" fillId="0" borderId="0" xfId="0" applyFont="1" applyBorder="1" applyAlignment="1" applyProtection="1">
      <alignment vertical="center"/>
      <protection/>
    </xf>
    <xf numFmtId="37" fontId="5" fillId="0" borderId="0" xfId="0" applyNumberFormat="1" applyFont="1" applyBorder="1" applyAlignment="1" applyProtection="1">
      <alignment horizontal="right" vertical="top"/>
      <protection/>
    </xf>
    <xf numFmtId="37" fontId="4" fillId="0" borderId="0" xfId="0" applyNumberFormat="1" applyFont="1" applyBorder="1" applyAlignment="1" applyProtection="1">
      <alignment/>
      <protection/>
    </xf>
    <xf numFmtId="167" fontId="4" fillId="0" borderId="23" xfId="0" applyNumberFormat="1" applyFont="1" applyFill="1" applyBorder="1" applyAlignment="1" applyProtection="1">
      <alignment horizontal="center"/>
      <protection/>
    </xf>
    <xf numFmtId="0" fontId="4" fillId="0" borderId="13" xfId="0" applyFont="1" applyFill="1" applyBorder="1" applyAlignment="1" applyProtection="1">
      <alignment/>
      <protection/>
    </xf>
    <xf numFmtId="0" fontId="2"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4" fillId="0" borderId="23" xfId="0" applyNumberFormat="1" applyFont="1" applyFill="1" applyBorder="1" applyAlignment="1" applyProtection="1">
      <alignment horizontal="center"/>
      <protection locked="0"/>
    </xf>
    <xf numFmtId="3" fontId="4" fillId="0" borderId="0" xfId="0" applyNumberFormat="1" applyFont="1" applyBorder="1" applyAlignment="1" applyProtection="1">
      <alignment horizontal="center"/>
      <protection/>
    </xf>
    <xf numFmtId="0" fontId="2" fillId="0" borderId="0" xfId="0" applyFont="1" applyBorder="1" applyAlignment="1" applyProtection="1">
      <alignment/>
      <protection/>
    </xf>
    <xf numFmtId="178" fontId="2" fillId="0" borderId="13" xfId="34" applyFont="1" applyFill="1" applyBorder="1" applyAlignment="1" applyProtection="1">
      <alignment horizontal="right"/>
      <protection/>
    </xf>
    <xf numFmtId="178" fontId="2" fillId="0" borderId="17" xfId="34" applyFont="1" applyFill="1" applyBorder="1" applyAlignment="1" applyProtection="1">
      <alignment horizontal="right"/>
      <protection/>
    </xf>
    <xf numFmtId="178" fontId="2" fillId="0" borderId="0" xfId="0" applyNumberFormat="1" applyFont="1" applyBorder="1" applyAlignment="1" applyProtection="1">
      <alignment/>
      <protection/>
    </xf>
    <xf numFmtId="37" fontId="4" fillId="0" borderId="0" xfId="0" applyNumberFormat="1" applyFont="1" applyFill="1" applyAlignment="1" applyProtection="1">
      <alignment vertical="center"/>
      <protection/>
    </xf>
    <xf numFmtId="168" fontId="4" fillId="0" borderId="23" xfId="0" applyNumberFormat="1" applyFont="1" applyFill="1" applyBorder="1" applyAlignment="1" applyProtection="1">
      <alignment/>
      <protection locked="0"/>
    </xf>
    <xf numFmtId="0" fontId="4" fillId="0" borderId="0" xfId="0" applyFont="1" applyAlignment="1" applyProtection="1">
      <alignment horizontal="justify"/>
      <protection/>
    </xf>
    <xf numFmtId="0" fontId="3" fillId="0" borderId="0" xfId="0" applyFont="1" applyAlignment="1" applyProtection="1">
      <alignment/>
      <protection/>
    </xf>
    <xf numFmtId="0" fontId="17" fillId="0" borderId="0" xfId="0" applyFont="1" applyAlignment="1" applyProtection="1">
      <alignment/>
      <protection/>
    </xf>
    <xf numFmtId="0" fontId="0" fillId="0" borderId="0" xfId="0" applyAlignment="1" applyProtection="1">
      <alignment horizontal="justify" wrapText="1"/>
      <protection/>
    </xf>
    <xf numFmtId="0" fontId="0" fillId="0" borderId="53" xfId="0" applyBorder="1" applyAlignment="1" applyProtection="1">
      <alignment/>
      <protection/>
    </xf>
    <xf numFmtId="0" fontId="1" fillId="0" borderId="54" xfId="0" applyFont="1" applyBorder="1" applyAlignment="1" applyProtection="1">
      <alignment/>
      <protection/>
    </xf>
    <xf numFmtId="0" fontId="0" fillId="0" borderId="54" xfId="0" applyBorder="1" applyAlignment="1" applyProtection="1">
      <alignment/>
      <protection/>
    </xf>
    <xf numFmtId="0" fontId="0" fillId="0" borderId="54" xfId="0" applyBorder="1" applyAlignment="1" applyProtection="1">
      <alignment/>
      <protection/>
    </xf>
    <xf numFmtId="0" fontId="0" fillId="0" borderId="55" xfId="0" applyBorder="1" applyAlignment="1" applyProtection="1">
      <alignment/>
      <protection/>
    </xf>
    <xf numFmtId="0" fontId="0" fillId="0" borderId="56" xfId="0" applyBorder="1" applyAlignment="1" applyProtection="1">
      <alignment/>
      <protection/>
    </xf>
    <xf numFmtId="0" fontId="0" fillId="0" borderId="57" xfId="0" applyBorder="1" applyAlignment="1" applyProtection="1">
      <alignment/>
      <protection/>
    </xf>
    <xf numFmtId="0" fontId="1" fillId="0" borderId="16" xfId="0" applyFont="1" applyBorder="1" applyAlignment="1" applyProtection="1">
      <alignment vertical="top"/>
      <protection/>
    </xf>
    <xf numFmtId="0" fontId="0" fillId="0" borderId="7" xfId="0" applyBorder="1" applyAlignment="1" applyProtection="1">
      <alignment vertical="top" wrapText="1"/>
      <protection/>
    </xf>
    <xf numFmtId="0" fontId="0" fillId="0" borderId="0" xfId="0" applyBorder="1" applyAlignment="1" applyProtection="1">
      <alignment vertical="top" wrapText="1"/>
      <protection/>
    </xf>
    <xf numFmtId="0" fontId="0" fillId="0" borderId="57" xfId="0" applyBorder="1" applyAlignment="1" applyProtection="1">
      <alignment/>
      <protection/>
    </xf>
    <xf numFmtId="0" fontId="0" fillId="0" borderId="58" xfId="0" applyFill="1" applyBorder="1" applyAlignment="1" applyProtection="1">
      <alignment/>
      <protection/>
    </xf>
    <xf numFmtId="0" fontId="0" fillId="0" borderId="59" xfId="0" applyFill="1" applyBorder="1" applyAlignment="1" applyProtection="1">
      <alignment/>
      <protection/>
    </xf>
    <xf numFmtId="0" fontId="0" fillId="0" borderId="59" xfId="0" applyFill="1" applyBorder="1" applyAlignment="1" applyProtection="1">
      <alignment vertical="top" wrapText="1"/>
      <protection/>
    </xf>
    <xf numFmtId="0" fontId="0" fillId="0" borderId="59" xfId="0" applyFill="1" applyBorder="1" applyAlignment="1" applyProtection="1">
      <alignment vertical="top"/>
      <protection/>
    </xf>
    <xf numFmtId="0" fontId="0" fillId="0" borderId="60" xfId="0" applyFill="1" applyBorder="1" applyAlignment="1" applyProtection="1">
      <alignment/>
      <protection/>
    </xf>
    <xf numFmtId="0" fontId="4" fillId="0" borderId="0" xfId="0" applyFont="1" applyBorder="1" applyAlignment="1" applyProtection="1">
      <alignment horizontal="center" wrapText="1"/>
      <protection/>
    </xf>
    <xf numFmtId="0" fontId="4" fillId="0" borderId="0" xfId="0" applyFont="1" applyAlignment="1" applyProtection="1">
      <alignment horizontal="justify" wrapText="1"/>
      <protection/>
    </xf>
    <xf numFmtId="0" fontId="4" fillId="0" borderId="5" xfId="0" applyFont="1" applyBorder="1" applyAlignment="1" applyProtection="1">
      <alignment vertical="center"/>
      <protection/>
    </xf>
    <xf numFmtId="0" fontId="0" fillId="0" borderId="0" xfId="0" applyBorder="1" applyAlignment="1" applyProtection="1">
      <alignment vertical="center"/>
      <protection/>
    </xf>
    <xf numFmtId="0" fontId="5" fillId="0" borderId="0" xfId="0" applyFont="1" applyBorder="1" applyAlignment="1" applyProtection="1">
      <alignment vertical="center" wrapText="1"/>
      <protection/>
    </xf>
    <xf numFmtId="0" fontId="4" fillId="0" borderId="6" xfId="0" applyFont="1" applyBorder="1" applyAlignment="1" applyProtection="1">
      <alignment vertical="center"/>
      <protection/>
    </xf>
    <xf numFmtId="0" fontId="5" fillId="0" borderId="0" xfId="0" applyFont="1" applyBorder="1" applyAlignment="1" applyProtection="1">
      <alignment vertical="center"/>
      <protection/>
    </xf>
    <xf numFmtId="37" fontId="4" fillId="0" borderId="0" xfId="0" applyNumberFormat="1" applyFont="1" applyBorder="1" applyAlignment="1" applyProtection="1">
      <alignment vertical="center"/>
      <protection/>
    </xf>
    <xf numFmtId="0" fontId="0" fillId="0" borderId="0" xfId="0" applyFont="1" applyAlignment="1" applyProtection="1">
      <alignment horizontal="left"/>
      <protection/>
    </xf>
    <xf numFmtId="0" fontId="1" fillId="0" borderId="0" xfId="0" applyNumberFormat="1" applyFont="1" applyAlignment="1" applyProtection="1">
      <alignment horizontal="justify"/>
      <protection/>
    </xf>
    <xf numFmtId="0" fontId="0" fillId="0" borderId="0" xfId="0" applyFont="1" applyAlignment="1" applyProtection="1">
      <alignment horizontal="justify"/>
      <protection/>
    </xf>
    <xf numFmtId="0" fontId="1" fillId="0" borderId="0" xfId="0" applyFont="1" applyBorder="1" applyAlignment="1" applyProtection="1">
      <alignment horizontal="justify"/>
      <protection/>
    </xf>
    <xf numFmtId="170" fontId="4" fillId="0" borderId="0" xfId="0" applyNumberFormat="1" applyFont="1" applyAlignment="1" applyProtection="1">
      <alignment/>
      <protection/>
    </xf>
    <xf numFmtId="37" fontId="5" fillId="0" borderId="0" xfId="0" applyNumberFormat="1" applyFont="1" applyAlignment="1" applyProtection="1">
      <alignment/>
      <protection/>
    </xf>
    <xf numFmtId="0" fontId="4" fillId="0" borderId="0" xfId="0" applyNumberFormat="1" applyFont="1" applyAlignment="1" applyProtection="1">
      <alignment/>
      <protection/>
    </xf>
    <xf numFmtId="0" fontId="4" fillId="0" borderId="0" xfId="0" applyFont="1" applyAlignment="1" applyProtection="1">
      <alignment wrapText="1"/>
      <protection/>
    </xf>
    <xf numFmtId="0" fontId="4" fillId="0" borderId="0" xfId="0" applyFont="1" applyBorder="1" applyAlignment="1" applyProtection="1">
      <alignment horizontal="justify"/>
      <protection/>
    </xf>
    <xf numFmtId="37" fontId="4" fillId="0" borderId="0" xfId="0" applyNumberFormat="1" applyFont="1" applyAlignment="1" applyProtection="1">
      <alignment horizontal="justify"/>
      <protection/>
    </xf>
    <xf numFmtId="170" fontId="0" fillId="0" borderId="0" xfId="0" applyNumberFormat="1" applyFont="1" applyAlignment="1" applyProtection="1">
      <alignment/>
      <protection/>
    </xf>
    <xf numFmtId="170" fontId="0" fillId="0" borderId="0" xfId="0" applyNumberFormat="1" applyFont="1" applyAlignment="1" applyProtection="1">
      <alignment horizontal="justify"/>
      <protection/>
    </xf>
    <xf numFmtId="0" fontId="5" fillId="0" borderId="0" xfId="0" applyNumberFormat="1" applyFont="1" applyAlignment="1" applyProtection="1">
      <alignment horizontal="justify"/>
      <protection/>
    </xf>
    <xf numFmtId="176" fontId="4" fillId="0" borderId="61" xfId="0" applyNumberFormat="1" applyFont="1" applyFill="1" applyBorder="1" applyAlignment="1" applyProtection="1">
      <alignment horizontal="left"/>
      <protection locked="0"/>
    </xf>
    <xf numFmtId="176" fontId="4" fillId="0" borderId="36" xfId="0" applyNumberFormat="1" applyFont="1" applyFill="1" applyBorder="1" applyAlignment="1" applyProtection="1">
      <alignment horizontal="left"/>
      <protection locked="0"/>
    </xf>
    <xf numFmtId="168" fontId="4" fillId="0" borderId="23" xfId="34" applyNumberFormat="1" applyFont="1" applyFill="1" applyBorder="1" applyProtection="1">
      <alignment/>
      <protection locked="0"/>
    </xf>
    <xf numFmtId="14" fontId="4" fillId="0" borderId="23" xfId="0" applyNumberFormat="1" applyFont="1" applyFill="1" applyBorder="1" applyAlignment="1" applyProtection="1">
      <alignment horizontal="left"/>
      <protection locked="0"/>
    </xf>
    <xf numFmtId="0" fontId="4" fillId="0" borderId="13" xfId="0" applyFont="1" applyFill="1" applyBorder="1" applyAlignment="1" applyProtection="1">
      <alignment/>
      <protection hidden="1"/>
    </xf>
    <xf numFmtId="0" fontId="4" fillId="3" borderId="5" xfId="0" applyFont="1" applyFill="1" applyBorder="1" applyAlignment="1" applyProtection="1">
      <alignment/>
      <protection hidden="1"/>
    </xf>
    <xf numFmtId="37" fontId="4" fillId="0" borderId="3" xfId="0" applyNumberFormat="1" applyFont="1" applyFill="1" applyBorder="1" applyAlignment="1" applyProtection="1">
      <alignment vertical="center"/>
      <protection locked="0"/>
    </xf>
    <xf numFmtId="0" fontId="5" fillId="0" borderId="0" xfId="32" applyFont="1" applyBorder="1" applyAlignment="1" applyProtection="1">
      <alignment horizontal="left"/>
      <protection/>
    </xf>
    <xf numFmtId="186" fontId="15" fillId="0" borderId="6" xfId="0" applyNumberFormat="1" applyFont="1" applyBorder="1" applyAlignment="1" applyProtection="1">
      <alignment horizontal="right" vertical="center"/>
      <protection/>
    </xf>
    <xf numFmtId="0" fontId="5" fillId="0" borderId="0" xfId="0" applyNumberFormat="1" applyFont="1" applyBorder="1" applyAlignment="1" applyProtection="1">
      <alignment vertical="center"/>
      <protection/>
    </xf>
    <xf numFmtId="0" fontId="4" fillId="0" borderId="0" xfId="0" applyFont="1" applyAlignment="1">
      <alignment/>
    </xf>
    <xf numFmtId="178" fontId="4" fillId="0" borderId="13" xfId="34" applyFont="1" applyFill="1" applyBorder="1" applyProtection="1">
      <alignment/>
      <protection locked="0"/>
    </xf>
    <xf numFmtId="0" fontId="16" fillId="0" borderId="5" xfId="0" applyNumberFormat="1" applyFont="1" applyBorder="1" applyAlignment="1" applyProtection="1">
      <alignment vertical="center"/>
      <protection/>
    </xf>
    <xf numFmtId="0" fontId="4" fillId="0" borderId="0" xfId="0" applyFont="1" applyFill="1" applyAlignment="1" applyProtection="1">
      <alignment/>
      <protection/>
    </xf>
    <xf numFmtId="177" fontId="4" fillId="0" borderId="39" xfId="34" applyNumberFormat="1" applyFont="1" applyFill="1" applyBorder="1" applyProtection="1">
      <alignment/>
      <protection locked="0"/>
    </xf>
    <xf numFmtId="177" fontId="4" fillId="0" borderId="17" xfId="34" applyNumberFormat="1" applyFont="1" applyFill="1" applyBorder="1" applyProtection="1">
      <alignment/>
      <protection locked="0"/>
    </xf>
    <xf numFmtId="0" fontId="4" fillId="0" borderId="0" xfId="0" applyNumberFormat="1" applyFont="1" applyBorder="1" applyAlignment="1" applyProtection="1">
      <alignment vertical="center"/>
      <protection/>
    </xf>
    <xf numFmtId="0" fontId="4" fillId="0" borderId="0" xfId="0" applyFont="1" applyAlignment="1" applyProtection="1">
      <alignment/>
      <protection hidden="1"/>
    </xf>
    <xf numFmtId="3" fontId="4" fillId="0" borderId="23" xfId="34" applyNumberFormat="1" applyFont="1" applyFill="1" applyBorder="1" applyProtection="1">
      <alignment/>
      <protection locked="0"/>
    </xf>
    <xf numFmtId="0" fontId="4" fillId="0" borderId="0" xfId="0" applyFont="1" applyAlignment="1" applyProtection="1">
      <alignment horizontal="left" vertical="top" wrapText="1"/>
      <protection hidden="1"/>
    </xf>
    <xf numFmtId="171" fontId="4" fillId="0" borderId="23" xfId="34" applyNumberFormat="1" applyFont="1" applyFill="1" applyBorder="1" applyProtection="1">
      <alignment/>
      <protection locked="0"/>
    </xf>
    <xf numFmtId="171" fontId="4" fillId="0" borderId="23" xfId="34" applyNumberFormat="1" applyFont="1" applyFill="1" applyBorder="1" applyProtection="1">
      <alignment/>
      <protection/>
    </xf>
    <xf numFmtId="171" fontId="4" fillId="0" borderId="0" xfId="0" applyNumberFormat="1" applyFont="1" applyAlignment="1" applyProtection="1">
      <alignment/>
      <protection/>
    </xf>
    <xf numFmtId="171" fontId="4" fillId="0" borderId="0" xfId="0" applyNumberFormat="1" applyFont="1" applyBorder="1" applyAlignment="1" applyProtection="1">
      <alignment/>
      <protection/>
    </xf>
    <xf numFmtId="171" fontId="4" fillId="0" borderId="23" xfId="36" applyNumberFormat="1" applyFont="1" applyFill="1" applyBorder="1" applyProtection="1">
      <alignment/>
      <protection locked="0"/>
    </xf>
    <xf numFmtId="171" fontId="5" fillId="0" borderId="0" xfId="0" applyNumberFormat="1" applyFont="1" applyAlignment="1" applyProtection="1">
      <alignment/>
      <protection/>
    </xf>
    <xf numFmtId="171" fontId="2" fillId="0" borderId="17" xfId="34" applyNumberFormat="1" applyFont="1" applyFill="1" applyBorder="1" applyAlignment="1" applyProtection="1">
      <alignment horizontal="right"/>
      <protection/>
    </xf>
    <xf numFmtId="0" fontId="2" fillId="0" borderId="0" xfId="0" applyFont="1" applyAlignment="1" applyProtection="1">
      <alignment horizontal="right" vertical="center"/>
      <protection/>
    </xf>
    <xf numFmtId="0" fontId="16" fillId="0" borderId="6" xfId="0" applyNumberFormat="1" applyFont="1" applyBorder="1" applyAlignment="1" applyProtection="1">
      <alignment vertical="center"/>
      <protection/>
    </xf>
    <xf numFmtId="0" fontId="16" fillId="0" borderId="0" xfId="0" applyNumberFormat="1" applyFont="1" applyBorder="1" applyAlignment="1" applyProtection="1">
      <alignment vertical="center"/>
      <protection/>
    </xf>
    <xf numFmtId="186" fontId="4" fillId="0" borderId="0" xfId="0" applyNumberFormat="1" applyFont="1" applyBorder="1" applyAlignment="1" applyProtection="1">
      <alignment horizontal="right" vertical="center"/>
      <protection/>
    </xf>
    <xf numFmtId="0" fontId="4" fillId="0" borderId="5" xfId="0" applyNumberFormat="1" applyFont="1" applyBorder="1" applyAlignment="1" applyProtection="1">
      <alignment vertical="center"/>
      <protection hidden="1"/>
    </xf>
    <xf numFmtId="0" fontId="5" fillId="0" borderId="0" xfId="0" applyFont="1" applyAlignment="1" applyProtection="1">
      <alignment horizontal="left" vertical="center"/>
      <protection hidden="1"/>
    </xf>
    <xf numFmtId="0" fontId="4" fillId="0" borderId="0" xfId="0" applyFont="1" applyAlignment="1" applyProtection="1">
      <alignment horizontal="left" vertical="center" wrapText="1"/>
      <protection hidden="1"/>
    </xf>
    <xf numFmtId="37" fontId="4" fillId="0" borderId="0" xfId="0" applyNumberFormat="1" applyFont="1" applyAlignment="1" applyProtection="1">
      <alignment horizontal="center"/>
      <protection hidden="1"/>
    </xf>
    <xf numFmtId="0" fontId="4" fillId="0" borderId="0" xfId="0" applyFont="1" applyAlignment="1" applyProtection="1">
      <alignment horizontal="justify" wrapText="1"/>
      <protection hidden="1"/>
    </xf>
    <xf numFmtId="0" fontId="4" fillId="0" borderId="0" xfId="0" applyFont="1" applyAlignment="1" applyProtection="1">
      <alignment horizontal="justify"/>
      <protection hidden="1"/>
    </xf>
    <xf numFmtId="0" fontId="5" fillId="0" borderId="0" xfId="0" applyNumberFormat="1" applyFont="1" applyBorder="1" applyAlignment="1" applyProtection="1">
      <alignment vertical="center"/>
      <protection hidden="1"/>
    </xf>
    <xf numFmtId="0" fontId="16" fillId="0" borderId="0" xfId="0" applyNumberFormat="1" applyFont="1" applyBorder="1" applyAlignment="1" applyProtection="1">
      <alignment vertical="center"/>
      <protection hidden="1"/>
    </xf>
    <xf numFmtId="186" fontId="4" fillId="0" borderId="0" xfId="0" applyNumberFormat="1" applyFont="1" applyBorder="1" applyAlignment="1" applyProtection="1">
      <alignment horizontal="right" vertical="center"/>
      <protection hidden="1"/>
    </xf>
    <xf numFmtId="0" fontId="4" fillId="0" borderId="0" xfId="0" applyNumberFormat="1" applyFont="1" applyBorder="1" applyAlignment="1" applyProtection="1">
      <alignment vertical="center"/>
      <protection hidden="1"/>
    </xf>
    <xf numFmtId="0" fontId="4" fillId="0" borderId="0" xfId="0" applyFont="1" applyAlignment="1" applyProtection="1">
      <alignment wrapText="1"/>
      <protection hidden="1"/>
    </xf>
    <xf numFmtId="186" fontId="4" fillId="0" borderId="6" xfId="0" applyNumberFormat="1" applyFont="1" applyBorder="1" applyAlignment="1" applyProtection="1">
      <alignment horizontal="right" vertical="center"/>
      <protection hidden="1"/>
    </xf>
    <xf numFmtId="0" fontId="4" fillId="0" borderId="5" xfId="0" applyFont="1" applyBorder="1" applyAlignment="1" applyProtection="1">
      <alignment vertical="center"/>
      <protection hidden="1"/>
    </xf>
    <xf numFmtId="0" fontId="4" fillId="0" borderId="5" xfId="0" applyFont="1" applyBorder="1" applyAlignment="1" applyProtection="1">
      <alignment horizontal="left" vertical="center"/>
      <protection hidden="1"/>
    </xf>
    <xf numFmtId="0" fontId="5" fillId="0" borderId="5" xfId="0" applyNumberFormat="1" applyFont="1" applyBorder="1" applyAlignment="1" applyProtection="1">
      <alignment vertical="center"/>
      <protection hidden="1"/>
    </xf>
    <xf numFmtId="0" fontId="16" fillId="0" borderId="5" xfId="0" applyNumberFormat="1" applyFont="1" applyBorder="1" applyAlignment="1" applyProtection="1">
      <alignment vertical="center"/>
      <protection hidden="1"/>
    </xf>
    <xf numFmtId="0" fontId="15" fillId="0" borderId="5" xfId="0" applyFont="1" applyBorder="1" applyAlignment="1" applyProtection="1">
      <alignment vertical="center"/>
      <protection hidden="1"/>
    </xf>
    <xf numFmtId="2" fontId="4" fillId="0" borderId="0" xfId="0" applyNumberFormat="1" applyFont="1" applyAlignment="1" applyProtection="1">
      <alignment horizontal="left"/>
      <protection hidden="1"/>
    </xf>
    <xf numFmtId="0" fontId="14" fillId="0" borderId="0" xfId="32" applyFont="1" applyBorder="1" applyAlignment="1" applyProtection="1">
      <alignment horizontal="left"/>
      <protection hidden="1"/>
    </xf>
    <xf numFmtId="37" fontId="5" fillId="0" borderId="0" xfId="0" applyNumberFormat="1" applyFont="1" applyBorder="1" applyAlignment="1" applyProtection="1">
      <alignment horizontal="center"/>
      <protection hidden="1"/>
    </xf>
    <xf numFmtId="0" fontId="5" fillId="0" borderId="0" xfId="32" applyFont="1" applyBorder="1" applyAlignment="1" applyProtection="1">
      <alignment horizontal="left"/>
      <protection hidden="1"/>
    </xf>
    <xf numFmtId="37" fontId="5" fillId="3" borderId="16" xfId="0" applyNumberFormat="1" applyFont="1" applyFill="1" applyBorder="1" applyAlignment="1" applyProtection="1">
      <alignment vertical="center"/>
      <protection hidden="1"/>
    </xf>
    <xf numFmtId="37" fontId="5" fillId="3" borderId="7" xfId="0" applyNumberFormat="1" applyFont="1" applyFill="1" applyBorder="1" applyAlignment="1" applyProtection="1">
      <alignment horizontal="right" vertical="center"/>
      <protection hidden="1"/>
    </xf>
    <xf numFmtId="37" fontId="5" fillId="0" borderId="0" xfId="0" applyNumberFormat="1" applyFont="1" applyBorder="1" applyAlignment="1" applyProtection="1">
      <alignment vertical="center"/>
      <protection hidden="1"/>
    </xf>
    <xf numFmtId="0" fontId="5" fillId="0" borderId="0" xfId="0" applyNumberFormat="1" applyFont="1" applyFill="1" applyBorder="1" applyAlignment="1" applyProtection="1">
      <alignment vertical="center"/>
      <protection hidden="1"/>
    </xf>
    <xf numFmtId="0" fontId="4" fillId="0" borderId="0" xfId="0" applyNumberFormat="1" applyFont="1" applyAlignment="1" applyProtection="1">
      <alignment horizontal="right"/>
      <protection hidden="1"/>
    </xf>
    <xf numFmtId="0" fontId="4" fillId="0" borderId="0" xfId="0" applyNumberFormat="1" applyFont="1" applyAlignment="1" applyProtection="1">
      <alignment/>
      <protection hidden="1"/>
    </xf>
    <xf numFmtId="37" fontId="5" fillId="3" borderId="21" xfId="0" applyNumberFormat="1" applyFont="1" applyFill="1" applyBorder="1" applyAlignment="1" applyProtection="1">
      <alignment horizontal="right" vertical="center"/>
      <protection hidden="1"/>
    </xf>
    <xf numFmtId="37" fontId="5" fillId="3" borderId="14" xfId="0" applyNumberFormat="1" applyFont="1" applyFill="1" applyBorder="1" applyAlignment="1" applyProtection="1">
      <alignment horizontal="right" vertical="center"/>
      <protection hidden="1"/>
    </xf>
    <xf numFmtId="0" fontId="4" fillId="0" borderId="0" xfId="0" applyFont="1" applyBorder="1" applyAlignment="1" applyProtection="1">
      <alignment/>
      <protection hidden="1"/>
    </xf>
    <xf numFmtId="0" fontId="4" fillId="0" borderId="13" xfId="0" applyFont="1" applyBorder="1" applyAlignment="1" applyProtection="1">
      <alignment/>
      <protection hidden="1"/>
    </xf>
    <xf numFmtId="178" fontId="4" fillId="0" borderId="32" xfId="34" applyFont="1" applyFill="1" applyBorder="1" applyProtection="1">
      <alignment/>
      <protection hidden="1"/>
    </xf>
    <xf numFmtId="0" fontId="5" fillId="3" borderId="3" xfId="0" applyFont="1" applyFill="1" applyBorder="1" applyAlignment="1" applyProtection="1">
      <alignment horizontal="right" vertical="center"/>
      <protection hidden="1"/>
    </xf>
    <xf numFmtId="0" fontId="5" fillId="3" borderId="14" xfId="0" applyFont="1" applyFill="1" applyBorder="1" applyAlignment="1" applyProtection="1">
      <alignment horizontal="right" vertical="center"/>
      <protection hidden="1"/>
    </xf>
    <xf numFmtId="0" fontId="5" fillId="0" borderId="0" xfId="0" applyNumberFormat="1" applyFont="1" applyAlignment="1" applyProtection="1">
      <alignment/>
      <protection hidden="1"/>
    </xf>
    <xf numFmtId="37" fontId="4" fillId="0" borderId="17" xfId="0" applyNumberFormat="1" applyFont="1" applyFill="1" applyBorder="1" applyAlignment="1" applyProtection="1">
      <alignment/>
      <protection hidden="1"/>
    </xf>
    <xf numFmtId="0" fontId="4" fillId="0" borderId="17" xfId="0" applyFont="1" applyFill="1" applyBorder="1" applyAlignment="1" applyProtection="1">
      <alignment/>
      <protection hidden="1"/>
    </xf>
    <xf numFmtId="37" fontId="5" fillId="0" borderId="0" xfId="0" applyNumberFormat="1" applyFont="1" applyAlignment="1" applyProtection="1">
      <alignment/>
      <protection hidden="1"/>
    </xf>
    <xf numFmtId="37" fontId="4" fillId="0" borderId="0" xfId="0" applyNumberFormat="1" applyFont="1" applyAlignment="1" applyProtection="1">
      <alignment horizontal="left"/>
      <protection hidden="1"/>
    </xf>
    <xf numFmtId="0" fontId="5" fillId="3" borderId="3" xfId="0" applyFont="1" applyFill="1" applyBorder="1" applyAlignment="1" applyProtection="1">
      <alignment vertical="center"/>
      <protection hidden="1"/>
    </xf>
    <xf numFmtId="0" fontId="5" fillId="3" borderId="16" xfId="0" applyFont="1" applyFill="1" applyBorder="1" applyAlignment="1" applyProtection="1">
      <alignment horizontal="left" vertical="center"/>
      <protection hidden="1"/>
    </xf>
    <xf numFmtId="37" fontId="5" fillId="3" borderId="2" xfId="0" applyNumberFormat="1" applyFont="1" applyFill="1" applyBorder="1" applyAlignment="1" applyProtection="1">
      <alignment horizontal="right" vertical="center"/>
      <protection hidden="1"/>
    </xf>
    <xf numFmtId="0" fontId="5" fillId="3" borderId="21" xfId="0" applyFont="1" applyFill="1" applyBorder="1" applyAlignment="1" applyProtection="1">
      <alignment horizontal="right" vertical="center"/>
      <protection hidden="1"/>
    </xf>
    <xf numFmtId="0" fontId="5" fillId="0" borderId="0" xfId="0" applyFont="1" applyAlignment="1" applyProtection="1">
      <alignment vertical="center"/>
      <protection hidden="1"/>
    </xf>
    <xf numFmtId="0" fontId="3" fillId="0" borderId="5" xfId="0" applyNumberFormat="1" applyFont="1" applyBorder="1" applyAlignment="1" applyProtection="1">
      <alignment vertical="center"/>
      <protection hidden="1"/>
    </xf>
    <xf numFmtId="0" fontId="4" fillId="0" borderId="0" xfId="0" applyFont="1" applyBorder="1" applyAlignment="1" applyProtection="1">
      <alignment horizontal="left"/>
      <protection hidden="1"/>
    </xf>
    <xf numFmtId="37" fontId="4" fillId="0" borderId="0" xfId="0" applyNumberFormat="1" applyFont="1" applyAlignment="1" applyProtection="1">
      <alignment/>
      <protection hidden="1"/>
    </xf>
    <xf numFmtId="178" fontId="5" fillId="0" borderId="17" xfId="34" applyFont="1" applyFill="1" applyBorder="1" applyAlignment="1" applyProtection="1">
      <alignment horizontal="right"/>
      <protection hidden="1"/>
    </xf>
    <xf numFmtId="37" fontId="4" fillId="0" borderId="0" xfId="0" applyNumberFormat="1" applyFont="1" applyBorder="1" applyAlignment="1" applyProtection="1">
      <alignment/>
      <protection hidden="1"/>
    </xf>
    <xf numFmtId="0" fontId="0" fillId="0" borderId="0" xfId="0" applyAlignment="1" applyProtection="1">
      <alignment/>
      <protection hidden="1"/>
    </xf>
    <xf numFmtId="0" fontId="5" fillId="0" borderId="6" xfId="0" applyNumberFormat="1" applyFont="1" applyBorder="1" applyAlignment="1" applyProtection="1">
      <alignment vertical="center"/>
      <protection hidden="1"/>
    </xf>
    <xf numFmtId="178" fontId="4" fillId="0" borderId="0" xfId="0" applyNumberFormat="1" applyFont="1" applyBorder="1" applyAlignment="1" applyProtection="1">
      <alignment/>
      <protection hidden="1"/>
    </xf>
    <xf numFmtId="0" fontId="5" fillId="0" borderId="0" xfId="0" applyFont="1" applyFill="1" applyBorder="1" applyAlignment="1" applyProtection="1">
      <alignment vertical="center"/>
      <protection hidden="1"/>
    </xf>
    <xf numFmtId="37" fontId="5" fillId="0" borderId="34" xfId="0" applyNumberFormat="1" applyFont="1" applyBorder="1" applyAlignment="1" applyProtection="1">
      <alignment vertical="center"/>
      <protection hidden="1"/>
    </xf>
    <xf numFmtId="37" fontId="5" fillId="3" borderId="16" xfId="0" applyNumberFormat="1" applyFont="1" applyFill="1" applyBorder="1" applyAlignment="1" applyProtection="1">
      <alignment horizontal="center" vertical="center"/>
      <protection hidden="1"/>
    </xf>
    <xf numFmtId="37" fontId="5" fillId="0" borderId="0" xfId="0" applyNumberFormat="1" applyFont="1" applyBorder="1" applyAlignment="1" applyProtection="1">
      <alignment/>
      <protection hidden="1"/>
    </xf>
    <xf numFmtId="37" fontId="5" fillId="0" borderId="0" xfId="0" applyNumberFormat="1" applyFont="1" applyBorder="1" applyAlignment="1" applyProtection="1">
      <alignment horizontal="center" vertical="top"/>
      <protection hidden="1"/>
    </xf>
    <xf numFmtId="2" fontId="4" fillId="0" borderId="0" xfId="0" applyNumberFormat="1" applyFont="1" applyAlignment="1" applyProtection="1">
      <alignment/>
      <protection hidden="1"/>
    </xf>
    <xf numFmtId="37" fontId="4" fillId="0" borderId="12" xfId="0" applyNumberFormat="1" applyFont="1" applyFill="1" applyBorder="1" applyAlignment="1" applyProtection="1">
      <alignment/>
      <protection hidden="1"/>
    </xf>
    <xf numFmtId="0" fontId="5" fillId="3" borderId="51" xfId="0" applyFont="1" applyFill="1" applyBorder="1" applyAlignment="1" applyProtection="1">
      <alignment horizontal="right" vertical="center"/>
      <protection hidden="1"/>
    </xf>
    <xf numFmtId="37" fontId="5" fillId="3" borderId="5" xfId="0" applyNumberFormat="1" applyFont="1" applyFill="1" applyBorder="1" applyAlignment="1" applyProtection="1">
      <alignment horizontal="center" vertical="center"/>
      <protection hidden="1"/>
    </xf>
    <xf numFmtId="175" fontId="4" fillId="0" borderId="23" xfId="34" applyNumberFormat="1" applyFont="1" applyFill="1" applyBorder="1" applyAlignment="1" applyProtection="1">
      <alignment horizontal="center"/>
      <protection hidden="1"/>
    </xf>
    <xf numFmtId="0" fontId="4" fillId="0" borderId="32" xfId="0" applyFont="1" applyFill="1" applyBorder="1" applyAlignment="1" applyProtection="1">
      <alignment wrapText="1"/>
      <protection hidden="1"/>
    </xf>
    <xf numFmtId="0" fontId="4" fillId="0" borderId="32" xfId="0" applyFont="1" applyBorder="1" applyAlignment="1" applyProtection="1">
      <alignment/>
      <protection hidden="1"/>
    </xf>
    <xf numFmtId="0" fontId="4" fillId="0" borderId="12" xfId="0" applyFont="1" applyBorder="1" applyAlignment="1" applyProtection="1">
      <alignment/>
      <protection hidden="1"/>
    </xf>
    <xf numFmtId="37" fontId="5" fillId="3" borderId="21" xfId="0" applyNumberFormat="1" applyFont="1" applyFill="1" applyBorder="1" applyAlignment="1" applyProtection="1">
      <alignment horizontal="center" vertical="center"/>
      <protection hidden="1"/>
    </xf>
    <xf numFmtId="37" fontId="5" fillId="3" borderId="14" xfId="0" applyNumberFormat="1" applyFont="1" applyFill="1" applyBorder="1" applyAlignment="1" applyProtection="1">
      <alignment horizontal="center" vertical="center"/>
      <protection hidden="1"/>
    </xf>
    <xf numFmtId="0" fontId="5" fillId="0" borderId="0" xfId="0" applyFont="1" applyBorder="1" applyAlignment="1" applyProtection="1">
      <alignment horizontal="left" vertical="top" wrapText="1"/>
      <protection hidden="1"/>
    </xf>
    <xf numFmtId="3" fontId="4" fillId="0" borderId="0" xfId="0" applyNumberFormat="1" applyFont="1" applyAlignment="1" applyProtection="1">
      <alignment/>
      <protection hidden="1"/>
    </xf>
    <xf numFmtId="3" fontId="3" fillId="3" borderId="51" xfId="0" applyNumberFormat="1" applyFont="1" applyFill="1" applyBorder="1" applyAlignment="1" applyProtection="1">
      <alignment horizontal="center" vertical="center"/>
      <protection hidden="1"/>
    </xf>
    <xf numFmtId="3" fontId="5" fillId="0" borderId="0" xfId="0" applyNumberFormat="1" applyFont="1" applyAlignment="1" applyProtection="1">
      <alignment/>
      <protection hidden="1"/>
    </xf>
    <xf numFmtId="0" fontId="5" fillId="3" borderId="5" xfId="0" applyFont="1" applyFill="1" applyBorder="1" applyAlignment="1" applyProtection="1">
      <alignment horizontal="left" vertical="center"/>
      <protection hidden="1"/>
    </xf>
    <xf numFmtId="0" fontId="4" fillId="3" borderId="5" xfId="0" applyFont="1" applyFill="1" applyBorder="1" applyAlignment="1" applyProtection="1">
      <alignment horizontal="left"/>
      <protection hidden="1"/>
    </xf>
    <xf numFmtId="178" fontId="4" fillId="3" borderId="5" xfId="0" applyNumberFormat="1" applyFont="1" applyFill="1" applyBorder="1" applyAlignment="1" applyProtection="1">
      <alignment/>
      <protection hidden="1"/>
    </xf>
    <xf numFmtId="3" fontId="4" fillId="3" borderId="5" xfId="0" applyNumberFormat="1" applyFont="1" applyFill="1" applyBorder="1" applyAlignment="1" applyProtection="1">
      <alignment horizontal="center"/>
      <protection hidden="1"/>
    </xf>
    <xf numFmtId="3" fontId="4" fillId="3" borderId="7" xfId="0" applyNumberFormat="1" applyFont="1" applyFill="1" applyBorder="1" applyAlignment="1" applyProtection="1">
      <alignment horizontal="center"/>
      <protection hidden="1"/>
    </xf>
    <xf numFmtId="3" fontId="4" fillId="0" borderId="0" xfId="0" applyNumberFormat="1" applyFont="1" applyBorder="1" applyAlignment="1" applyProtection="1">
      <alignment horizontal="center"/>
      <protection hidden="1"/>
    </xf>
    <xf numFmtId="0" fontId="5" fillId="0" borderId="0" xfId="0" applyFont="1" applyFill="1" applyBorder="1" applyAlignment="1" applyProtection="1">
      <alignment horizontal="right" vertical="center"/>
      <protection hidden="1"/>
    </xf>
    <xf numFmtId="0" fontId="3" fillId="0" borderId="0" xfId="0" applyFont="1" applyBorder="1" applyAlignment="1" applyProtection="1">
      <alignment/>
      <protection hidden="1"/>
    </xf>
    <xf numFmtId="3" fontId="3" fillId="0" borderId="0" xfId="0" applyNumberFormat="1" applyFont="1" applyBorder="1" applyAlignment="1" applyProtection="1">
      <alignment/>
      <protection hidden="1"/>
    </xf>
    <xf numFmtId="0" fontId="2" fillId="0" borderId="0" xfId="0" applyFont="1" applyBorder="1" applyAlignment="1" applyProtection="1">
      <alignment/>
      <protection hidden="1"/>
    </xf>
    <xf numFmtId="0" fontId="2" fillId="0" borderId="0" xfId="0" applyFont="1" applyBorder="1" applyAlignment="1" applyProtection="1">
      <alignment horizontal="center"/>
      <protection hidden="1"/>
    </xf>
    <xf numFmtId="0" fontId="2" fillId="0" borderId="0" xfId="0" applyFont="1" applyBorder="1" applyAlignment="1" applyProtection="1">
      <alignment/>
      <protection hidden="1"/>
    </xf>
    <xf numFmtId="3" fontId="4" fillId="0" borderId="17" xfId="34" applyNumberFormat="1" applyFont="1" applyFill="1" applyBorder="1" applyProtection="1">
      <alignment/>
      <protection locked="0"/>
    </xf>
    <xf numFmtId="0" fontId="3" fillId="0" borderId="5" xfId="0" applyFont="1" applyBorder="1" applyAlignment="1" applyProtection="1">
      <alignment/>
      <protection hidden="1"/>
    </xf>
    <xf numFmtId="0" fontId="3" fillId="0" borderId="0" xfId="0" applyFont="1" applyBorder="1" applyAlignment="1" applyProtection="1">
      <alignment/>
      <protection hidden="1"/>
    </xf>
    <xf numFmtId="0" fontId="3" fillId="0" borderId="0" xfId="0" applyFont="1" applyAlignment="1" applyProtection="1">
      <alignment/>
      <protection hidden="1"/>
    </xf>
    <xf numFmtId="0" fontId="3" fillId="0" borderId="0" xfId="0" applyFont="1" applyAlignment="1" applyProtection="1">
      <alignment/>
      <protection hidden="1"/>
    </xf>
    <xf numFmtId="0" fontId="17" fillId="0" borderId="0" xfId="0" applyFont="1" applyAlignment="1" applyProtection="1">
      <alignment/>
      <protection hidden="1"/>
    </xf>
    <xf numFmtId="0" fontId="17" fillId="0" borderId="0" xfId="0" applyFont="1" applyAlignment="1" applyProtection="1">
      <alignment/>
      <protection hidden="1"/>
    </xf>
    <xf numFmtId="0" fontId="18" fillId="0" borderId="5" xfId="0" applyFont="1" applyBorder="1" applyAlignment="1" applyProtection="1">
      <alignment/>
      <protection hidden="1"/>
    </xf>
    <xf numFmtId="0" fontId="18" fillId="0" borderId="5" xfId="0" applyFont="1" applyBorder="1" applyAlignment="1" applyProtection="1">
      <alignment horizontal="left"/>
      <protection hidden="1"/>
    </xf>
    <xf numFmtId="0" fontId="0" fillId="0" borderId="5" xfId="0" applyBorder="1" applyAlignment="1" applyProtection="1">
      <alignment vertical="center"/>
      <protection hidden="1"/>
    </xf>
    <xf numFmtId="37" fontId="0" fillId="0" borderId="5" xfId="0" applyNumberFormat="1" applyBorder="1" applyAlignment="1" applyProtection="1">
      <alignment/>
      <protection hidden="1"/>
    </xf>
    <xf numFmtId="0" fontId="0" fillId="0" borderId="5" xfId="0" applyBorder="1" applyAlignment="1" applyProtection="1">
      <alignment/>
      <protection hidden="1"/>
    </xf>
    <xf numFmtId="0" fontId="0" fillId="0" borderId="5" xfId="0" applyBorder="1" applyAlignment="1" applyProtection="1">
      <alignment/>
      <protection hidden="1"/>
    </xf>
    <xf numFmtId="0" fontId="11" fillId="0" borderId="5" xfId="0" applyFont="1" applyBorder="1" applyAlignment="1" applyProtection="1">
      <alignment/>
      <protection hidden="1"/>
    </xf>
    <xf numFmtId="0" fontId="0" fillId="0" borderId="6" xfId="0" applyBorder="1" applyAlignment="1" applyProtection="1">
      <alignment/>
      <protection hidden="1"/>
    </xf>
    <xf numFmtId="0" fontId="0" fillId="0" borderId="0" xfId="0" applyBorder="1" applyAlignment="1" applyProtection="1">
      <alignment/>
      <protection hidden="1"/>
    </xf>
    <xf numFmtId="0" fontId="5" fillId="0" borderId="62" xfId="0" applyFont="1" applyBorder="1" applyAlignment="1" applyProtection="1">
      <alignment/>
      <protection hidden="1"/>
    </xf>
    <xf numFmtId="0" fontId="4" fillId="0" borderId="35" xfId="0" applyFont="1" applyBorder="1" applyAlignment="1" applyProtection="1">
      <alignment/>
      <protection hidden="1"/>
    </xf>
    <xf numFmtId="0" fontId="5" fillId="0" borderId="16" xfId="0" applyFont="1" applyBorder="1" applyAlignment="1" applyProtection="1">
      <alignment/>
      <protection hidden="1"/>
    </xf>
    <xf numFmtId="0" fontId="4" fillId="0" borderId="0" xfId="0" applyFont="1" applyBorder="1" applyAlignment="1" applyProtection="1">
      <alignment horizontal="right"/>
      <protection hidden="1"/>
    </xf>
    <xf numFmtId="0" fontId="5" fillId="0" borderId="0" xfId="0" applyFont="1" applyBorder="1" applyAlignment="1" applyProtection="1">
      <alignment horizontal="center" wrapText="1"/>
      <protection hidden="1"/>
    </xf>
    <xf numFmtId="0" fontId="5" fillId="0" borderId="16" xfId="0" applyFont="1" applyBorder="1" applyAlignment="1" applyProtection="1">
      <alignment vertical="center"/>
      <protection hidden="1"/>
    </xf>
    <xf numFmtId="37" fontId="4" fillId="0" borderId="16" xfId="0" applyNumberFormat="1" applyFont="1" applyFill="1" applyBorder="1" applyAlignment="1" applyProtection="1">
      <alignment vertical="center"/>
      <protection hidden="1"/>
    </xf>
    <xf numFmtId="37" fontId="4" fillId="0" borderId="7" xfId="0" applyNumberFormat="1" applyFont="1" applyFill="1" applyBorder="1" applyAlignment="1" applyProtection="1">
      <alignment vertical="center"/>
      <protection hidden="1"/>
    </xf>
    <xf numFmtId="0" fontId="5" fillId="0" borderId="50" xfId="0" applyFont="1" applyBorder="1" applyAlignment="1" applyProtection="1">
      <alignment vertical="center"/>
      <protection hidden="1"/>
    </xf>
    <xf numFmtId="0" fontId="5" fillId="0" borderId="33" xfId="0" applyFont="1" applyBorder="1" applyAlignment="1" applyProtection="1">
      <alignment vertical="center"/>
      <protection hidden="1"/>
    </xf>
    <xf numFmtId="0" fontId="4" fillId="0" borderId="33" xfId="0" applyFont="1" applyBorder="1" applyAlignment="1" applyProtection="1">
      <alignment vertical="center"/>
      <protection hidden="1"/>
    </xf>
    <xf numFmtId="0" fontId="4" fillId="0" borderId="30" xfId="0" applyFont="1" applyBorder="1" applyAlignment="1" applyProtection="1">
      <alignment vertical="center"/>
      <protection hidden="1"/>
    </xf>
    <xf numFmtId="0" fontId="4" fillId="0" borderId="18" xfId="0" applyFont="1" applyBorder="1" applyAlignment="1" applyProtection="1">
      <alignment vertical="center"/>
      <protection hidden="1"/>
    </xf>
    <xf numFmtId="0" fontId="4" fillId="0" borderId="29"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5" fillId="0" borderId="62" xfId="0" applyFont="1" applyBorder="1" applyAlignment="1" applyProtection="1">
      <alignment vertical="center"/>
      <protection hidden="1"/>
    </xf>
    <xf numFmtId="0" fontId="4" fillId="0" borderId="48" xfId="0" applyFont="1" applyBorder="1" applyAlignment="1" applyProtection="1">
      <alignment vertical="center"/>
      <protection hidden="1"/>
    </xf>
    <xf numFmtId="0" fontId="4" fillId="0" borderId="63" xfId="0" applyFont="1" applyBorder="1" applyAlignment="1" applyProtection="1">
      <alignment vertical="center"/>
      <protection hidden="1"/>
    </xf>
    <xf numFmtId="37" fontId="4" fillId="0" borderId="64" xfId="0" applyNumberFormat="1" applyFont="1" applyFill="1" applyBorder="1" applyAlignment="1" applyProtection="1">
      <alignment vertical="center"/>
      <protection hidden="1"/>
    </xf>
    <xf numFmtId="37" fontId="4" fillId="0" borderId="0" xfId="0" applyNumberFormat="1" applyFont="1" applyFill="1" applyBorder="1" applyAlignment="1" applyProtection="1">
      <alignment vertical="center"/>
      <protection hidden="1"/>
    </xf>
    <xf numFmtId="37" fontId="4" fillId="0" borderId="34" xfId="0" applyNumberFormat="1" applyFont="1" applyFill="1" applyBorder="1" applyAlignment="1" applyProtection="1">
      <alignment vertical="center"/>
      <protection hidden="1"/>
    </xf>
    <xf numFmtId="37" fontId="4" fillId="0" borderId="34" xfId="0" applyNumberFormat="1" applyFont="1" applyFill="1" applyBorder="1" applyAlignment="1" applyProtection="1">
      <alignment horizontal="right" vertical="center"/>
      <protection hidden="1"/>
    </xf>
    <xf numFmtId="37" fontId="4" fillId="0" borderId="19" xfId="0" applyNumberFormat="1" applyFont="1" applyFill="1" applyBorder="1" applyAlignment="1" applyProtection="1">
      <alignment vertical="center"/>
      <protection hidden="1"/>
    </xf>
    <xf numFmtId="37" fontId="4" fillId="0" borderId="65" xfId="0" applyNumberFormat="1"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49" fontId="4" fillId="0" borderId="0" xfId="0" applyNumberFormat="1" applyFont="1" applyAlignment="1" applyProtection="1">
      <alignment horizontal="right"/>
      <protection/>
    </xf>
    <xf numFmtId="49" fontId="5" fillId="0" borderId="0" xfId="0" applyNumberFormat="1" applyFont="1" applyAlignment="1" applyProtection="1">
      <alignment horizontal="right"/>
      <protection/>
    </xf>
    <xf numFmtId="0" fontId="11" fillId="0" borderId="59" xfId="0" applyFont="1" applyBorder="1" applyAlignment="1" applyProtection="1">
      <alignment vertical="top" wrapText="1"/>
      <protection hidden="1" locked="0"/>
    </xf>
    <xf numFmtId="0" fontId="5" fillId="3" borderId="23" xfId="0" applyNumberFormat="1" applyFont="1" applyFill="1" applyBorder="1" applyAlignment="1" applyProtection="1">
      <alignment horizontal="left"/>
      <protection hidden="1"/>
    </xf>
    <xf numFmtId="178" fontId="4" fillId="0" borderId="24" xfId="34" applyFont="1" applyFill="1" applyBorder="1" applyProtection="1">
      <alignment/>
      <protection locked="0"/>
    </xf>
    <xf numFmtId="178" fontId="5" fillId="3" borderId="23" xfId="37" applyFont="1" applyFill="1" applyBorder="1" applyProtection="1">
      <alignment/>
      <protection/>
    </xf>
    <xf numFmtId="0" fontId="5" fillId="3" borderId="23" xfId="0" applyNumberFormat="1" applyFont="1" applyFill="1" applyBorder="1" applyAlignment="1" applyProtection="1">
      <alignment horizontal="left"/>
      <protection/>
    </xf>
    <xf numFmtId="0" fontId="5" fillId="3" borderId="23" xfId="0" applyFont="1" applyFill="1" applyBorder="1" applyAlignment="1" applyProtection="1">
      <alignment horizontal="left"/>
      <protection hidden="1"/>
    </xf>
    <xf numFmtId="0" fontId="5" fillId="3" borderId="25" xfId="0" applyFont="1" applyFill="1" applyBorder="1" applyAlignment="1" applyProtection="1">
      <alignment/>
      <protection hidden="1"/>
    </xf>
    <xf numFmtId="0" fontId="4" fillId="0" borderId="32" xfId="0" applyFont="1" applyFill="1" applyBorder="1" applyAlignment="1" applyProtection="1">
      <alignment/>
      <protection hidden="1"/>
    </xf>
    <xf numFmtId="178" fontId="4" fillId="0" borderId="32" xfId="34" applyFont="1" applyFill="1" applyBorder="1" applyProtection="1">
      <alignment/>
      <protection locked="0"/>
    </xf>
    <xf numFmtId="178" fontId="4" fillId="0" borderId="12" xfId="34" applyFont="1" applyFill="1" applyBorder="1" applyProtection="1">
      <alignment/>
      <protection locked="0"/>
    </xf>
    <xf numFmtId="0" fontId="4" fillId="3" borderId="13" xfId="0" applyFont="1" applyFill="1" applyBorder="1" applyAlignment="1" applyProtection="1">
      <alignment/>
      <protection hidden="1"/>
    </xf>
    <xf numFmtId="178" fontId="5" fillId="3" borderId="23" xfId="37" applyFont="1" applyBorder="1" applyProtection="1">
      <alignment/>
      <protection/>
    </xf>
    <xf numFmtId="0" fontId="5" fillId="3" borderId="13" xfId="0" applyFont="1" applyFill="1" applyBorder="1" applyAlignment="1" applyProtection="1">
      <alignment/>
      <protection hidden="1"/>
    </xf>
    <xf numFmtId="183" fontId="4" fillId="0" borderId="24" xfId="36" applyFont="1" applyFill="1" applyBorder="1" applyProtection="1">
      <alignment/>
      <protection locked="0"/>
    </xf>
    <xf numFmtId="183" fontId="5" fillId="3" borderId="23" xfId="38" applyFont="1" applyBorder="1" applyProtection="1">
      <alignment/>
      <protection/>
    </xf>
    <xf numFmtId="37" fontId="5" fillId="3" borderId="23" xfId="0" applyNumberFormat="1" applyFont="1" applyFill="1" applyBorder="1" applyAlignment="1" applyProtection="1">
      <alignment/>
      <protection hidden="1"/>
    </xf>
    <xf numFmtId="177" fontId="5" fillId="3" borderId="23" xfId="37" applyNumberFormat="1" applyFont="1" applyBorder="1" applyProtection="1">
      <alignment/>
      <protection/>
    </xf>
    <xf numFmtId="171" fontId="5" fillId="3" borderId="23" xfId="0" applyNumberFormat="1" applyFont="1" applyFill="1" applyBorder="1" applyAlignment="1" applyProtection="1">
      <alignment/>
      <protection/>
    </xf>
    <xf numFmtId="182" fontId="4" fillId="0" borderId="17" xfId="0" applyNumberFormat="1" applyFont="1" applyFill="1" applyBorder="1" applyAlignment="1" applyProtection="1">
      <alignment horizontal="left"/>
      <protection locked="0"/>
    </xf>
    <xf numFmtId="49" fontId="4" fillId="0" borderId="24" xfId="0" applyNumberFormat="1" applyFont="1" applyFill="1" applyBorder="1" applyAlignment="1" applyProtection="1">
      <alignment horizontal="left"/>
      <protection locked="0"/>
    </xf>
    <xf numFmtId="3" fontId="4" fillId="0" borderId="12" xfId="34" applyNumberFormat="1" applyFont="1" applyFill="1" applyBorder="1" applyProtection="1">
      <alignment/>
      <protection locked="0"/>
    </xf>
    <xf numFmtId="178" fontId="4" fillId="0" borderId="24" xfId="34" applyFont="1" applyBorder="1" applyProtection="1">
      <alignment/>
      <protection/>
    </xf>
    <xf numFmtId="178" fontId="5" fillId="3" borderId="23" xfId="34" applyFont="1" applyFill="1" applyBorder="1" applyProtection="1">
      <alignment/>
      <protection/>
    </xf>
    <xf numFmtId="171" fontId="5" fillId="3" borderId="23" xfId="37" applyNumberFormat="1" applyFont="1" applyBorder="1" applyProtection="1">
      <alignment/>
      <protection/>
    </xf>
    <xf numFmtId="0" fontId="4" fillId="0" borderId="12" xfId="0" applyFont="1" applyFill="1" applyBorder="1" applyAlignment="1" applyProtection="1">
      <alignment/>
      <protection hidden="1"/>
    </xf>
    <xf numFmtId="0" fontId="5" fillId="3" borderId="25" xfId="32" applyFont="1" applyFill="1" applyBorder="1" applyProtection="1">
      <alignment/>
      <protection hidden="1"/>
    </xf>
    <xf numFmtId="37" fontId="5" fillId="3" borderId="17" xfId="0" applyNumberFormat="1" applyFont="1" applyFill="1" applyBorder="1" applyAlignment="1" applyProtection="1">
      <alignment/>
      <protection hidden="1"/>
    </xf>
    <xf numFmtId="178" fontId="4" fillId="0" borderId="24" xfId="34" applyFill="1" applyBorder="1" applyProtection="1">
      <alignment/>
      <protection/>
    </xf>
    <xf numFmtId="178" fontId="5" fillId="3" borderId="23" xfId="37" applyBorder="1" applyProtection="1">
      <alignment/>
      <protection/>
    </xf>
    <xf numFmtId="0" fontId="5" fillId="3" borderId="23" xfId="32" applyFont="1" applyFill="1" applyBorder="1" applyProtection="1">
      <alignment/>
      <protection hidden="1"/>
    </xf>
    <xf numFmtId="178" fontId="5" fillId="3" borderId="23" xfId="37" applyFill="1" applyBorder="1" applyProtection="1">
      <alignment/>
      <protection/>
    </xf>
    <xf numFmtId="178" fontId="4" fillId="0" borderId="12" xfId="34" applyFont="1" applyFill="1" applyBorder="1" applyProtection="1">
      <alignment/>
      <protection hidden="1"/>
    </xf>
    <xf numFmtId="37" fontId="5" fillId="0" borderId="0" xfId="0" applyNumberFormat="1" applyFont="1" applyFill="1" applyBorder="1" applyAlignment="1" applyProtection="1">
      <alignment/>
      <protection hidden="1"/>
    </xf>
    <xf numFmtId="0" fontId="4" fillId="0" borderId="17" xfId="0" applyFont="1" applyBorder="1" applyAlignment="1" applyProtection="1">
      <alignment/>
      <protection hidden="1"/>
    </xf>
    <xf numFmtId="37" fontId="5" fillId="3" borderId="13" xfId="0" applyNumberFormat="1" applyFont="1" applyFill="1" applyBorder="1" applyAlignment="1" applyProtection="1">
      <alignment/>
      <protection hidden="1"/>
    </xf>
    <xf numFmtId="178" fontId="5" fillId="3" borderId="23" xfId="37" applyFont="1" applyFill="1" applyBorder="1" applyAlignment="1" applyProtection="1">
      <alignment/>
      <protection/>
    </xf>
    <xf numFmtId="166" fontId="5" fillId="3" borderId="23" xfId="0" applyNumberFormat="1" applyFont="1" applyFill="1" applyBorder="1" applyAlignment="1" applyProtection="1">
      <alignment horizontal="center"/>
      <protection/>
    </xf>
    <xf numFmtId="37" fontId="5" fillId="3" borderId="25" xfId="0" applyNumberFormat="1" applyFont="1" applyFill="1" applyBorder="1" applyAlignment="1" applyProtection="1">
      <alignment/>
      <protection hidden="1"/>
    </xf>
    <xf numFmtId="167" fontId="4" fillId="0" borderId="24" xfId="0" applyNumberFormat="1" applyFont="1" applyFill="1" applyBorder="1" applyAlignment="1" applyProtection="1">
      <alignment horizontal="center"/>
      <protection/>
    </xf>
    <xf numFmtId="37" fontId="4" fillId="0" borderId="23" xfId="0" applyNumberFormat="1" applyFont="1" applyFill="1" applyBorder="1" applyAlignment="1" applyProtection="1">
      <alignment/>
      <protection hidden="1"/>
    </xf>
    <xf numFmtId="49" fontId="4" fillId="0" borderId="17" xfId="0" applyNumberFormat="1" applyFont="1" applyFill="1" applyBorder="1" applyAlignment="1" applyProtection="1">
      <alignment horizontal="left"/>
      <protection locked="0"/>
    </xf>
    <xf numFmtId="49" fontId="4" fillId="0" borderId="12" xfId="0" applyNumberFormat="1" applyFont="1" applyFill="1" applyBorder="1" applyAlignment="1" applyProtection="1">
      <alignment horizontal="left"/>
      <protection locked="0"/>
    </xf>
    <xf numFmtId="14" fontId="4" fillId="0" borderId="24" xfId="0" applyNumberFormat="1" applyFont="1" applyFill="1" applyBorder="1" applyAlignment="1" applyProtection="1">
      <alignment horizontal="left"/>
      <protection locked="0"/>
    </xf>
    <xf numFmtId="168" fontId="4" fillId="0" borderId="24" xfId="0" applyNumberFormat="1" applyFont="1" applyFill="1" applyBorder="1" applyAlignment="1" applyProtection="1">
      <alignment/>
      <protection locked="0"/>
    </xf>
    <xf numFmtId="168" fontId="4" fillId="0" borderId="24" xfId="34" applyNumberFormat="1" applyFont="1" applyFill="1" applyBorder="1" applyProtection="1">
      <alignment/>
      <protection locked="0"/>
    </xf>
    <xf numFmtId="171" fontId="5" fillId="3" borderId="23" xfId="37" applyNumberFormat="1" applyBorder="1" applyProtection="1">
      <alignment/>
      <protection/>
    </xf>
    <xf numFmtId="178" fontId="2" fillId="0" borderId="32" xfId="34" applyFont="1" applyFill="1" applyBorder="1" applyAlignment="1" applyProtection="1">
      <alignment horizontal="right"/>
      <protection/>
    </xf>
    <xf numFmtId="178" fontId="2" fillId="0" borderId="12" xfId="34" applyFont="1" applyFill="1" applyBorder="1" applyAlignment="1" applyProtection="1">
      <alignment horizontal="right"/>
      <protection/>
    </xf>
    <xf numFmtId="178" fontId="2" fillId="3" borderId="25" xfId="34" applyFont="1" applyFill="1" applyBorder="1" applyAlignment="1" applyProtection="1">
      <alignment horizontal="right"/>
      <protection/>
    </xf>
    <xf numFmtId="178" fontId="2" fillId="3" borderId="13" xfId="34" applyFont="1" applyFill="1" applyBorder="1" applyAlignment="1" applyProtection="1">
      <alignment horizontal="right"/>
      <protection/>
    </xf>
    <xf numFmtId="178" fontId="2" fillId="3" borderId="17" xfId="34" applyFont="1" applyFill="1" applyBorder="1" applyAlignment="1" applyProtection="1">
      <alignment horizontal="right"/>
      <protection/>
    </xf>
    <xf numFmtId="171" fontId="2" fillId="0" borderId="12" xfId="34" applyNumberFormat="1" applyFont="1" applyFill="1" applyBorder="1" applyAlignment="1" applyProtection="1">
      <alignment horizontal="right"/>
      <protection/>
    </xf>
    <xf numFmtId="0" fontId="4" fillId="0" borderId="17" xfId="0" applyFont="1" applyFill="1" applyBorder="1" applyAlignment="1" applyProtection="1">
      <alignment horizontal="left"/>
      <protection hidden="1"/>
    </xf>
    <xf numFmtId="183" fontId="4" fillId="0" borderId="24" xfId="36" applyNumberFormat="1" applyFont="1" applyFill="1" applyBorder="1" applyProtection="1">
      <alignment/>
      <protection locked="0"/>
    </xf>
    <xf numFmtId="183" fontId="4" fillId="0" borderId="24" xfId="36" applyNumberFormat="1" applyFont="1" applyFill="1" applyBorder="1" applyProtection="1">
      <alignment/>
      <protection/>
    </xf>
    <xf numFmtId="3" fontId="4" fillId="0" borderId="13" xfId="0" applyNumberFormat="1"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3" fontId="4" fillId="0" borderId="32" xfId="0" applyNumberFormat="1" applyFont="1" applyFill="1" applyBorder="1" applyAlignment="1" applyProtection="1">
      <alignment horizontal="left"/>
      <protection hidden="1"/>
    </xf>
    <xf numFmtId="0" fontId="4" fillId="0" borderId="32" xfId="0" applyFont="1" applyFill="1" applyBorder="1" applyAlignment="1" applyProtection="1">
      <alignment/>
      <protection/>
    </xf>
    <xf numFmtId="0" fontId="4" fillId="0" borderId="12" xfId="0" applyFont="1" applyFill="1" applyBorder="1" applyAlignment="1" applyProtection="1">
      <alignment/>
      <protection/>
    </xf>
    <xf numFmtId="0" fontId="5" fillId="3" borderId="13" xfId="0" applyFont="1" applyFill="1" applyBorder="1" applyAlignment="1" applyProtection="1">
      <alignment/>
      <protection/>
    </xf>
    <xf numFmtId="0" fontId="5" fillId="3" borderId="17" xfId="0" applyFont="1" applyFill="1" applyBorder="1" applyAlignment="1" applyProtection="1">
      <alignment/>
      <protection/>
    </xf>
    <xf numFmtId="0" fontId="3" fillId="0" borderId="6" xfId="0" applyNumberFormat="1" applyFont="1" applyBorder="1" applyAlignment="1" applyProtection="1">
      <alignment vertical="center"/>
      <protection hidden="1"/>
    </xf>
    <xf numFmtId="0" fontId="16" fillId="0" borderId="6" xfId="0" applyNumberFormat="1" applyFont="1" applyBorder="1" applyAlignment="1" applyProtection="1">
      <alignment vertical="center"/>
      <protection hidden="1"/>
    </xf>
    <xf numFmtId="0" fontId="4" fillId="0" borderId="6" xfId="0" applyFont="1" applyBorder="1" applyAlignment="1" applyProtection="1">
      <alignment vertical="center"/>
      <protection hidden="1"/>
    </xf>
    <xf numFmtId="0" fontId="4" fillId="0" borderId="6" xfId="0" applyNumberFormat="1" applyFont="1" applyBorder="1" applyAlignment="1" applyProtection="1">
      <alignment vertical="center"/>
      <protection hidden="1"/>
    </xf>
    <xf numFmtId="181" fontId="5" fillId="0" borderId="49" xfId="34" applyNumberFormat="1" applyFont="1" applyFill="1" applyBorder="1" applyProtection="1">
      <alignment/>
      <protection/>
    </xf>
    <xf numFmtId="181" fontId="5" fillId="0" borderId="32" xfId="34" applyNumberFormat="1" applyFont="1" applyFill="1" applyBorder="1" applyProtection="1">
      <alignment/>
      <protection/>
    </xf>
    <xf numFmtId="181" fontId="5" fillId="0" borderId="12" xfId="34" applyNumberFormat="1" applyFont="1" applyFill="1" applyBorder="1" applyProtection="1">
      <alignment/>
      <protection/>
    </xf>
    <xf numFmtId="0" fontId="4" fillId="3" borderId="25"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3" xfId="0" applyFont="1" applyFill="1" applyBorder="1" applyAlignment="1" applyProtection="1">
      <alignment horizontal="left"/>
      <protection/>
    </xf>
    <xf numFmtId="0" fontId="4" fillId="3" borderId="25" xfId="0" applyFont="1" applyFill="1" applyBorder="1" applyAlignment="1" applyProtection="1">
      <alignment/>
      <protection hidden="1"/>
    </xf>
    <xf numFmtId="0" fontId="4" fillId="3" borderId="13" xfId="0" applyFont="1" applyFill="1" applyBorder="1" applyAlignment="1" applyProtection="1">
      <alignment/>
      <protection/>
    </xf>
    <xf numFmtId="0" fontId="5" fillId="3" borderId="13" xfId="0" applyFont="1" applyFill="1" applyBorder="1" applyAlignment="1" applyProtection="1">
      <alignment horizontal="left"/>
      <protection hidden="1"/>
    </xf>
    <xf numFmtId="0" fontId="5" fillId="3" borderId="13" xfId="0" applyFont="1" applyFill="1" applyBorder="1" applyAlignment="1" applyProtection="1">
      <alignment horizontal="left"/>
      <protection/>
    </xf>
    <xf numFmtId="178" fontId="5" fillId="3" borderId="13" xfId="37" applyBorder="1" applyProtection="1">
      <alignment/>
      <protection hidden="1"/>
    </xf>
    <xf numFmtId="178" fontId="5" fillId="3" borderId="17" xfId="37" applyBorder="1" applyProtection="1">
      <alignment/>
      <protection hidden="1"/>
    </xf>
    <xf numFmtId="183" fontId="5" fillId="3" borderId="23" xfId="37" applyNumberFormat="1" applyFont="1" applyFill="1" applyBorder="1" applyAlignment="1" applyProtection="1">
      <alignment/>
      <protection/>
    </xf>
    <xf numFmtId="0" fontId="1" fillId="0" borderId="0" xfId="0" applyFont="1" applyAlignment="1">
      <alignment/>
    </xf>
    <xf numFmtId="0" fontId="4" fillId="0" borderId="25" xfId="0" applyFont="1" applyBorder="1" applyAlignment="1">
      <alignment/>
    </xf>
    <xf numFmtId="3" fontId="4" fillId="0" borderId="23" xfId="35" applyNumberFormat="1" applyFont="1" applyFill="1" applyBorder="1" applyProtection="1">
      <alignment/>
      <protection locked="0"/>
    </xf>
    <xf numFmtId="174" fontId="4" fillId="0" borderId="0" xfId="0" applyNumberFormat="1" applyFont="1" applyAlignment="1" applyProtection="1">
      <alignment/>
      <protection/>
    </xf>
    <xf numFmtId="0" fontId="1" fillId="0" borderId="0" xfId="0" applyFont="1" applyAlignment="1" applyProtection="1">
      <alignment/>
      <protection hidden="1"/>
    </xf>
    <xf numFmtId="178" fontId="1" fillId="0" borderId="66" xfId="37" applyFont="1" applyFill="1" applyBorder="1" applyAlignment="1" applyProtection="1">
      <alignment vertical="center"/>
      <protection/>
    </xf>
    <xf numFmtId="178" fontId="5" fillId="0" borderId="67" xfId="37" applyFill="1" applyBorder="1" applyAlignment="1" applyProtection="1">
      <alignment vertical="center"/>
      <protection/>
    </xf>
    <xf numFmtId="178" fontId="5" fillId="0" borderId="13" xfId="34" applyFont="1" applyFill="1" applyBorder="1" applyAlignment="1" applyProtection="1">
      <alignment horizontal="right"/>
      <protection hidden="1"/>
    </xf>
    <xf numFmtId="170" fontId="4" fillId="0" borderId="25" xfId="34" applyNumberFormat="1" applyFont="1" applyBorder="1" applyAlignment="1" applyProtection="1">
      <alignment horizontal="center"/>
      <protection hidden="1"/>
    </xf>
    <xf numFmtId="4" fontId="4" fillId="0" borderId="25" xfId="34" applyNumberFormat="1" applyFont="1" applyFill="1" applyBorder="1" applyAlignment="1" applyProtection="1">
      <alignment horizontal="center"/>
      <protection hidden="1"/>
    </xf>
    <xf numFmtId="171" fontId="5" fillId="0" borderId="0" xfId="37" applyNumberFormat="1" applyFill="1" applyBorder="1" applyProtection="1">
      <alignment/>
      <protection/>
    </xf>
    <xf numFmtId="0" fontId="0" fillId="0" borderId="0" xfId="0" applyBorder="1" applyAlignment="1">
      <alignment/>
    </xf>
    <xf numFmtId="175" fontId="4" fillId="0" borderId="25" xfId="34" applyNumberFormat="1" applyFont="1" applyBorder="1" applyAlignment="1" applyProtection="1">
      <alignment horizontal="center"/>
      <protection hidden="1"/>
    </xf>
    <xf numFmtId="178" fontId="4" fillId="0" borderId="49" xfId="34" applyFont="1" applyBorder="1" applyAlignment="1" applyProtection="1">
      <alignment/>
      <protection/>
    </xf>
    <xf numFmtId="175" fontId="4" fillId="0" borderId="49" xfId="34" applyNumberFormat="1" applyFont="1" applyBorder="1" applyAlignment="1" applyProtection="1">
      <alignment horizontal="center"/>
      <protection hidden="1"/>
    </xf>
    <xf numFmtId="175" fontId="4" fillId="0" borderId="25" xfId="34" applyNumberFormat="1" applyFont="1" applyFill="1" applyBorder="1" applyAlignment="1" applyProtection="1">
      <alignment horizontal="center"/>
      <protection hidden="1"/>
    </xf>
    <xf numFmtId="166" fontId="4" fillId="0" borderId="23" xfId="0" applyNumberFormat="1" applyFont="1" applyBorder="1" applyAlignment="1" applyProtection="1">
      <alignment horizontal="center"/>
      <protection/>
    </xf>
    <xf numFmtId="37" fontId="4" fillId="0" borderId="68" xfId="0" applyNumberFormat="1" applyFont="1" applyFill="1" applyBorder="1" applyAlignment="1" applyProtection="1">
      <alignment vertical="center"/>
      <protection locked="0"/>
    </xf>
    <xf numFmtId="0" fontId="4" fillId="0" borderId="0" xfId="0" applyFont="1" applyAlignment="1" applyProtection="1">
      <alignment horizontal="justify" vertical="top" wrapText="1"/>
      <protection hidden="1"/>
    </xf>
    <xf numFmtId="0" fontId="4" fillId="0" borderId="16" xfId="0" applyFont="1" applyBorder="1" applyAlignment="1" applyProtection="1">
      <alignment/>
      <protection hidden="1"/>
    </xf>
    <xf numFmtId="178" fontId="4" fillId="0" borderId="17" xfId="34" applyFont="1" applyBorder="1" applyProtection="1">
      <alignment/>
      <protection/>
    </xf>
    <xf numFmtId="3" fontId="4" fillId="0" borderId="13" xfId="0" applyNumberFormat="1" applyFont="1" applyFill="1" applyBorder="1" applyAlignment="1" applyProtection="1" quotePrefix="1">
      <alignment horizontal="left"/>
      <protection hidden="1"/>
    </xf>
    <xf numFmtId="0" fontId="1" fillId="0" borderId="0" xfId="33" applyNumberFormat="1" applyFont="1" applyAlignment="1" applyProtection="1">
      <alignment/>
      <protection hidden="1"/>
    </xf>
    <xf numFmtId="0" fontId="0" fillId="0" borderId="0" xfId="33" applyAlignment="1" applyProtection="1">
      <alignment horizontal="left"/>
      <protection hidden="1"/>
    </xf>
    <xf numFmtId="0" fontId="0" fillId="0" borderId="0" xfId="33" applyAlignment="1" applyProtection="1">
      <alignment/>
      <protection hidden="1"/>
    </xf>
    <xf numFmtId="0" fontId="1" fillId="0" borderId="0" xfId="33" applyFont="1" applyBorder="1" applyAlignment="1" applyProtection="1">
      <alignment/>
      <protection hidden="1"/>
    </xf>
    <xf numFmtId="0" fontId="2" fillId="0" borderId="5" xfId="33" applyNumberFormat="1" applyFont="1" applyBorder="1" applyAlignment="1" applyProtection="1" quotePrefix="1">
      <alignment vertical="center"/>
      <protection hidden="1"/>
    </xf>
    <xf numFmtId="0" fontId="2" fillId="0" borderId="5" xfId="33" applyFont="1" applyBorder="1" applyAlignment="1" applyProtection="1">
      <alignment horizontal="left" vertical="center"/>
      <protection hidden="1"/>
    </xf>
    <xf numFmtId="0" fontId="2" fillId="0" borderId="6" xfId="33" applyFont="1" applyBorder="1" applyAlignment="1" applyProtection="1">
      <alignment horizontal="left" vertical="center"/>
      <protection hidden="1"/>
    </xf>
    <xf numFmtId="0" fontId="3" fillId="0" borderId="6" xfId="33" applyNumberFormat="1" applyFont="1" applyBorder="1" applyAlignment="1" applyProtection="1">
      <alignment vertical="center"/>
      <protection hidden="1"/>
    </xf>
    <xf numFmtId="0" fontId="13" fillId="0" borderId="6" xfId="33" applyNumberFormat="1" applyFont="1" applyBorder="1" applyAlignment="1" applyProtection="1">
      <alignment vertical="center"/>
      <protection hidden="1"/>
    </xf>
    <xf numFmtId="186" fontId="2" fillId="0" borderId="6" xfId="33" applyNumberFormat="1" applyFont="1" applyBorder="1" applyAlignment="1" applyProtection="1">
      <alignment horizontal="right" vertical="center"/>
      <protection hidden="1"/>
    </xf>
    <xf numFmtId="0" fontId="1" fillId="0" borderId="0" xfId="33" applyFont="1">
      <alignment/>
      <protection/>
    </xf>
    <xf numFmtId="0" fontId="2" fillId="0" borderId="0" xfId="33" applyFont="1" applyAlignment="1" applyProtection="1">
      <alignment vertical="center"/>
      <protection/>
    </xf>
    <xf numFmtId="0" fontId="0" fillId="0" borderId="0" xfId="33">
      <alignment/>
      <protection/>
    </xf>
    <xf numFmtId="0" fontId="0" fillId="0" borderId="0" xfId="33" applyFont="1">
      <alignment/>
      <protection/>
    </xf>
    <xf numFmtId="0" fontId="4" fillId="0" borderId="0" xfId="33" applyFont="1" applyBorder="1" applyProtection="1">
      <alignment/>
      <protection/>
    </xf>
    <xf numFmtId="0" fontId="4" fillId="0" borderId="0" xfId="33" applyFont="1" applyProtection="1">
      <alignment/>
      <protection/>
    </xf>
    <xf numFmtId="0" fontId="0" fillId="3" borderId="3" xfId="33" applyFill="1" applyBorder="1" applyAlignment="1">
      <alignment horizontal="center"/>
      <protection/>
    </xf>
    <xf numFmtId="0" fontId="0" fillId="0" borderId="0" xfId="33" applyAlignment="1">
      <alignment vertical="top" wrapText="1"/>
      <protection/>
    </xf>
    <xf numFmtId="0" fontId="4" fillId="0" borderId="0" xfId="33" applyFont="1" applyAlignment="1" applyProtection="1">
      <alignment/>
      <protection/>
    </xf>
    <xf numFmtId="0" fontId="4" fillId="0" borderId="23" xfId="0" applyFont="1" applyBorder="1" applyAlignment="1">
      <alignment/>
    </xf>
    <xf numFmtId="0" fontId="6" fillId="0" borderId="6" xfId="33" applyFont="1" applyBorder="1" applyAlignment="1" applyProtection="1">
      <alignment horizontal="left" vertical="center"/>
      <protection hidden="1"/>
    </xf>
    <xf numFmtId="0" fontId="4" fillId="0" borderId="23" xfId="0" applyFont="1" applyFill="1" applyBorder="1" applyAlignment="1">
      <alignment/>
    </xf>
    <xf numFmtId="170" fontId="5" fillId="0" borderId="0" xfId="0" applyNumberFormat="1" applyFont="1" applyAlignment="1" applyProtection="1">
      <alignment/>
      <protection hidden="1"/>
    </xf>
    <xf numFmtId="0" fontId="4" fillId="0" borderId="0" xfId="0" applyNumberFormat="1" applyFont="1" applyAlignment="1" applyProtection="1">
      <alignment horizontal="right" wrapText="1"/>
      <protection hidden="1"/>
    </xf>
    <xf numFmtId="0" fontId="5" fillId="0" borderId="0" xfId="0" applyNumberFormat="1" applyFont="1" applyAlignment="1" applyProtection="1">
      <alignment horizontal="right"/>
      <protection hidden="1"/>
    </xf>
    <xf numFmtId="0" fontId="5" fillId="0" borderId="0" xfId="0" applyFont="1" applyAlignment="1" applyProtection="1">
      <alignment vertical="top"/>
      <protection hidden="1"/>
    </xf>
    <xf numFmtId="0" fontId="5" fillId="0" borderId="0" xfId="0" applyFont="1" applyAlignment="1" applyProtection="1">
      <alignment horizontal="left" vertical="top"/>
      <protection hidden="1"/>
    </xf>
    <xf numFmtId="170" fontId="4" fillId="0" borderId="0" xfId="0" applyNumberFormat="1" applyFont="1" applyAlignment="1" applyProtection="1">
      <alignment/>
      <protection hidden="1"/>
    </xf>
    <xf numFmtId="0" fontId="4" fillId="0" borderId="0" xfId="0" applyFont="1" applyBorder="1" applyAlignment="1">
      <alignment/>
    </xf>
    <xf numFmtId="49" fontId="4" fillId="0" borderId="38" xfId="0" applyNumberFormat="1" applyFont="1" applyFill="1" applyBorder="1" applyAlignment="1" applyProtection="1">
      <alignment horizontal="left"/>
      <protection locked="0"/>
    </xf>
    <xf numFmtId="0" fontId="4" fillId="3" borderId="23" xfId="0" applyFont="1" applyFill="1" applyBorder="1" applyAlignment="1" applyProtection="1">
      <alignment horizontal="left" vertical="center"/>
      <protection locked="0"/>
    </xf>
    <xf numFmtId="49" fontId="4" fillId="0" borderId="23" xfId="34" applyNumberFormat="1" applyFont="1" applyFill="1" applyBorder="1" applyAlignment="1" applyProtection="1">
      <alignment horizontal="center"/>
      <protection locked="0"/>
    </xf>
    <xf numFmtId="49" fontId="4" fillId="0" borderId="24" xfId="34" applyNumberFormat="1" applyFont="1" applyFill="1" applyBorder="1" applyAlignment="1" applyProtection="1">
      <alignment horizontal="center"/>
      <protection locked="0"/>
    </xf>
    <xf numFmtId="169" fontId="0" fillId="0" borderId="0" xfId="0" applyNumberFormat="1" applyAlignment="1">
      <alignment/>
    </xf>
    <xf numFmtId="0" fontId="0" fillId="0" borderId="5" xfId="0" applyBorder="1" applyAlignment="1">
      <alignment/>
    </xf>
    <xf numFmtId="0" fontId="4" fillId="0" borderId="16" xfId="0" applyFont="1" applyBorder="1" applyAlignment="1">
      <alignment/>
    </xf>
    <xf numFmtId="0" fontId="4" fillId="0" borderId="7" xfId="0" applyFont="1" applyBorder="1" applyAlignment="1">
      <alignment/>
    </xf>
    <xf numFmtId="0" fontId="24" fillId="0" borderId="0" xfId="0" applyFont="1" applyAlignment="1">
      <alignment/>
    </xf>
    <xf numFmtId="0" fontId="4" fillId="0" borderId="3" xfId="0" applyFont="1" applyBorder="1" applyAlignment="1">
      <alignment horizontal="center"/>
    </xf>
    <xf numFmtId="169" fontId="4" fillId="0" borderId="0" xfId="0" applyNumberFormat="1" applyFont="1" applyAlignment="1">
      <alignment/>
    </xf>
    <xf numFmtId="0" fontId="4" fillId="0" borderId="0" xfId="0" applyNumberFormat="1" applyFont="1" applyAlignment="1">
      <alignment/>
    </xf>
    <xf numFmtId="0" fontId="5" fillId="0" borderId="0" xfId="0" applyFont="1" applyAlignment="1">
      <alignment/>
    </xf>
    <xf numFmtId="169" fontId="4" fillId="0" borderId="0" xfId="0" applyNumberFormat="1" applyFont="1" applyBorder="1" applyAlignment="1">
      <alignment/>
    </xf>
    <xf numFmtId="0" fontId="4" fillId="0" borderId="0" xfId="0" applyFont="1" applyBorder="1" applyAlignment="1" applyProtection="1" quotePrefix="1">
      <alignment horizontal="center" wrapText="1"/>
      <protection hidden="1"/>
    </xf>
    <xf numFmtId="0" fontId="4" fillId="0" borderId="0" xfId="0" applyFont="1" applyBorder="1" applyAlignment="1" applyProtection="1">
      <alignment horizontal="center" wrapText="1"/>
      <protection hidden="1"/>
    </xf>
    <xf numFmtId="0" fontId="25" fillId="0" borderId="0" xfId="0" applyFont="1" applyBorder="1" applyAlignment="1" applyProtection="1">
      <alignment vertical="center"/>
      <protection hidden="1"/>
    </xf>
    <xf numFmtId="0" fontId="25" fillId="0" borderId="0" xfId="0" applyFont="1" applyBorder="1" applyAlignment="1" applyProtection="1">
      <alignment/>
      <protection/>
    </xf>
    <xf numFmtId="0" fontId="26"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vertical="center"/>
      <protection/>
    </xf>
    <xf numFmtId="0" fontId="4" fillId="0" borderId="0" xfId="0" applyFont="1" applyAlignment="1">
      <alignment horizontal="center"/>
    </xf>
    <xf numFmtId="169" fontId="4" fillId="0" borderId="0" xfId="0" applyNumberFormat="1" applyFont="1" applyAlignment="1" applyProtection="1">
      <alignment/>
      <protection/>
    </xf>
    <xf numFmtId="0" fontId="4" fillId="0" borderId="16" xfId="0" applyFont="1" applyBorder="1" applyAlignment="1">
      <alignment horizontal="left"/>
    </xf>
    <xf numFmtId="0" fontId="4" fillId="0" borderId="3" xfId="0" applyNumberFormat="1" applyFont="1" applyBorder="1" applyAlignment="1">
      <alignment/>
    </xf>
    <xf numFmtId="0" fontId="4" fillId="0" borderId="3" xfId="0" applyFont="1" applyBorder="1" applyAlignment="1">
      <alignment/>
    </xf>
    <xf numFmtId="169" fontId="5" fillId="0" borderId="0" xfId="0" applyNumberFormat="1" applyFont="1" applyBorder="1" applyAlignment="1">
      <alignment horizontal="center"/>
    </xf>
    <xf numFmtId="0" fontId="5" fillId="0" borderId="0" xfId="0" applyNumberFormat="1" applyFont="1" applyBorder="1" applyAlignment="1">
      <alignment horizontal="center"/>
    </xf>
    <xf numFmtId="0" fontId="4" fillId="0" borderId="0" xfId="0" applyFont="1" applyBorder="1" applyAlignment="1">
      <alignment horizontal="center"/>
    </xf>
    <xf numFmtId="169" fontId="5" fillId="0" borderId="0" xfId="0" applyNumberFormat="1" applyFont="1" applyBorder="1" applyAlignment="1">
      <alignment/>
    </xf>
    <xf numFmtId="169" fontId="5" fillId="0" borderId="0" xfId="0" applyNumberFormat="1" applyFont="1" applyBorder="1" applyAlignment="1" applyProtection="1">
      <alignment/>
      <protection/>
    </xf>
    <xf numFmtId="169" fontId="4" fillId="0" borderId="0" xfId="0" applyNumberFormat="1" applyFont="1" applyFill="1" applyBorder="1" applyAlignment="1" applyProtection="1">
      <alignment/>
      <protection/>
    </xf>
    <xf numFmtId="169" fontId="4" fillId="0" borderId="0" xfId="0" applyNumberFormat="1" applyFont="1" applyFill="1" applyBorder="1" applyAlignment="1">
      <alignment/>
    </xf>
    <xf numFmtId="0" fontId="4" fillId="0" borderId="0" xfId="0" applyFont="1" applyFill="1" applyAlignment="1">
      <alignment/>
    </xf>
    <xf numFmtId="0" fontId="4" fillId="0" borderId="3" xfId="0" applyNumberFormat="1" applyFont="1" applyFill="1" applyBorder="1" applyAlignment="1">
      <alignment/>
    </xf>
    <xf numFmtId="0" fontId="4" fillId="0" borderId="0" xfId="0" applyFont="1" applyAlignment="1">
      <alignment horizontal="left"/>
    </xf>
    <xf numFmtId="169" fontId="4" fillId="7" borderId="0" xfId="0" applyNumberFormat="1" applyFont="1" applyFill="1" applyAlignment="1" applyProtection="1">
      <alignment/>
      <protection/>
    </xf>
    <xf numFmtId="169" fontId="4" fillId="7" borderId="0" xfId="0" applyNumberFormat="1" applyFont="1" applyFill="1" applyAlignment="1">
      <alignment/>
    </xf>
    <xf numFmtId="0" fontId="5" fillId="3" borderId="21" xfId="0" applyFont="1" applyFill="1" applyBorder="1" applyAlignment="1">
      <alignment horizontal="center"/>
    </xf>
    <xf numFmtId="169" fontId="5" fillId="3" borderId="21" xfId="0" applyNumberFormat="1" applyFont="1" applyFill="1" applyBorder="1" applyAlignment="1">
      <alignment horizontal="center"/>
    </xf>
    <xf numFmtId="169" fontId="5" fillId="3" borderId="37" xfId="0" applyNumberFormat="1" applyFont="1" applyFill="1" applyBorder="1" applyAlignment="1">
      <alignment horizontal="center"/>
    </xf>
    <xf numFmtId="0" fontId="5" fillId="3" borderId="14" xfId="0" applyNumberFormat="1" applyFont="1" applyFill="1" applyBorder="1" applyAlignment="1">
      <alignment horizontal="center"/>
    </xf>
    <xf numFmtId="0" fontId="5" fillId="3" borderId="22" xfId="0" applyNumberFormat="1" applyFont="1" applyFill="1" applyBorder="1" applyAlignment="1">
      <alignment horizontal="center"/>
    </xf>
    <xf numFmtId="169" fontId="5" fillId="3" borderId="3" xfId="0" applyNumberFormat="1" applyFont="1" applyFill="1" applyBorder="1" applyAlignment="1">
      <alignment horizontal="right"/>
    </xf>
    <xf numFmtId="169" fontId="5" fillId="3" borderId="3" xfId="0" applyNumberFormat="1" applyFont="1" applyFill="1" applyBorder="1" applyAlignment="1" applyProtection="1">
      <alignment horizontal="center"/>
      <protection/>
    </xf>
    <xf numFmtId="0" fontId="5" fillId="3" borderId="3" xfId="0" applyNumberFormat="1" applyFont="1" applyFill="1" applyBorder="1" applyAlignment="1">
      <alignment horizontal="center"/>
    </xf>
    <xf numFmtId="169" fontId="4" fillId="0" borderId="23" xfId="0" applyNumberFormat="1" applyFont="1" applyBorder="1" applyAlignment="1">
      <alignment/>
    </xf>
    <xf numFmtId="169" fontId="4" fillId="7" borderId="23" xfId="0" applyNumberFormat="1" applyFont="1" applyFill="1" applyBorder="1" applyAlignment="1">
      <alignment/>
    </xf>
    <xf numFmtId="0" fontId="4" fillId="7" borderId="23" xfId="0" applyNumberFormat="1" applyFont="1" applyFill="1" applyBorder="1" applyAlignment="1" applyProtection="1">
      <alignment/>
      <protection/>
    </xf>
    <xf numFmtId="169" fontId="4" fillId="0" borderId="23" xfId="0" applyNumberFormat="1" applyFont="1" applyBorder="1" applyAlignment="1" quotePrefix="1">
      <alignment/>
    </xf>
    <xf numFmtId="169" fontId="4" fillId="0" borderId="23" xfId="0" applyNumberFormat="1" applyFont="1" applyFill="1" applyBorder="1" applyAlignment="1" applyProtection="1">
      <alignment/>
      <protection/>
    </xf>
    <xf numFmtId="169" fontId="4" fillId="0" borderId="0" xfId="0" applyNumberFormat="1" applyFont="1" applyFill="1" applyAlignment="1" applyProtection="1">
      <alignment/>
      <protection/>
    </xf>
    <xf numFmtId="169" fontId="4" fillId="0" borderId="0" xfId="0" applyNumberFormat="1" applyFont="1" applyFill="1" applyAlignment="1">
      <alignment/>
    </xf>
    <xf numFmtId="0" fontId="4" fillId="0" borderId="6" xfId="0" applyFont="1" applyBorder="1" applyAlignment="1" applyProtection="1">
      <alignment/>
      <protection/>
    </xf>
    <xf numFmtId="0" fontId="5" fillId="0" borderId="0" xfId="0" applyNumberFormat="1" applyFont="1" applyAlignment="1" applyProtection="1">
      <alignment horizontal="left"/>
      <protection/>
    </xf>
    <xf numFmtId="0" fontId="5" fillId="0" borderId="0" xfId="0" applyFont="1" applyAlignment="1">
      <alignment horizontal="left"/>
    </xf>
    <xf numFmtId="169" fontId="5" fillId="3" borderId="33" xfId="0" applyNumberFormat="1" applyFont="1" applyFill="1" applyBorder="1" applyAlignment="1">
      <alignment horizontal="center"/>
    </xf>
    <xf numFmtId="169" fontId="5" fillId="3" borderId="14" xfId="0" applyNumberFormat="1" applyFont="1" applyFill="1" applyBorder="1" applyAlignment="1">
      <alignment horizontal="right"/>
    </xf>
    <xf numFmtId="169" fontId="4" fillId="0" borderId="6" xfId="0" applyNumberFormat="1" applyFont="1" applyBorder="1" applyAlignment="1">
      <alignment/>
    </xf>
    <xf numFmtId="0" fontId="5" fillId="3" borderId="14" xfId="0" applyFont="1" applyFill="1" applyBorder="1" applyAlignment="1">
      <alignment horizontal="center"/>
    </xf>
    <xf numFmtId="169" fontId="4" fillId="7" borderId="17" xfId="0" applyNumberFormat="1" applyFont="1" applyFill="1" applyBorder="1" applyAlignment="1">
      <alignment/>
    </xf>
    <xf numFmtId="0" fontId="5" fillId="3" borderId="23" xfId="0" applyFont="1" applyFill="1" applyBorder="1" applyAlignment="1">
      <alignment horizontal="left"/>
    </xf>
    <xf numFmtId="0" fontId="4" fillId="7" borderId="0" xfId="0" applyFont="1" applyFill="1" applyAlignment="1">
      <alignment/>
    </xf>
    <xf numFmtId="169" fontId="5" fillId="3" borderId="21" xfId="0" applyNumberFormat="1" applyFont="1" applyFill="1" applyBorder="1" applyAlignment="1" applyProtection="1">
      <alignment horizontal="center"/>
      <protection/>
    </xf>
    <xf numFmtId="169" fontId="5" fillId="3" borderId="3" xfId="0" applyNumberFormat="1" applyFont="1" applyFill="1" applyBorder="1" applyAlignment="1">
      <alignment horizontal="center"/>
    </xf>
    <xf numFmtId="169" fontId="5" fillId="3" borderId="3" xfId="0" applyNumberFormat="1" applyFont="1" applyFill="1" applyBorder="1" applyAlignment="1" applyProtection="1">
      <alignment horizontal="right"/>
      <protection/>
    </xf>
    <xf numFmtId="169" fontId="5" fillId="0" borderId="0" xfId="0" applyNumberFormat="1" applyFont="1" applyBorder="1" applyAlignment="1" applyProtection="1">
      <alignment horizontal="center"/>
      <protection/>
    </xf>
    <xf numFmtId="0" fontId="4" fillId="7" borderId="23" xfId="0" applyFont="1" applyFill="1" applyBorder="1" applyAlignment="1" quotePrefix="1">
      <alignment/>
    </xf>
    <xf numFmtId="169" fontId="4" fillId="0" borderId="0" xfId="0" applyNumberFormat="1" applyFont="1" applyFill="1" applyBorder="1" applyAlignment="1" applyProtection="1" quotePrefix="1">
      <alignment/>
      <protection/>
    </xf>
    <xf numFmtId="169" fontId="4" fillId="0" borderId="0" xfId="0" applyNumberFormat="1" applyFont="1" applyBorder="1" applyAlignment="1" applyProtection="1">
      <alignment/>
      <protection/>
    </xf>
    <xf numFmtId="169" fontId="4" fillId="0" borderId="23" xfId="0" applyNumberFormat="1" applyFont="1" applyFill="1" applyBorder="1" applyAlignment="1">
      <alignment/>
    </xf>
    <xf numFmtId="0" fontId="4" fillId="0" borderId="23" xfId="0" applyNumberFormat="1" applyFont="1" applyFill="1" applyBorder="1" applyAlignment="1" applyProtection="1" quotePrefix="1">
      <alignment horizontal="right"/>
      <protection/>
    </xf>
    <xf numFmtId="0" fontId="4" fillId="0" borderId="23" xfId="0" applyNumberFormat="1" applyFont="1" applyBorder="1" applyAlignment="1" applyProtection="1" quotePrefix="1">
      <alignment/>
      <protection/>
    </xf>
    <xf numFmtId="0" fontId="4" fillId="0" borderId="25" xfId="0" applyFont="1" applyBorder="1" applyAlignment="1">
      <alignment horizontal="left"/>
    </xf>
    <xf numFmtId="0" fontId="4" fillId="0" borderId="5" xfId="0" applyFont="1" applyBorder="1" applyAlignment="1">
      <alignment/>
    </xf>
    <xf numFmtId="0" fontId="5" fillId="0" borderId="6" xfId="0" applyNumberFormat="1" applyFont="1" applyBorder="1" applyAlignment="1" applyProtection="1">
      <alignment horizontal="left"/>
      <protection/>
    </xf>
    <xf numFmtId="0" fontId="5" fillId="7" borderId="0" xfId="0" applyFont="1" applyFill="1" applyAlignment="1">
      <alignment horizontal="left"/>
    </xf>
    <xf numFmtId="0" fontId="5" fillId="7" borderId="0" xfId="0" applyFont="1" applyFill="1" applyBorder="1" applyAlignment="1">
      <alignment/>
    </xf>
    <xf numFmtId="0" fontId="5" fillId="3" borderId="25" xfId="0" applyFont="1" applyFill="1" applyBorder="1" applyAlignment="1">
      <alignment horizontal="left"/>
    </xf>
    <xf numFmtId="0" fontId="4" fillId="7" borderId="23" xfId="0" applyFont="1" applyFill="1" applyBorder="1" applyAlignment="1">
      <alignment/>
    </xf>
    <xf numFmtId="173" fontId="4" fillId="7" borderId="23" xfId="0" applyNumberFormat="1" applyFont="1" applyFill="1" applyBorder="1" applyAlignment="1" applyProtection="1">
      <alignment/>
      <protection/>
    </xf>
    <xf numFmtId="0" fontId="5" fillId="0" borderId="0" xfId="0" applyFont="1" applyAlignment="1" applyProtection="1">
      <alignment horizontal="left"/>
      <protection/>
    </xf>
    <xf numFmtId="9" fontId="4" fillId="7" borderId="23" xfId="30" applyFont="1" applyFill="1" applyBorder="1" applyAlignment="1" applyProtection="1">
      <alignment/>
      <protection/>
    </xf>
    <xf numFmtId="178" fontId="4" fillId="0" borderId="25" xfId="34" applyFont="1" applyFill="1" applyBorder="1" applyProtection="1">
      <alignment/>
      <protection locked="0"/>
    </xf>
    <xf numFmtId="0" fontId="5" fillId="3" borderId="3" xfId="0" applyFont="1" applyFill="1" applyBorder="1" applyAlignment="1">
      <alignment/>
    </xf>
    <xf numFmtId="0" fontId="5" fillId="3" borderId="3" xfId="0" applyFont="1" applyFill="1" applyBorder="1" applyAlignment="1">
      <alignment horizontal="center"/>
    </xf>
    <xf numFmtId="0" fontId="4" fillId="0" borderId="23" xfId="0" applyNumberFormat="1" applyFont="1" applyBorder="1" applyAlignment="1">
      <alignment/>
    </xf>
    <xf numFmtId="169" fontId="5" fillId="3" borderId="3" xfId="0" applyNumberFormat="1" applyFont="1" applyFill="1" applyBorder="1" applyAlignment="1">
      <alignment/>
    </xf>
    <xf numFmtId="10" fontId="4" fillId="0" borderId="0" xfId="0" applyNumberFormat="1" applyFont="1" applyAlignment="1">
      <alignment/>
    </xf>
    <xf numFmtId="10" fontId="4" fillId="0" borderId="0" xfId="0" applyNumberFormat="1" applyFont="1" applyBorder="1" applyAlignment="1">
      <alignment/>
    </xf>
    <xf numFmtId="0" fontId="5" fillId="3" borderId="50" xfId="0" applyFont="1" applyFill="1" applyBorder="1" applyAlignment="1">
      <alignment horizontal="center"/>
    </xf>
    <xf numFmtId="10" fontId="5" fillId="3" borderId="21" xfId="0" applyNumberFormat="1" applyFont="1" applyFill="1" applyBorder="1" applyAlignment="1">
      <alignment horizontal="center"/>
    </xf>
    <xf numFmtId="0" fontId="5" fillId="3" borderId="33" xfId="0" applyFont="1" applyFill="1" applyBorder="1" applyAlignment="1">
      <alignment horizontal="center"/>
    </xf>
    <xf numFmtId="0" fontId="5" fillId="3" borderId="64" xfId="0" applyFont="1" applyFill="1" applyBorder="1" applyAlignment="1">
      <alignment horizontal="center"/>
    </xf>
    <xf numFmtId="10" fontId="5" fillId="3" borderId="2" xfId="0" applyNumberFormat="1" applyFont="1" applyFill="1" applyBorder="1" applyAlignment="1">
      <alignment horizontal="center"/>
    </xf>
    <xf numFmtId="0" fontId="5" fillId="3" borderId="0" xfId="0" applyFont="1" applyFill="1" applyBorder="1" applyAlignment="1">
      <alignment horizontal="center"/>
    </xf>
    <xf numFmtId="0" fontId="5" fillId="3" borderId="2" xfId="0" applyFont="1" applyFill="1" applyBorder="1" applyAlignment="1">
      <alignment horizontal="center"/>
    </xf>
    <xf numFmtId="0" fontId="5" fillId="3" borderId="51" xfId="0" applyFont="1" applyFill="1" applyBorder="1" applyAlignment="1">
      <alignment horizontal="center"/>
    </xf>
    <xf numFmtId="10" fontId="5" fillId="3" borderId="14" xfId="0" applyNumberFormat="1" applyFont="1" applyFill="1" applyBorder="1" applyAlignment="1">
      <alignment horizontal="center"/>
    </xf>
    <xf numFmtId="0" fontId="5" fillId="3" borderId="6" xfId="0" applyFont="1" applyFill="1" applyBorder="1" applyAlignment="1">
      <alignment horizontal="center"/>
    </xf>
    <xf numFmtId="0" fontId="4" fillId="0" borderId="0" xfId="0" applyNumberFormat="1" applyFont="1" applyBorder="1" applyAlignment="1" applyProtection="1">
      <alignment horizontal="left" vertical="center"/>
      <protection hidden="1"/>
    </xf>
    <xf numFmtId="0" fontId="15" fillId="0" borderId="0" xfId="0" applyFont="1" applyBorder="1" applyAlignment="1" applyProtection="1">
      <alignment vertical="center"/>
      <protection hidden="1"/>
    </xf>
    <xf numFmtId="0" fontId="0" fillId="0" borderId="6" xfId="0" applyBorder="1" applyAlignment="1">
      <alignment/>
    </xf>
    <xf numFmtId="0" fontId="4" fillId="0" borderId="13" xfId="0" applyFont="1" applyBorder="1" applyAlignment="1">
      <alignment/>
    </xf>
    <xf numFmtId="0" fontId="4" fillId="0" borderId="23" xfId="0" applyFont="1" applyBorder="1" applyAlignment="1">
      <alignment horizontal="left"/>
    </xf>
    <xf numFmtId="184" fontId="4" fillId="0" borderId="0" xfId="36" applyNumberFormat="1" applyFont="1" applyFill="1" applyBorder="1" applyAlignment="1" applyProtection="1">
      <alignment/>
      <protection/>
    </xf>
    <xf numFmtId="178" fontId="4" fillId="3" borderId="23" xfId="34" applyFont="1" applyFill="1" applyBorder="1" applyProtection="1">
      <alignment/>
      <protection/>
    </xf>
    <xf numFmtId="0" fontId="5" fillId="0" borderId="0" xfId="0" applyFont="1" applyFill="1" applyBorder="1" applyAlignment="1">
      <alignment horizontal="left"/>
    </xf>
    <xf numFmtId="178" fontId="4" fillId="0" borderId="0" xfId="34" applyFont="1" applyFill="1" applyBorder="1" applyProtection="1">
      <alignment/>
      <protection/>
    </xf>
    <xf numFmtId="178" fontId="5" fillId="0" borderId="0" xfId="35" applyNumberFormat="1" applyFont="1" applyFill="1" applyBorder="1" applyAlignment="1" applyProtection="1">
      <alignment horizontal="left"/>
      <protection/>
    </xf>
    <xf numFmtId="178" fontId="5" fillId="3" borderId="23" xfId="35" applyNumberFormat="1" applyFont="1" applyFill="1" applyBorder="1" applyAlignment="1" applyProtection="1">
      <alignment horizontal="left"/>
      <protection/>
    </xf>
    <xf numFmtId="2" fontId="4" fillId="0" borderId="0" xfId="0" applyNumberFormat="1" applyFont="1" applyAlignment="1">
      <alignment/>
    </xf>
    <xf numFmtId="3" fontId="4" fillId="0" borderId="0" xfId="0" applyNumberFormat="1" applyFont="1" applyAlignment="1">
      <alignment/>
    </xf>
    <xf numFmtId="0" fontId="5" fillId="0" borderId="0" xfId="0" applyFont="1" applyBorder="1" applyAlignment="1">
      <alignment/>
    </xf>
    <xf numFmtId="9" fontId="4" fillId="0" borderId="23" xfId="0" applyNumberFormat="1" applyFont="1" applyFill="1" applyBorder="1" applyAlignment="1">
      <alignment/>
    </xf>
    <xf numFmtId="9" fontId="4" fillId="0" borderId="23" xfId="30" applyFont="1" applyFill="1" applyBorder="1" applyAlignment="1">
      <alignment/>
    </xf>
    <xf numFmtId="0" fontId="5" fillId="3" borderId="23" xfId="0" applyFont="1" applyFill="1" applyBorder="1" applyAlignment="1">
      <alignment/>
    </xf>
    <xf numFmtId="3" fontId="5" fillId="3" borderId="23" xfId="0" applyNumberFormat="1" applyFont="1" applyFill="1" applyBorder="1" applyAlignment="1">
      <alignment/>
    </xf>
    <xf numFmtId="177" fontId="5" fillId="0" borderId="0" xfId="34" applyNumberFormat="1" applyFont="1" applyFill="1" applyBorder="1" applyProtection="1">
      <alignment/>
      <protection/>
    </xf>
    <xf numFmtId="177" fontId="5" fillId="0" borderId="0" xfId="37" applyNumberFormat="1" applyFont="1" applyFill="1" applyBorder="1" applyProtection="1">
      <alignment/>
      <protection/>
    </xf>
    <xf numFmtId="0" fontId="5" fillId="0" borderId="0" xfId="0" applyNumberFormat="1" applyFont="1" applyFill="1" applyBorder="1" applyAlignment="1" applyProtection="1">
      <alignment horizontal="center" vertical="center"/>
      <protection hidden="1"/>
    </xf>
    <xf numFmtId="0" fontId="4" fillId="0" borderId="69" xfId="0" applyFont="1" applyFill="1" applyBorder="1" applyAlignment="1" applyProtection="1">
      <alignment horizontal="center" vertical="center"/>
      <protection hidden="1"/>
    </xf>
    <xf numFmtId="0" fontId="4" fillId="0" borderId="0" xfId="0" applyFont="1" applyAlignment="1" applyProtection="1">
      <alignment horizontal="center"/>
      <protection/>
    </xf>
    <xf numFmtId="0" fontId="5" fillId="0" borderId="70" xfId="0" applyFont="1" applyFill="1" applyBorder="1" applyAlignment="1" applyProtection="1">
      <alignment horizontal="center" vertical="center"/>
      <protection hidden="1"/>
    </xf>
    <xf numFmtId="189" fontId="5" fillId="3" borderId="14" xfId="0" applyNumberFormat="1"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4" fillId="0" borderId="0" xfId="0" applyFont="1" applyFill="1" applyAlignment="1" applyProtection="1">
      <alignment horizontal="center" vertical="center"/>
      <protection/>
    </xf>
    <xf numFmtId="0" fontId="4" fillId="0" borderId="0" xfId="0" applyFont="1" applyFill="1" applyBorder="1" applyAlignment="1">
      <alignment/>
    </xf>
    <xf numFmtId="189" fontId="5" fillId="3" borderId="14" xfId="0" applyNumberFormat="1" applyFont="1" applyFill="1" applyBorder="1" applyAlignment="1" applyProtection="1">
      <alignment vertical="center"/>
      <protection hidden="1"/>
    </xf>
    <xf numFmtId="0" fontId="5" fillId="3" borderId="14" xfId="0" applyFont="1" applyFill="1" applyBorder="1" applyAlignment="1" applyProtection="1">
      <alignment horizontal="center" vertical="center"/>
      <protection hidden="1"/>
    </xf>
    <xf numFmtId="189" fontId="5" fillId="3" borderId="3" xfId="0" applyNumberFormat="1" applyFont="1" applyFill="1" applyBorder="1" applyAlignment="1" applyProtection="1">
      <alignment horizontal="center" vertical="center"/>
      <protection hidden="1"/>
    </xf>
    <xf numFmtId="0" fontId="5" fillId="3" borderId="21" xfId="0" applyFont="1" applyFill="1" applyBorder="1" applyAlignment="1" applyProtection="1">
      <alignment vertical="center"/>
      <protection hidden="1"/>
    </xf>
    <xf numFmtId="0" fontId="4" fillId="0" borderId="17" xfId="0" applyFont="1" applyBorder="1" applyAlignment="1" applyProtection="1">
      <alignment/>
      <protection/>
    </xf>
    <xf numFmtId="0" fontId="27" fillId="0" borderId="17" xfId="0" applyFont="1" applyBorder="1" applyAlignment="1" applyProtection="1">
      <alignment/>
      <protection/>
    </xf>
    <xf numFmtId="0" fontId="4" fillId="0" borderId="0" xfId="0" applyFont="1" applyBorder="1" applyAlignment="1">
      <alignment horizontal="left"/>
    </xf>
    <xf numFmtId="0" fontId="5" fillId="0" borderId="6" xfId="0" applyNumberFormat="1" applyFont="1" applyBorder="1" applyAlignment="1" applyProtection="1">
      <alignment/>
      <protection hidden="1"/>
    </xf>
    <xf numFmtId="0" fontId="4" fillId="0" borderId="6" xfId="0" applyFont="1" applyBorder="1" applyAlignment="1" applyProtection="1">
      <alignment/>
      <protection hidden="1"/>
    </xf>
    <xf numFmtId="178" fontId="4" fillId="3" borderId="23" xfId="0" applyNumberFormat="1" applyFont="1" applyFill="1" applyBorder="1" applyAlignment="1">
      <alignment/>
    </xf>
    <xf numFmtId="0" fontId="5" fillId="3" borderId="24" xfId="0" applyNumberFormat="1" applyFont="1" applyFill="1" applyBorder="1" applyAlignment="1" applyProtection="1">
      <alignment horizontal="left"/>
      <protection hidden="1"/>
    </xf>
    <xf numFmtId="0" fontId="5" fillId="7" borderId="0" xfId="0" applyNumberFormat="1" applyFont="1" applyFill="1" applyBorder="1" applyAlignment="1" applyProtection="1">
      <alignment horizontal="left"/>
      <protection hidden="1"/>
    </xf>
    <xf numFmtId="0" fontId="5" fillId="7" borderId="0" xfId="0" applyFont="1" applyFill="1" applyBorder="1" applyAlignment="1">
      <alignment horizontal="left"/>
    </xf>
    <xf numFmtId="0" fontId="4" fillId="3" borderId="23" xfId="0" applyFont="1" applyFill="1" applyBorder="1" applyAlignment="1">
      <alignment/>
    </xf>
    <xf numFmtId="3" fontId="4" fillId="0" borderId="23" xfId="0" applyNumberFormat="1" applyFont="1" applyBorder="1" applyAlignment="1">
      <alignment/>
    </xf>
    <xf numFmtId="0" fontId="4" fillId="0" borderId="13" xfId="0" applyFont="1" applyFill="1" applyBorder="1" applyAlignment="1">
      <alignment horizontal="left"/>
    </xf>
    <xf numFmtId="0" fontId="5" fillId="3" borderId="50" xfId="0" applyFont="1" applyFill="1" applyBorder="1" applyAlignment="1">
      <alignment/>
    </xf>
    <xf numFmtId="0" fontId="5" fillId="3" borderId="37" xfId="0" applyNumberFormat="1" applyFont="1" applyFill="1" applyBorder="1" applyAlignment="1">
      <alignment/>
    </xf>
    <xf numFmtId="0" fontId="5" fillId="3" borderId="51" xfId="0" applyFont="1" applyFill="1" applyBorder="1" applyAlignment="1">
      <alignment/>
    </xf>
    <xf numFmtId="0" fontId="5" fillId="3" borderId="22" xfId="0" applyNumberFormat="1" applyFont="1" applyFill="1" applyBorder="1" applyAlignment="1">
      <alignment/>
    </xf>
    <xf numFmtId="0" fontId="5" fillId="0" borderId="0" xfId="0" applyFont="1" applyFill="1" applyBorder="1" applyAlignment="1">
      <alignment/>
    </xf>
    <xf numFmtId="0" fontId="5" fillId="0" borderId="0" xfId="0" applyNumberFormat="1" applyFont="1" applyFill="1" applyBorder="1" applyAlignment="1">
      <alignment/>
    </xf>
    <xf numFmtId="1" fontId="5" fillId="0" borderId="0" xfId="0" applyNumberFormat="1" applyFont="1" applyFill="1" applyBorder="1" applyAlignment="1">
      <alignment/>
    </xf>
    <xf numFmtId="0" fontId="5" fillId="3" borderId="23" xfId="0" applyFont="1" applyFill="1" applyBorder="1" applyAlignment="1">
      <alignment horizontal="center"/>
    </xf>
    <xf numFmtId="0" fontId="5" fillId="3" borderId="25" xfId="0" applyFont="1" applyFill="1" applyBorder="1" applyAlignment="1" applyProtection="1">
      <alignment/>
      <protection hidden="1"/>
    </xf>
    <xf numFmtId="0" fontId="5" fillId="3" borderId="13" xfId="0" applyFont="1" applyFill="1" applyBorder="1" applyAlignment="1">
      <alignment horizontal="left"/>
    </xf>
    <xf numFmtId="0" fontId="5" fillId="3" borderId="17" xfId="0" applyFont="1" applyFill="1" applyBorder="1" applyAlignment="1">
      <alignment horizontal="left"/>
    </xf>
    <xf numFmtId="0" fontId="4" fillId="3" borderId="13" xfId="0" applyFont="1" applyFill="1" applyBorder="1" applyAlignment="1">
      <alignment/>
    </xf>
    <xf numFmtId="0" fontId="5" fillId="3" borderId="0" xfId="0" applyFont="1" applyFill="1" applyAlignment="1">
      <alignment/>
    </xf>
    <xf numFmtId="0" fontId="4" fillId="0" borderId="24" xfId="34" applyNumberFormat="1" applyFont="1" applyBorder="1" applyProtection="1">
      <alignment/>
      <protection/>
    </xf>
    <xf numFmtId="0" fontId="5" fillId="0" borderId="0" xfId="0" applyFont="1" applyBorder="1" applyAlignment="1" applyProtection="1">
      <alignment vertical="center"/>
      <protection hidden="1"/>
    </xf>
    <xf numFmtId="0" fontId="5" fillId="3" borderId="13" xfId="0" applyFont="1" applyFill="1" applyBorder="1" applyAlignment="1" applyProtection="1">
      <alignment wrapText="1"/>
      <protection hidden="1"/>
    </xf>
    <xf numFmtId="0" fontId="4" fillId="3" borderId="17" xfId="0" applyFont="1" applyFill="1" applyBorder="1" applyAlignment="1" applyProtection="1">
      <alignment/>
      <protection hidden="1"/>
    </xf>
    <xf numFmtId="3" fontId="4" fillId="0" borderId="0" xfId="0" applyNumberFormat="1" applyFont="1" applyBorder="1" applyAlignment="1">
      <alignment horizontal="center"/>
    </xf>
    <xf numFmtId="178" fontId="4" fillId="3" borderId="23" xfId="0" applyNumberFormat="1" applyFont="1" applyFill="1" applyBorder="1" applyAlignment="1" applyProtection="1">
      <alignment/>
      <protection/>
    </xf>
    <xf numFmtId="166" fontId="4" fillId="0" borderId="23" xfId="0" applyNumberFormat="1" applyFont="1" applyBorder="1" applyAlignment="1">
      <alignment/>
    </xf>
    <xf numFmtId="3" fontId="4" fillId="0" borderId="17" xfId="0" applyNumberFormat="1" applyFont="1" applyBorder="1" applyAlignment="1" applyProtection="1">
      <alignment/>
      <protection/>
    </xf>
    <xf numFmtId="37" fontId="4" fillId="0" borderId="23" xfId="0" applyNumberFormat="1" applyFont="1" applyBorder="1" applyAlignment="1">
      <alignment/>
    </xf>
    <xf numFmtId="37" fontId="4" fillId="0" borderId="23" xfId="0" applyNumberFormat="1" applyFont="1" applyBorder="1" applyAlignment="1">
      <alignment horizontal="left" vertical="top" wrapText="1"/>
    </xf>
    <xf numFmtId="3" fontId="4" fillId="0" borderId="38" xfId="0" applyNumberFormat="1" applyFont="1" applyBorder="1" applyAlignment="1">
      <alignment/>
    </xf>
    <xf numFmtId="0" fontId="5" fillId="3" borderId="21" xfId="0" applyFont="1" applyFill="1" applyBorder="1" applyAlignment="1">
      <alignment/>
    </xf>
    <xf numFmtId="0" fontId="5" fillId="3" borderId="14" xfId="0" applyFont="1" applyFill="1" applyBorder="1" applyAlignment="1">
      <alignment/>
    </xf>
    <xf numFmtId="0" fontId="4" fillId="7" borderId="0" xfId="0" applyFont="1" applyFill="1" applyBorder="1" applyAlignment="1">
      <alignment/>
    </xf>
    <xf numFmtId="0" fontId="4" fillId="7" borderId="25" xfId="0" applyFont="1" applyFill="1" applyBorder="1" applyAlignment="1">
      <alignment/>
    </xf>
    <xf numFmtId="0" fontId="4" fillId="0" borderId="71" xfId="0" applyFont="1" applyBorder="1" applyAlignment="1">
      <alignment/>
    </xf>
    <xf numFmtId="169" fontId="5" fillId="3" borderId="23" xfId="0" applyNumberFormat="1" applyFont="1" applyFill="1" applyBorder="1" applyAlignment="1">
      <alignment/>
    </xf>
    <xf numFmtId="186" fontId="5" fillId="3" borderId="23" xfId="0" applyNumberFormat="1" applyFont="1" applyFill="1" applyBorder="1" applyAlignment="1">
      <alignment/>
    </xf>
    <xf numFmtId="0" fontId="2" fillId="0" borderId="0" xfId="0" applyFont="1" applyAlignment="1">
      <alignment/>
    </xf>
    <xf numFmtId="0" fontId="4" fillId="7" borderId="49" xfId="0" applyFont="1" applyFill="1" applyBorder="1" applyAlignment="1">
      <alignment/>
    </xf>
    <xf numFmtId="0" fontId="4" fillId="7" borderId="32" xfId="0" applyFont="1" applyFill="1" applyBorder="1" applyAlignment="1">
      <alignment horizontal="right"/>
    </xf>
    <xf numFmtId="9" fontId="4" fillId="7" borderId="13" xfId="0" applyNumberFormat="1" applyFont="1" applyFill="1" applyBorder="1" applyAlignment="1">
      <alignment/>
    </xf>
    <xf numFmtId="0" fontId="21" fillId="3" borderId="72" xfId="0" applyFont="1" applyFill="1" applyBorder="1" applyAlignment="1">
      <alignment/>
    </xf>
    <xf numFmtId="9" fontId="21" fillId="3" borderId="26" xfId="0" applyNumberFormat="1" applyFont="1" applyFill="1" applyBorder="1" applyAlignment="1">
      <alignment/>
    </xf>
    <xf numFmtId="186" fontId="15" fillId="0" borderId="0" xfId="0" applyNumberFormat="1" applyFont="1" applyBorder="1" applyAlignment="1" applyProtection="1">
      <alignment horizontal="right" vertical="center"/>
      <protection/>
    </xf>
    <xf numFmtId="0" fontId="2" fillId="0" borderId="0" xfId="0" applyFont="1" applyBorder="1" applyAlignment="1">
      <alignment/>
    </xf>
    <xf numFmtId="0" fontId="4" fillId="0" borderId="23" xfId="34" applyNumberFormat="1" applyFont="1" applyFill="1" applyBorder="1" applyProtection="1">
      <alignment/>
      <protection locked="0"/>
    </xf>
    <xf numFmtId="0" fontId="4" fillId="0" borderId="17" xfId="0" applyFont="1" applyBorder="1" applyAlignment="1">
      <alignment horizontal="left"/>
    </xf>
    <xf numFmtId="3" fontId="4" fillId="7" borderId="23" xfId="0" applyNumberFormat="1" applyFont="1" applyFill="1" applyBorder="1" applyAlignment="1">
      <alignment horizontal="right"/>
    </xf>
    <xf numFmtId="3" fontId="5" fillId="3" borderId="23" xfId="0" applyNumberFormat="1" applyFont="1" applyFill="1" applyBorder="1" applyAlignment="1">
      <alignment horizontal="right"/>
    </xf>
    <xf numFmtId="3" fontId="4" fillId="0" borderId="23" xfId="0" applyNumberFormat="1" applyFont="1" applyBorder="1" applyAlignment="1">
      <alignment horizontal="right"/>
    </xf>
    <xf numFmtId="3" fontId="4" fillId="0" borderId="17" xfId="0" applyNumberFormat="1" applyFont="1" applyBorder="1" applyAlignment="1">
      <alignment/>
    </xf>
    <xf numFmtId="0" fontId="5" fillId="0" borderId="0" xfId="0" applyFont="1" applyFill="1" applyAlignment="1">
      <alignment/>
    </xf>
    <xf numFmtId="169" fontId="4" fillId="0" borderId="23" xfId="0" applyNumberFormat="1" applyFont="1" applyBorder="1" applyAlignment="1">
      <alignment horizontal="right"/>
    </xf>
    <xf numFmtId="0" fontId="20" fillId="0" borderId="0" xfId="0" applyFont="1" applyAlignment="1">
      <alignment/>
    </xf>
    <xf numFmtId="0" fontId="4" fillId="0" borderId="0" xfId="0" applyNumberFormat="1" applyFont="1" applyFill="1" applyBorder="1" applyAlignment="1">
      <alignment/>
    </xf>
    <xf numFmtId="0" fontId="4" fillId="0" borderId="0" xfId="0" applyNumberFormat="1" applyFont="1" applyBorder="1" applyAlignment="1">
      <alignment/>
    </xf>
    <xf numFmtId="0" fontId="4" fillId="0" borderId="23" xfId="0" applyFont="1" applyBorder="1" applyAlignment="1" quotePrefix="1">
      <alignment/>
    </xf>
    <xf numFmtId="169" fontId="5" fillId="3" borderId="14" xfId="0" applyNumberFormat="1" applyFont="1" applyFill="1" applyBorder="1" applyAlignment="1">
      <alignment horizontal="center"/>
    </xf>
    <xf numFmtId="0" fontId="5" fillId="0" borderId="26" xfId="0" applyFont="1" applyFill="1" applyBorder="1" applyAlignment="1">
      <alignment horizontal="center"/>
    </xf>
    <xf numFmtId="0" fontId="4" fillId="0" borderId="25" xfId="0" applyFont="1" applyFill="1" applyBorder="1" applyAlignment="1">
      <alignment horizontal="left"/>
    </xf>
    <xf numFmtId="0" fontId="4" fillId="0" borderId="25" xfId="0" applyFont="1" applyFill="1" applyBorder="1" applyAlignment="1">
      <alignment/>
    </xf>
    <xf numFmtId="0" fontId="4" fillId="0" borderId="13" xfId="0" applyFont="1" applyFill="1" applyBorder="1" applyAlignment="1">
      <alignment/>
    </xf>
    <xf numFmtId="0" fontId="5" fillId="0" borderId="26" xfId="0" applyFont="1" applyFill="1" applyBorder="1" applyAlignment="1">
      <alignment/>
    </xf>
    <xf numFmtId="37" fontId="5" fillId="3" borderId="2" xfId="0" applyNumberFormat="1" applyFont="1" applyFill="1" applyBorder="1" applyAlignment="1" applyProtection="1">
      <alignment horizontal="center" vertical="center"/>
      <protection hidden="1"/>
    </xf>
    <xf numFmtId="178" fontId="4" fillId="0" borderId="24" xfId="34" applyFont="1" applyFill="1" applyBorder="1" applyAlignment="1" applyProtection="1">
      <alignment/>
      <protection/>
    </xf>
    <xf numFmtId="171" fontId="21" fillId="0" borderId="71" xfId="37" applyNumberFormat="1" applyFont="1" applyFill="1" applyBorder="1" applyAlignment="1" applyProtection="1">
      <alignment/>
      <protection/>
    </xf>
    <xf numFmtId="37" fontId="5" fillId="3" borderId="23" xfId="0" applyNumberFormat="1" applyFont="1" applyFill="1" applyBorder="1" applyAlignment="1">
      <alignment/>
    </xf>
    <xf numFmtId="3" fontId="5" fillId="3" borderId="17" xfId="0" applyNumberFormat="1" applyFont="1" applyFill="1" applyBorder="1" applyAlignment="1" applyProtection="1">
      <alignment/>
      <protection/>
    </xf>
    <xf numFmtId="166" fontId="5" fillId="3" borderId="23" xfId="0" applyNumberFormat="1" applyFont="1" applyFill="1" applyBorder="1" applyAlignment="1">
      <alignment/>
    </xf>
    <xf numFmtId="184" fontId="5" fillId="3" borderId="17" xfId="36" applyNumberFormat="1" applyFont="1" applyFill="1" applyBorder="1" applyAlignment="1" applyProtection="1">
      <alignment/>
      <protection/>
    </xf>
    <xf numFmtId="3" fontId="4" fillId="0" borderId="23" xfId="0" applyNumberFormat="1" applyFont="1" applyBorder="1" applyAlignment="1" applyProtection="1">
      <alignment/>
      <protection/>
    </xf>
    <xf numFmtId="3" fontId="4" fillId="7" borderId="38" xfId="0" applyNumberFormat="1" applyFont="1" applyFill="1" applyBorder="1" applyAlignment="1">
      <alignment horizontal="right"/>
    </xf>
    <xf numFmtId="3" fontId="4" fillId="0" borderId="24" xfId="34" applyNumberFormat="1" applyFont="1" applyFill="1" applyBorder="1" applyProtection="1">
      <alignment/>
      <protection locked="0"/>
    </xf>
    <xf numFmtId="3" fontId="5" fillId="3" borderId="23" xfId="37" applyNumberFormat="1" applyFont="1" applyBorder="1" applyAlignment="1" applyProtection="1">
      <alignment/>
      <protection/>
    </xf>
    <xf numFmtId="3" fontId="4" fillId="0" borderId="71" xfId="0" applyNumberFormat="1" applyFont="1" applyBorder="1" applyAlignment="1">
      <alignment/>
    </xf>
    <xf numFmtId="3" fontId="4" fillId="7" borderId="0" xfId="0" applyNumberFormat="1" applyFont="1" applyFill="1" applyBorder="1" applyAlignment="1">
      <alignment/>
    </xf>
    <xf numFmtId="3" fontId="5" fillId="3" borderId="13" xfId="0" applyNumberFormat="1" applyFont="1" applyFill="1" applyBorder="1" applyAlignment="1">
      <alignment/>
    </xf>
    <xf numFmtId="178" fontId="5" fillId="3" borderId="23" xfId="0" applyNumberFormat="1" applyFont="1" applyFill="1" applyBorder="1" applyAlignment="1">
      <alignment/>
    </xf>
    <xf numFmtId="0" fontId="5" fillId="3" borderId="23" xfId="0" applyFont="1" applyFill="1" applyBorder="1" applyAlignment="1" applyProtection="1">
      <alignment/>
      <protection hidden="1"/>
    </xf>
    <xf numFmtId="0" fontId="5" fillId="0" borderId="23" xfId="0" applyFont="1" applyFill="1" applyBorder="1" applyAlignment="1" applyProtection="1">
      <alignment/>
      <protection hidden="1"/>
    </xf>
    <xf numFmtId="0" fontId="4" fillId="0" borderId="5" xfId="0" applyNumberFormat="1" applyFont="1" applyBorder="1" applyAlignment="1" applyProtection="1">
      <alignment vertical="center"/>
      <protection/>
    </xf>
    <xf numFmtId="0" fontId="5" fillId="3" borderId="3" xfId="0" applyFont="1" applyFill="1" applyBorder="1" applyAlignment="1">
      <alignment horizontal="left"/>
    </xf>
    <xf numFmtId="3" fontId="5" fillId="3" borderId="3" xfId="0" applyNumberFormat="1" applyFont="1" applyFill="1" applyBorder="1" applyAlignment="1">
      <alignment/>
    </xf>
    <xf numFmtId="0" fontId="4" fillId="0" borderId="0" xfId="0" applyFont="1" applyFill="1" applyBorder="1" applyAlignment="1">
      <alignment wrapText="1"/>
    </xf>
    <xf numFmtId="0" fontId="5" fillId="3" borderId="21" xfId="0" applyFont="1" applyFill="1" applyBorder="1" applyAlignment="1">
      <alignment horizontal="center" wrapText="1" shrinkToFit="1"/>
    </xf>
    <xf numFmtId="0" fontId="5" fillId="3" borderId="2" xfId="0" applyFont="1" applyFill="1" applyBorder="1" applyAlignment="1">
      <alignment horizontal="center" wrapText="1" shrinkToFit="1"/>
    </xf>
    <xf numFmtId="0" fontId="5" fillId="3" borderId="14" xfId="0" applyFont="1" applyFill="1" applyBorder="1" applyAlignment="1">
      <alignment horizontal="center" wrapText="1" shrinkToFit="1"/>
    </xf>
    <xf numFmtId="0" fontId="5" fillId="3" borderId="2" xfId="0" applyFont="1" applyFill="1" applyBorder="1" applyAlignment="1">
      <alignment/>
    </xf>
    <xf numFmtId="9" fontId="4" fillId="3" borderId="23" xfId="30" applyNumberFormat="1" applyFont="1" applyFill="1" applyBorder="1" applyAlignment="1">
      <alignment/>
    </xf>
    <xf numFmtId="178" fontId="4" fillId="7" borderId="0" xfId="34" applyFont="1" applyFill="1" applyBorder="1" applyAlignment="1" applyProtection="1">
      <alignment/>
      <protection/>
    </xf>
    <xf numFmtId="37" fontId="5" fillId="7" borderId="0" xfId="0" applyNumberFormat="1" applyFont="1" applyFill="1" applyBorder="1" applyAlignment="1" applyProtection="1">
      <alignment/>
      <protection hidden="1"/>
    </xf>
    <xf numFmtId="171" fontId="21" fillId="7" borderId="0" xfId="37" applyNumberFormat="1" applyFont="1" applyFill="1" applyBorder="1" applyAlignment="1" applyProtection="1">
      <alignment/>
      <protection/>
    </xf>
    <xf numFmtId="0" fontId="0" fillId="0" borderId="0" xfId="33" applyBorder="1" applyAlignment="1">
      <alignment horizontal="left" vertical="center" wrapText="1"/>
      <protection/>
    </xf>
    <xf numFmtId="192" fontId="4" fillId="0" borderId="23" xfId="19" applyNumberFormat="1" applyFont="1" applyBorder="1" applyAlignment="1" applyProtection="1">
      <alignment/>
      <protection/>
    </xf>
    <xf numFmtId="192" fontId="4" fillId="7" borderId="23" xfId="19" applyNumberFormat="1" applyFont="1" applyFill="1" applyBorder="1" applyAlignment="1" applyProtection="1">
      <alignment/>
      <protection/>
    </xf>
    <xf numFmtId="4" fontId="4" fillId="7" borderId="23" xfId="0" applyNumberFormat="1" applyFont="1" applyFill="1" applyBorder="1" applyAlignment="1" applyProtection="1">
      <alignment/>
      <protection/>
    </xf>
    <xf numFmtId="4" fontId="4" fillId="7" borderId="17" xfId="0" applyNumberFormat="1" applyFont="1" applyFill="1" applyBorder="1" applyAlignment="1" applyProtection="1">
      <alignment/>
      <protection/>
    </xf>
    <xf numFmtId="0" fontId="4" fillId="0" borderId="0" xfId="0" applyFont="1" applyFill="1" applyBorder="1" applyAlignment="1">
      <alignment/>
    </xf>
    <xf numFmtId="178" fontId="5" fillId="0" borderId="0" xfId="34" applyFont="1" applyFill="1" applyBorder="1" applyAlignment="1" applyProtection="1">
      <alignment horizontal="left"/>
      <protection hidden="1"/>
    </xf>
    <xf numFmtId="0" fontId="4" fillId="0" borderId="25" xfId="0" applyFont="1" applyFill="1" applyBorder="1" applyAlignment="1" applyProtection="1">
      <alignment/>
      <protection hidden="1"/>
    </xf>
    <xf numFmtId="0" fontId="4" fillId="0" borderId="17" xfId="0" applyFont="1" applyBorder="1" applyAlignment="1" applyProtection="1">
      <alignment/>
      <protection/>
    </xf>
    <xf numFmtId="0" fontId="5" fillId="0" borderId="0" xfId="0" applyFont="1" applyAlignment="1" applyProtection="1">
      <alignment/>
      <protection hidden="1"/>
    </xf>
    <xf numFmtId="3" fontId="5" fillId="3" borderId="23" xfId="0" applyNumberFormat="1" applyFont="1" applyFill="1" applyBorder="1" applyAlignment="1">
      <alignment/>
    </xf>
    <xf numFmtId="178" fontId="4" fillId="0" borderId="23" xfId="34" applyFont="1" applyFill="1" applyBorder="1" applyAlignment="1" applyProtection="1">
      <alignment horizontal="right"/>
      <protection locked="0"/>
    </xf>
    <xf numFmtId="9" fontId="4" fillId="0" borderId="24" xfId="30" applyFont="1" applyFill="1" applyBorder="1" applyAlignment="1" applyProtection="1">
      <alignment/>
      <protection locked="0"/>
    </xf>
    <xf numFmtId="9" fontId="4" fillId="3" borderId="23" xfId="30" applyFont="1" applyFill="1" applyBorder="1" applyAlignment="1">
      <alignment/>
    </xf>
    <xf numFmtId="3" fontId="4" fillId="3" borderId="23" xfId="0" applyNumberFormat="1" applyFont="1" applyFill="1" applyBorder="1" applyAlignment="1">
      <alignment/>
    </xf>
    <xf numFmtId="37" fontId="5" fillId="3" borderId="38" xfId="0" applyNumberFormat="1" applyFont="1" applyFill="1" applyBorder="1" applyAlignment="1" applyProtection="1">
      <alignment/>
      <protection hidden="1"/>
    </xf>
    <xf numFmtId="178" fontId="5" fillId="3" borderId="38" xfId="37" applyFont="1" applyBorder="1" applyProtection="1">
      <alignment/>
      <protection/>
    </xf>
    <xf numFmtId="178" fontId="5" fillId="7" borderId="38" xfId="37" applyFont="1" applyFill="1" applyBorder="1" applyProtection="1">
      <alignment/>
      <protection/>
    </xf>
    <xf numFmtId="0" fontId="4" fillId="0" borderId="25" xfId="0" applyFont="1" applyBorder="1" applyAlignment="1" applyProtection="1">
      <alignment/>
      <protection/>
    </xf>
    <xf numFmtId="1" fontId="4" fillId="0" borderId="23" xfId="0" applyNumberFormat="1" applyFont="1" applyBorder="1" applyAlignment="1" applyProtection="1">
      <alignment horizontal="center"/>
      <protection hidden="1"/>
    </xf>
    <xf numFmtId="1" fontId="4" fillId="0" borderId="24" xfId="0" applyNumberFormat="1" applyFont="1" applyBorder="1" applyAlignment="1" applyProtection="1">
      <alignment horizontal="center"/>
      <protection hidden="1"/>
    </xf>
    <xf numFmtId="167" fontId="4" fillId="0" borderId="0" xfId="0" applyNumberFormat="1" applyFont="1" applyFill="1" applyBorder="1" applyAlignment="1" applyProtection="1">
      <alignment horizontal="center"/>
      <protection/>
    </xf>
    <xf numFmtId="167" fontId="4" fillId="3" borderId="23" xfId="0" applyNumberFormat="1" applyFont="1" applyFill="1" applyBorder="1" applyAlignment="1" applyProtection="1">
      <alignment horizontal="center"/>
      <protection/>
    </xf>
    <xf numFmtId="0" fontId="4" fillId="0" borderId="25" xfId="0" applyFont="1" applyFill="1" applyBorder="1" applyAlignment="1" applyProtection="1">
      <alignment/>
      <protection hidden="1"/>
    </xf>
    <xf numFmtId="0" fontId="4" fillId="0" borderId="13" xfId="0" applyFont="1" applyFill="1" applyBorder="1" applyAlignment="1" applyProtection="1">
      <alignment wrapText="1"/>
      <protection hidden="1"/>
    </xf>
    <xf numFmtId="0" fontId="4" fillId="0" borderId="17" xfId="0" applyFont="1" applyBorder="1" applyAlignment="1" applyProtection="1">
      <alignment/>
      <protection hidden="1"/>
    </xf>
    <xf numFmtId="178" fontId="4" fillId="3" borderId="23" xfId="37" applyFont="1" applyBorder="1" applyProtection="1">
      <alignment/>
      <protection/>
    </xf>
    <xf numFmtId="178" fontId="4" fillId="7" borderId="23" xfId="37" applyFont="1" applyFill="1" applyBorder="1" applyProtection="1">
      <alignment/>
      <protection/>
    </xf>
    <xf numFmtId="0" fontId="5" fillId="3" borderId="3" xfId="0" applyFont="1" applyFill="1" applyBorder="1" applyAlignment="1" applyProtection="1">
      <alignment horizontal="center" vertical="center"/>
      <protection hidden="1"/>
    </xf>
    <xf numFmtId="0" fontId="5" fillId="3" borderId="21" xfId="0" applyFont="1" applyFill="1" applyBorder="1" applyAlignment="1" applyProtection="1">
      <alignment horizontal="center" vertical="center"/>
      <protection hidden="1"/>
    </xf>
    <xf numFmtId="0" fontId="5" fillId="0" borderId="23" xfId="0" applyNumberFormat="1" applyFont="1" applyBorder="1" applyAlignment="1" applyProtection="1">
      <alignment vertical="center"/>
      <protection hidden="1"/>
    </xf>
    <xf numFmtId="2" fontId="4" fillId="0" borderId="23" xfId="0" applyNumberFormat="1" applyFont="1" applyBorder="1" applyAlignment="1">
      <alignment/>
    </xf>
    <xf numFmtId="2" fontId="4" fillId="0" borderId="0" xfId="0" applyNumberFormat="1" applyFont="1" applyBorder="1" applyAlignment="1">
      <alignment/>
    </xf>
    <xf numFmtId="173" fontId="4" fillId="0" borderId="23" xfId="0" applyNumberFormat="1" applyFont="1" applyFill="1" applyBorder="1" applyAlignment="1">
      <alignment/>
    </xf>
    <xf numFmtId="0" fontId="4" fillId="3" borderId="14" xfId="0" applyFont="1" applyFill="1" applyBorder="1" applyAlignment="1">
      <alignment/>
    </xf>
    <xf numFmtId="178" fontId="5" fillId="0" borderId="23" xfId="0" applyNumberFormat="1" applyFont="1" applyBorder="1" applyAlignment="1">
      <alignment/>
    </xf>
    <xf numFmtId="167" fontId="4" fillId="0" borderId="23" xfId="0" applyNumberFormat="1" applyFont="1" applyFill="1" applyBorder="1" applyAlignment="1" applyProtection="1">
      <alignment horizontal="center"/>
      <protection hidden="1"/>
    </xf>
    <xf numFmtId="167" fontId="4" fillId="0" borderId="24" xfId="0" applyNumberFormat="1" applyFont="1" applyFill="1" applyBorder="1" applyAlignment="1" applyProtection="1">
      <alignment horizontal="center"/>
      <protection hidden="1"/>
    </xf>
    <xf numFmtId="3" fontId="4" fillId="0" borderId="23" xfId="0" applyNumberFormat="1" applyFont="1" applyBorder="1" applyAlignment="1" applyProtection="1">
      <alignment/>
      <protection hidden="1"/>
    </xf>
    <xf numFmtId="3" fontId="4" fillId="0" borderId="24" xfId="36" applyNumberFormat="1" applyFont="1" applyFill="1" applyBorder="1" applyProtection="1">
      <alignment/>
      <protection locked="0"/>
    </xf>
    <xf numFmtId="169" fontId="4" fillId="7" borderId="23" xfId="0" applyNumberFormat="1" applyFont="1" applyFill="1" applyBorder="1" applyAlignment="1" applyProtection="1">
      <alignment/>
      <protection/>
    </xf>
    <xf numFmtId="178" fontId="4" fillId="3" borderId="23" xfId="0" applyNumberFormat="1" applyFont="1" applyFill="1" applyBorder="1" applyAlignment="1" applyProtection="1">
      <alignment/>
      <protection/>
    </xf>
    <xf numFmtId="0" fontId="4" fillId="0" borderId="13" xfId="0" applyFont="1" applyBorder="1" applyAlignment="1">
      <alignment horizontal="left"/>
    </xf>
    <xf numFmtId="37" fontId="5" fillId="3" borderId="21" xfId="0" applyNumberFormat="1" applyFont="1" applyFill="1" applyBorder="1" applyAlignment="1" applyProtection="1">
      <alignment horizontal="center" vertical="center" wrapText="1"/>
      <protection hidden="1"/>
    </xf>
    <xf numFmtId="169" fontId="5" fillId="3" borderId="3" xfId="0" applyNumberFormat="1" applyFont="1" applyFill="1" applyBorder="1" applyAlignment="1">
      <alignment/>
    </xf>
    <xf numFmtId="0" fontId="0" fillId="0" borderId="0" xfId="0" applyBorder="1" applyAlignment="1">
      <alignment horizontal="center"/>
    </xf>
    <xf numFmtId="0" fontId="2" fillId="0" borderId="33" xfId="0" applyNumberFormat="1" applyFont="1" applyBorder="1" applyAlignment="1" quotePrefix="1">
      <alignment horizontal="center"/>
    </xf>
    <xf numFmtId="0" fontId="5" fillId="3" borderId="34" xfId="0" applyFont="1" applyFill="1" applyBorder="1" applyAlignment="1">
      <alignment horizontal="center"/>
    </xf>
    <xf numFmtId="0" fontId="5" fillId="3" borderId="22" xfId="0" applyFont="1" applyFill="1" applyBorder="1" applyAlignment="1">
      <alignment horizontal="center"/>
    </xf>
    <xf numFmtId="43" fontId="4" fillId="0" borderId="0" xfId="19" applyFont="1" applyAlignment="1">
      <alignment/>
    </xf>
    <xf numFmtId="0" fontId="4" fillId="0" borderId="0" xfId="0" applyFont="1" applyBorder="1" applyAlignment="1">
      <alignment/>
    </xf>
    <xf numFmtId="2" fontId="4" fillId="0" borderId="25" xfId="34" applyNumberFormat="1" applyFont="1" applyFill="1" applyBorder="1" applyProtection="1">
      <alignment/>
      <protection locked="0"/>
    </xf>
    <xf numFmtId="2" fontId="5" fillId="3" borderId="23" xfId="0" applyNumberFormat="1" applyFont="1" applyFill="1" applyBorder="1" applyAlignment="1">
      <alignment/>
    </xf>
    <xf numFmtId="2" fontId="21" fillId="3" borderId="25" xfId="0" applyNumberFormat="1" applyFont="1" applyFill="1" applyBorder="1" applyAlignment="1">
      <alignment/>
    </xf>
    <xf numFmtId="2" fontId="21" fillId="3" borderId="23" xfId="0" applyNumberFormat="1" applyFont="1" applyFill="1" applyBorder="1" applyAlignment="1">
      <alignment/>
    </xf>
    <xf numFmtId="194" fontId="4" fillId="0" borderId="25" xfId="34" applyNumberFormat="1" applyFont="1" applyFill="1" applyBorder="1" applyProtection="1">
      <alignment/>
      <protection locked="0"/>
    </xf>
    <xf numFmtId="194" fontId="4" fillId="0" borderId="23" xfId="0" applyNumberFormat="1" applyFont="1" applyBorder="1" applyAlignment="1">
      <alignment/>
    </xf>
    <xf numFmtId="1" fontId="4" fillId="0" borderId="3" xfId="0" applyNumberFormat="1" applyFont="1" applyFill="1" applyBorder="1" applyAlignment="1" applyProtection="1">
      <alignment vertical="center"/>
      <protection locked="0"/>
    </xf>
    <xf numFmtId="0" fontId="0" fillId="0" borderId="0" xfId="33" applyBorder="1">
      <alignment/>
      <protection/>
    </xf>
    <xf numFmtId="0" fontId="4" fillId="0" borderId="64" xfId="0" applyFont="1" applyBorder="1" applyAlignment="1">
      <alignment/>
    </xf>
    <xf numFmtId="0" fontId="4" fillId="0" borderId="23" xfId="0" applyFont="1" applyBorder="1" applyAlignment="1">
      <alignment/>
    </xf>
    <xf numFmtId="0" fontId="4" fillId="0" borderId="17" xfId="0" applyFont="1" applyBorder="1" applyAlignment="1">
      <alignment/>
    </xf>
    <xf numFmtId="0" fontId="4" fillId="0" borderId="72" xfId="0" applyFont="1" applyBorder="1" applyAlignment="1">
      <alignment/>
    </xf>
    <xf numFmtId="0" fontId="4" fillId="0" borderId="13" xfId="0" applyFont="1" applyBorder="1" applyAlignment="1">
      <alignment/>
    </xf>
    <xf numFmtId="0" fontId="4" fillId="0" borderId="25" xfId="0" applyFont="1" applyBorder="1" applyAlignment="1">
      <alignment/>
    </xf>
    <xf numFmtId="0" fontId="0" fillId="0" borderId="0" xfId="0" applyFill="1" applyAlignment="1">
      <alignment/>
    </xf>
    <xf numFmtId="0" fontId="4" fillId="0" borderId="0" xfId="0" applyNumberFormat="1" applyFont="1" applyFill="1" applyAlignment="1">
      <alignment/>
    </xf>
    <xf numFmtId="192" fontId="4" fillId="0" borderId="23" xfId="19" applyNumberFormat="1" applyFont="1" applyFill="1" applyBorder="1" applyAlignment="1" applyProtection="1">
      <alignment/>
      <protection/>
    </xf>
    <xf numFmtId="3" fontId="4" fillId="0" borderId="23" xfId="0" applyNumberFormat="1" applyFont="1" applyFill="1" applyBorder="1" applyAlignment="1">
      <alignment/>
    </xf>
    <xf numFmtId="37" fontId="5" fillId="7" borderId="0" xfId="0" applyNumberFormat="1" applyFont="1" applyFill="1" applyBorder="1" applyAlignment="1" applyProtection="1">
      <alignment horizontal="right"/>
      <protection hidden="1"/>
    </xf>
    <xf numFmtId="0" fontId="5" fillId="0" borderId="0" xfId="0" applyFont="1" applyBorder="1" applyAlignment="1">
      <alignment horizontal="left"/>
    </xf>
    <xf numFmtId="0" fontId="27" fillId="0" borderId="0" xfId="0" applyFont="1" applyFill="1" applyBorder="1" applyAlignment="1">
      <alignment/>
    </xf>
    <xf numFmtId="3" fontId="4" fillId="0" borderId="52" xfId="0" applyNumberFormat="1" applyFont="1" applyFill="1" applyBorder="1" applyAlignment="1">
      <alignment horizontal="right"/>
    </xf>
    <xf numFmtId="0" fontId="4" fillId="7" borderId="0" xfId="0" applyFont="1" applyFill="1" applyBorder="1" applyAlignment="1" applyProtection="1">
      <alignment/>
      <protection/>
    </xf>
    <xf numFmtId="9" fontId="4" fillId="0" borderId="0" xfId="30" applyFont="1" applyBorder="1" applyAlignment="1">
      <alignment/>
    </xf>
    <xf numFmtId="9" fontId="5" fillId="0" borderId="0" xfId="30" applyFont="1" applyBorder="1" applyAlignment="1">
      <alignment/>
    </xf>
    <xf numFmtId="3" fontId="4" fillId="0" borderId="31" xfId="0" applyNumberFormat="1" applyFont="1" applyBorder="1" applyAlignment="1">
      <alignment/>
    </xf>
    <xf numFmtId="0" fontId="4" fillId="0" borderId="71" xfId="0" applyFont="1" applyFill="1" applyBorder="1" applyAlignment="1" applyProtection="1">
      <alignment/>
      <protection hidden="1"/>
    </xf>
    <xf numFmtId="4" fontId="4" fillId="0" borderId="23" xfId="0" applyNumberFormat="1" applyFont="1" applyFill="1" applyBorder="1" applyAlignment="1" applyProtection="1">
      <alignment/>
      <protection/>
    </xf>
    <xf numFmtId="0" fontId="5" fillId="0" borderId="0" xfId="0" applyFont="1" applyFill="1" applyAlignment="1">
      <alignment horizontal="left"/>
    </xf>
    <xf numFmtId="169" fontId="5" fillId="0" borderId="23" xfId="0" applyNumberFormat="1" applyFont="1" applyFill="1" applyBorder="1" applyAlignment="1">
      <alignment/>
    </xf>
    <xf numFmtId="169" fontId="5" fillId="0" borderId="0" xfId="0" applyNumberFormat="1" applyFont="1" applyFill="1" applyAlignment="1">
      <alignment/>
    </xf>
    <xf numFmtId="198" fontId="21" fillId="3" borderId="23" xfId="19" applyNumberFormat="1" applyFont="1" applyFill="1" applyBorder="1" applyAlignment="1">
      <alignment/>
    </xf>
    <xf numFmtId="196" fontId="5" fillId="0" borderId="6" xfId="0" applyNumberFormat="1" applyFont="1" applyFill="1" applyBorder="1" applyAlignment="1">
      <alignment horizontal="center"/>
    </xf>
    <xf numFmtId="191" fontId="4" fillId="0" borderId="24" xfId="30" applyNumberFormat="1" applyFont="1" applyFill="1" applyBorder="1" applyAlignment="1" applyProtection="1">
      <alignment/>
      <protection locked="0"/>
    </xf>
    <xf numFmtId="3" fontId="4" fillId="0" borderId="23" xfId="0" applyNumberFormat="1" applyFont="1" applyFill="1" applyBorder="1" applyAlignment="1">
      <alignment horizontal="right"/>
    </xf>
    <xf numFmtId="3" fontId="4" fillId="0" borderId="17" xfId="0" applyNumberFormat="1" applyFont="1" applyFill="1" applyBorder="1" applyAlignment="1">
      <alignment horizontal="right"/>
    </xf>
    <xf numFmtId="3" fontId="4" fillId="0" borderId="24" xfId="0" applyNumberFormat="1" applyFont="1" applyFill="1" applyBorder="1" applyAlignment="1">
      <alignment horizontal="right"/>
    </xf>
    <xf numFmtId="3" fontId="4" fillId="0" borderId="17" xfId="0" applyNumberFormat="1" applyFont="1" applyFill="1" applyBorder="1" applyAlignment="1">
      <alignment/>
    </xf>
    <xf numFmtId="0" fontId="4" fillId="0" borderId="25" xfId="0" applyFont="1" applyFill="1" applyBorder="1" applyAlignment="1">
      <alignment/>
    </xf>
    <xf numFmtId="178" fontId="5" fillId="0" borderId="73" xfId="37" applyFill="1" applyBorder="1" applyAlignment="1" applyProtection="1">
      <alignment horizontal="right" vertical="center"/>
      <protection/>
    </xf>
    <xf numFmtId="3" fontId="3" fillId="3" borderId="50" xfId="0" applyNumberFormat="1" applyFont="1" applyFill="1" applyBorder="1" applyAlignment="1" applyProtection="1">
      <alignment horizontal="center" vertical="center"/>
      <protection hidden="1"/>
    </xf>
    <xf numFmtId="3" fontId="3" fillId="3" borderId="21" xfId="0" applyNumberFormat="1" applyFont="1" applyFill="1" applyBorder="1" applyAlignment="1" applyProtection="1">
      <alignment horizontal="center" vertical="center"/>
      <protection hidden="1"/>
    </xf>
    <xf numFmtId="0" fontId="3" fillId="3" borderId="21" xfId="0" applyFont="1" applyFill="1" applyBorder="1" applyAlignment="1" applyProtection="1">
      <alignment horizontal="center" vertical="center"/>
      <protection hidden="1"/>
    </xf>
    <xf numFmtId="2" fontId="3" fillId="3" borderId="14" xfId="0" applyNumberFormat="1" applyFont="1" applyFill="1" applyBorder="1" applyAlignment="1" applyProtection="1">
      <alignment horizontal="center" vertical="center"/>
      <protection hidden="1"/>
    </xf>
    <xf numFmtId="0" fontId="3" fillId="3" borderId="14" xfId="0" applyFont="1" applyFill="1" applyBorder="1" applyAlignment="1" applyProtection="1">
      <alignment horizontal="center" vertical="center"/>
      <protection hidden="1"/>
    </xf>
    <xf numFmtId="3" fontId="3" fillId="3" borderId="6" xfId="0" applyNumberFormat="1" applyFont="1" applyFill="1" applyBorder="1" applyAlignment="1" applyProtection="1">
      <alignment horizontal="center" vertical="center"/>
      <protection hidden="1"/>
    </xf>
    <xf numFmtId="0" fontId="21" fillId="3" borderId="13" xfId="0" applyFont="1" applyFill="1" applyBorder="1" applyAlignment="1">
      <alignment horizontal="center"/>
    </xf>
    <xf numFmtId="0" fontId="0" fillId="0" borderId="0" xfId="0" applyFill="1" applyBorder="1" applyAlignment="1">
      <alignment/>
    </xf>
    <xf numFmtId="0" fontId="5" fillId="3" borderId="23" xfId="0" applyFont="1" applyFill="1" applyBorder="1" applyAlignment="1">
      <alignment horizontal="right"/>
    </xf>
    <xf numFmtId="0" fontId="4" fillId="3" borderId="23" xfId="0" applyFont="1" applyFill="1" applyBorder="1" applyAlignment="1">
      <alignment horizontal="right"/>
    </xf>
    <xf numFmtId="2" fontId="4" fillId="0" borderId="23" xfId="34" applyNumberFormat="1" applyFont="1" applyFill="1" applyBorder="1" applyProtection="1">
      <alignment/>
      <protection locked="0"/>
    </xf>
    <xf numFmtId="9" fontId="21" fillId="3" borderId="13" xfId="0" applyNumberFormat="1" applyFont="1" applyFill="1" applyBorder="1" applyAlignment="1">
      <alignment/>
    </xf>
    <xf numFmtId="0" fontId="5" fillId="0" borderId="0" xfId="0" applyFont="1" applyFill="1" applyBorder="1" applyAlignment="1">
      <alignment horizontal="center"/>
    </xf>
    <xf numFmtId="0" fontId="0" fillId="0" borderId="0" xfId="33" applyFont="1" applyProtection="1">
      <alignment/>
      <protection/>
    </xf>
    <xf numFmtId="178" fontId="4" fillId="0" borderId="24" xfId="34" applyFont="1" applyFill="1" applyBorder="1" applyProtection="1" quotePrefix="1">
      <alignment/>
      <protection/>
    </xf>
    <xf numFmtId="3" fontId="4" fillId="0" borderId="23" xfId="0" applyNumberFormat="1" applyFont="1" applyFill="1" applyBorder="1" applyAlignment="1">
      <alignment/>
    </xf>
    <xf numFmtId="169" fontId="4" fillId="0" borderId="23" xfId="0" applyNumberFormat="1" applyFont="1" applyFill="1" applyBorder="1" applyAlignment="1" quotePrefix="1">
      <alignment/>
    </xf>
    <xf numFmtId="0" fontId="4" fillId="0" borderId="13" xfId="0" applyFont="1" applyBorder="1" applyAlignment="1" applyProtection="1">
      <alignment horizontal="left"/>
      <protection/>
    </xf>
    <xf numFmtId="37" fontId="4" fillId="0" borderId="13" xfId="0" applyNumberFormat="1" applyFont="1" applyFill="1" applyBorder="1" applyAlignment="1" applyProtection="1">
      <alignment/>
      <protection hidden="1"/>
    </xf>
    <xf numFmtId="9" fontId="4" fillId="7" borderId="23" xfId="0" applyNumberFormat="1" applyFont="1" applyFill="1" applyBorder="1" applyAlignment="1">
      <alignment/>
    </xf>
    <xf numFmtId="171" fontId="4" fillId="3" borderId="17" xfId="0" applyNumberFormat="1" applyFont="1" applyFill="1" applyBorder="1" applyAlignment="1" applyProtection="1">
      <alignment horizontal="left"/>
      <protection/>
    </xf>
    <xf numFmtId="171" fontId="4" fillId="3" borderId="17" xfId="0" applyNumberFormat="1" applyFont="1" applyFill="1" applyBorder="1" applyAlignment="1" applyProtection="1">
      <alignment/>
      <protection/>
    </xf>
    <xf numFmtId="171" fontId="5" fillId="3" borderId="17" xfId="0" applyNumberFormat="1" applyFont="1" applyFill="1" applyBorder="1" applyAlignment="1" applyProtection="1">
      <alignment horizontal="left"/>
      <protection/>
    </xf>
    <xf numFmtId="179" fontId="5" fillId="3" borderId="23" xfId="37" applyNumberFormat="1" applyBorder="1" applyProtection="1">
      <alignment/>
      <protection/>
    </xf>
    <xf numFmtId="179" fontId="5" fillId="3" borderId="23" xfId="34" applyNumberFormat="1" applyFont="1" applyFill="1" applyBorder="1" applyProtection="1">
      <alignment/>
      <protection/>
    </xf>
    <xf numFmtId="0" fontId="4" fillId="0" borderId="13" xfId="0" applyFont="1" applyBorder="1" applyAlignment="1" applyProtection="1">
      <alignment/>
      <protection/>
    </xf>
    <xf numFmtId="3" fontId="4" fillId="0" borderId="13" xfId="0" applyNumberFormat="1" applyFont="1" applyBorder="1" applyAlignment="1" applyProtection="1">
      <alignment horizontal="center"/>
      <protection/>
    </xf>
    <xf numFmtId="37" fontId="5" fillId="0" borderId="23" xfId="0" applyNumberFormat="1" applyFont="1" applyBorder="1" applyAlignment="1" applyProtection="1">
      <alignment horizontal="right"/>
      <protection/>
    </xf>
    <xf numFmtId="171" fontId="0" fillId="0" borderId="0" xfId="0" applyNumberFormat="1" applyAlignment="1" applyProtection="1">
      <alignment/>
      <protection/>
    </xf>
    <xf numFmtId="0" fontId="0" fillId="0" borderId="0" xfId="0" applyFont="1" applyBorder="1" applyAlignment="1">
      <alignment/>
    </xf>
    <xf numFmtId="193" fontId="4" fillId="0" borderId="0" xfId="0" applyNumberFormat="1" applyFont="1" applyFill="1" applyAlignment="1">
      <alignment/>
    </xf>
    <xf numFmtId="0" fontId="28" fillId="0" borderId="0" xfId="0" applyFont="1" applyBorder="1" applyAlignment="1">
      <alignment/>
    </xf>
    <xf numFmtId="0" fontId="0" fillId="0" borderId="0" xfId="0" applyFont="1" applyBorder="1" applyAlignment="1">
      <alignment horizontal="center"/>
    </xf>
    <xf numFmtId="193" fontId="0" fillId="0" borderId="0" xfId="0" applyNumberFormat="1" applyFont="1" applyBorder="1" applyAlignment="1" applyProtection="1">
      <alignment/>
      <protection/>
    </xf>
    <xf numFmtId="169" fontId="0" fillId="0" borderId="0" xfId="0" applyNumberFormat="1" applyFont="1" applyBorder="1" applyAlignment="1">
      <alignment/>
    </xf>
    <xf numFmtId="193" fontId="0" fillId="0" borderId="0" xfId="0" applyNumberFormat="1" applyFont="1" applyBorder="1" applyAlignment="1">
      <alignment/>
    </xf>
    <xf numFmtId="173" fontId="0" fillId="0" borderId="0" xfId="0" applyNumberFormat="1" applyFont="1" applyBorder="1" applyAlignment="1" applyProtection="1">
      <alignment/>
      <protection/>
    </xf>
    <xf numFmtId="193" fontId="4" fillId="0" borderId="0" xfId="0" applyNumberFormat="1" applyFont="1" applyFill="1" applyBorder="1" applyAlignment="1">
      <alignment/>
    </xf>
    <xf numFmtId="0" fontId="5" fillId="0" borderId="13" xfId="0" applyFont="1" applyFill="1" applyBorder="1" applyAlignment="1" applyProtection="1">
      <alignment/>
      <protection hidden="1"/>
    </xf>
    <xf numFmtId="3" fontId="4" fillId="8" borderId="23" xfId="0" applyNumberFormat="1" applyFont="1" applyFill="1" applyBorder="1" applyAlignment="1">
      <alignment horizontal="right"/>
    </xf>
    <xf numFmtId="49" fontId="4" fillId="0" borderId="0" xfId="0" applyNumberFormat="1" applyFont="1" applyAlignment="1" applyProtection="1">
      <alignment/>
      <protection/>
    </xf>
    <xf numFmtId="0" fontId="4" fillId="0" borderId="0" xfId="0" applyNumberFormat="1" applyFont="1" applyAlignment="1" applyProtection="1">
      <alignment horizontal="right"/>
      <protection/>
    </xf>
    <xf numFmtId="0" fontId="5" fillId="0" borderId="0" xfId="0" applyFont="1" applyAlignment="1" applyProtection="1">
      <alignment vertical="top"/>
      <protection/>
    </xf>
    <xf numFmtId="49" fontId="4" fillId="0" borderId="0" xfId="0" applyNumberFormat="1" applyFont="1" applyAlignment="1" applyProtection="1">
      <alignment horizontal="justify"/>
      <protection/>
    </xf>
    <xf numFmtId="49" fontId="4" fillId="0" borderId="0" xfId="0" applyNumberFormat="1" applyFont="1" applyAlignment="1" applyProtection="1">
      <alignment horizontal="justify" wrapText="1"/>
      <protection/>
    </xf>
    <xf numFmtId="0" fontId="0" fillId="0" borderId="0" xfId="0" applyNumberFormat="1" applyFont="1" applyAlignment="1" applyProtection="1">
      <alignment horizontal="right"/>
      <protection/>
    </xf>
    <xf numFmtId="49" fontId="4" fillId="0" borderId="0" xfId="0" applyNumberFormat="1" applyFont="1" applyAlignment="1" applyProtection="1">
      <alignment wrapText="1"/>
      <protection/>
    </xf>
    <xf numFmtId="3" fontId="4" fillId="0" borderId="23" xfId="0" applyNumberFormat="1" applyFont="1" applyBorder="1" applyAlignment="1" applyProtection="1">
      <alignment/>
      <protection locked="0"/>
    </xf>
    <xf numFmtId="3" fontId="4" fillId="0" borderId="23" xfId="0" applyNumberFormat="1" applyFont="1" applyBorder="1" applyAlignment="1" applyProtection="1">
      <alignment horizontal="right"/>
      <protection locked="0"/>
    </xf>
    <xf numFmtId="3" fontId="4" fillId="0" borderId="0" xfId="0" applyNumberFormat="1" applyFont="1" applyAlignment="1" applyProtection="1">
      <alignment/>
      <protection/>
    </xf>
    <xf numFmtId="3" fontId="4" fillId="0" borderId="0" xfId="0" applyNumberFormat="1" applyFont="1" applyFill="1" applyBorder="1" applyAlignment="1" applyProtection="1">
      <alignment/>
      <protection/>
    </xf>
    <xf numFmtId="0" fontId="0" fillId="0" borderId="0" xfId="33" applyBorder="1" applyAlignment="1">
      <alignment horizontal="center"/>
      <protection/>
    </xf>
    <xf numFmtId="2" fontId="5" fillId="3" borderId="16" xfId="0" applyNumberFormat="1" applyFont="1" applyFill="1" applyBorder="1" applyAlignment="1" applyProtection="1">
      <alignment horizontal="center"/>
      <protection/>
    </xf>
    <xf numFmtId="1" fontId="5" fillId="3" borderId="3" xfId="0" applyNumberFormat="1" applyFont="1" applyFill="1" applyBorder="1" applyAlignment="1" applyProtection="1">
      <alignment horizontal="center"/>
      <protection/>
    </xf>
    <xf numFmtId="1" fontId="5" fillId="3" borderId="5" xfId="0" applyNumberFormat="1" applyFont="1" applyFill="1" applyBorder="1" applyAlignment="1" applyProtection="1">
      <alignment horizontal="center"/>
      <protection/>
    </xf>
    <xf numFmtId="37" fontId="5" fillId="0" borderId="0" xfId="0" applyNumberFormat="1" applyFont="1" applyBorder="1" applyAlignment="1" applyProtection="1">
      <alignment/>
      <protection/>
    </xf>
    <xf numFmtId="37" fontId="5" fillId="3" borderId="74" xfId="0" applyNumberFormat="1" applyFont="1" applyFill="1" applyBorder="1" applyAlignment="1" applyProtection="1">
      <alignment horizontal="center" vertical="top"/>
      <protection/>
    </xf>
    <xf numFmtId="37" fontId="5" fillId="3" borderId="44" xfId="0" applyNumberFormat="1" applyFont="1" applyFill="1" applyBorder="1" applyAlignment="1" applyProtection="1">
      <alignment horizontal="center"/>
      <protection/>
    </xf>
    <xf numFmtId="37" fontId="5" fillId="3" borderId="75" xfId="0" applyNumberFormat="1" applyFont="1" applyFill="1" applyBorder="1" applyAlignment="1" applyProtection="1">
      <alignment horizontal="center"/>
      <protection/>
    </xf>
    <xf numFmtId="166" fontId="4" fillId="0" borderId="0" xfId="0" applyNumberFormat="1" applyFont="1" applyBorder="1" applyAlignment="1" applyProtection="1">
      <alignment/>
      <protection/>
    </xf>
    <xf numFmtId="37" fontId="4" fillId="0" borderId="0" xfId="0" applyNumberFormat="1" applyFont="1" applyBorder="1" applyAlignment="1" applyProtection="1">
      <alignment horizontal="center"/>
      <protection/>
    </xf>
    <xf numFmtId="0" fontId="4" fillId="0" borderId="0" xfId="0" applyFont="1" applyBorder="1" applyAlignment="1" applyProtection="1">
      <alignment horizontal="center"/>
      <protection/>
    </xf>
    <xf numFmtId="0" fontId="0" fillId="7" borderId="0" xfId="0" applyFill="1" applyBorder="1" applyAlignment="1" applyProtection="1">
      <alignment/>
      <protection/>
    </xf>
    <xf numFmtId="10" fontId="4" fillId="0" borderId="23" xfId="30" applyNumberFormat="1" applyFont="1" applyFill="1" applyBorder="1" applyAlignment="1" applyProtection="1">
      <alignment/>
      <protection locked="0"/>
    </xf>
    <xf numFmtId="0" fontId="4" fillId="0" borderId="0" xfId="0" applyNumberFormat="1" applyFont="1" applyAlignment="1" applyProtection="1">
      <alignment vertical="top" wrapText="1"/>
      <protection/>
    </xf>
    <xf numFmtId="0" fontId="1" fillId="0" borderId="0" xfId="0" applyFont="1" applyBorder="1" applyAlignment="1" applyProtection="1">
      <alignment horizontal="left"/>
      <protection/>
    </xf>
    <xf numFmtId="0" fontId="0" fillId="0" borderId="0" xfId="0" applyFont="1" applyAlignment="1" applyProtection="1">
      <alignment horizontal="right"/>
      <protection/>
    </xf>
    <xf numFmtId="0" fontId="3" fillId="0" borderId="5" xfId="0" applyNumberFormat="1" applyFont="1" applyBorder="1" applyAlignment="1" applyProtection="1">
      <alignment horizontal="left" vertical="center"/>
      <protection/>
    </xf>
    <xf numFmtId="49" fontId="4" fillId="0" borderId="0" xfId="0" applyNumberFormat="1" applyFont="1" applyAlignment="1" applyProtection="1">
      <alignment horizontal="left"/>
      <protection/>
    </xf>
    <xf numFmtId="0" fontId="4" fillId="8" borderId="3" xfId="0" applyNumberFormat="1" applyFont="1" applyFill="1" applyBorder="1" applyAlignment="1" applyProtection="1">
      <alignment/>
      <protection/>
    </xf>
    <xf numFmtId="0" fontId="5" fillId="8" borderId="3" xfId="0" applyNumberFormat="1" applyFont="1" applyFill="1" applyBorder="1" applyAlignment="1" applyProtection="1">
      <alignment/>
      <protection/>
    </xf>
    <xf numFmtId="0" fontId="5" fillId="8" borderId="3" xfId="0" applyNumberFormat="1" applyFont="1" applyFill="1" applyBorder="1" applyAlignment="1" applyProtection="1">
      <alignment horizontal="left"/>
      <protection/>
    </xf>
    <xf numFmtId="49" fontId="5" fillId="8" borderId="3" xfId="0" applyNumberFormat="1" applyFont="1" applyFill="1" applyBorder="1" applyAlignment="1" applyProtection="1">
      <alignment horizontal="right"/>
      <protection/>
    </xf>
    <xf numFmtId="170" fontId="4" fillId="0" borderId="2" xfId="0" applyNumberFormat="1" applyFont="1" applyBorder="1" applyAlignment="1" applyProtection="1">
      <alignment/>
      <protection hidden="1"/>
    </xf>
    <xf numFmtId="0" fontId="4" fillId="0" borderId="2" xfId="0" applyNumberFormat="1" applyFont="1" applyBorder="1" applyAlignment="1" applyProtection="1">
      <alignment horizontal="right" wrapText="1"/>
      <protection hidden="1"/>
    </xf>
    <xf numFmtId="170" fontId="4" fillId="0" borderId="14" xfId="0" applyNumberFormat="1" applyFont="1" applyBorder="1" applyAlignment="1" applyProtection="1">
      <alignment/>
      <protection hidden="1"/>
    </xf>
    <xf numFmtId="0" fontId="4" fillId="0" borderId="14" xfId="0" applyFont="1" applyBorder="1" applyAlignment="1" applyProtection="1">
      <alignment horizontal="right"/>
      <protection hidden="1"/>
    </xf>
    <xf numFmtId="0" fontId="4" fillId="0" borderId="0" xfId="0" applyNumberFormat="1" applyFont="1" applyAlignment="1" applyProtection="1">
      <alignment horizontal="left"/>
      <protection hidden="1"/>
    </xf>
    <xf numFmtId="0" fontId="4" fillId="0" borderId="0" xfId="0" applyFont="1" applyAlignment="1" applyProtection="1">
      <alignment horizontal="right"/>
      <protection hidden="1"/>
    </xf>
    <xf numFmtId="0" fontId="4" fillId="0" borderId="0" xfId="0" applyFont="1" applyAlignment="1" applyProtection="1">
      <alignment horizontal="right" vertical="top"/>
      <protection hidden="1"/>
    </xf>
    <xf numFmtId="0" fontId="4" fillId="0" borderId="0" xfId="0" applyFont="1" applyAlignment="1" applyProtection="1">
      <alignment horizontal="right"/>
      <protection/>
    </xf>
    <xf numFmtId="14" fontId="4" fillId="0" borderId="34" xfId="0" applyNumberFormat="1" applyFont="1" applyBorder="1" applyAlignment="1" applyProtection="1">
      <alignment horizontal="left"/>
      <protection hidden="1"/>
    </xf>
    <xf numFmtId="0" fontId="5" fillId="0" borderId="64" xfId="0" applyNumberFormat="1" applyFont="1" applyBorder="1" applyAlignment="1" applyProtection="1">
      <alignment horizontal="left"/>
      <protection hidden="1"/>
    </xf>
    <xf numFmtId="0" fontId="5" fillId="0" borderId="51" xfId="0" applyNumberFormat="1" applyFont="1" applyBorder="1" applyAlignment="1" applyProtection="1">
      <alignment horizontal="left"/>
      <protection hidden="1"/>
    </xf>
    <xf numFmtId="0" fontId="4" fillId="0" borderId="22" xfId="0" applyNumberFormat="1" applyFont="1" applyBorder="1" applyAlignment="1" applyProtection="1">
      <alignment horizontal="left"/>
      <protection hidden="1"/>
    </xf>
    <xf numFmtId="170" fontId="4" fillId="0" borderId="21" xfId="0" applyNumberFormat="1" applyFont="1" applyBorder="1" applyAlignment="1" applyProtection="1">
      <alignment/>
      <protection hidden="1"/>
    </xf>
    <xf numFmtId="1" fontId="4" fillId="0" borderId="13" xfId="0" applyNumberFormat="1" applyFont="1" applyFill="1" applyBorder="1" applyAlignment="1" applyProtection="1">
      <alignment horizontal="left"/>
      <protection hidden="1"/>
    </xf>
    <xf numFmtId="1" fontId="4" fillId="0" borderId="17" xfId="0" applyNumberFormat="1" applyFont="1" applyFill="1" applyBorder="1" applyAlignment="1" applyProtection="1">
      <alignment horizontal="left"/>
      <protection hidden="1"/>
    </xf>
    <xf numFmtId="0" fontId="4" fillId="0" borderId="52" xfId="0" applyFont="1" applyBorder="1" applyAlignment="1">
      <alignment/>
    </xf>
    <xf numFmtId="0" fontId="4" fillId="7" borderId="52" xfId="0" applyFont="1" applyFill="1" applyBorder="1" applyAlignment="1">
      <alignment/>
    </xf>
    <xf numFmtId="0" fontId="4" fillId="0" borderId="52" xfId="0" applyFont="1" applyFill="1" applyBorder="1" applyAlignment="1">
      <alignment/>
    </xf>
    <xf numFmtId="0" fontId="4" fillId="0" borderId="23" xfId="0" applyFont="1" applyBorder="1" applyAlignment="1" applyProtection="1">
      <alignment horizontal="left"/>
      <protection hidden="1"/>
    </xf>
    <xf numFmtId="37" fontId="5" fillId="3" borderId="25" xfId="0" applyNumberFormat="1" applyFont="1" applyFill="1" applyBorder="1" applyAlignment="1" applyProtection="1">
      <alignment horizontal="left"/>
      <protection hidden="1"/>
    </xf>
    <xf numFmtId="37" fontId="5" fillId="3" borderId="17" xfId="0" applyNumberFormat="1" applyFont="1" applyFill="1" applyBorder="1" applyAlignment="1" applyProtection="1">
      <alignment horizontal="left"/>
      <protection hidden="1"/>
    </xf>
    <xf numFmtId="37" fontId="4" fillId="0" borderId="25" xfId="0" applyNumberFormat="1" applyFont="1" applyFill="1" applyBorder="1" applyAlignment="1" applyProtection="1">
      <alignment horizontal="left"/>
      <protection hidden="1"/>
    </xf>
    <xf numFmtId="37" fontId="5" fillId="0" borderId="26" xfId="0" applyNumberFormat="1" applyFont="1" applyBorder="1" applyAlignment="1" applyProtection="1">
      <alignment horizontal="left"/>
      <protection hidden="1"/>
    </xf>
    <xf numFmtId="37" fontId="5" fillId="3" borderId="13" xfId="0" applyNumberFormat="1" applyFont="1" applyFill="1" applyBorder="1" applyAlignment="1" applyProtection="1">
      <alignment horizontal="left"/>
      <protection hidden="1"/>
    </xf>
    <xf numFmtId="3" fontId="4" fillId="0" borderId="24" xfId="0" applyNumberFormat="1" applyFont="1" applyBorder="1" applyAlignment="1" applyProtection="1">
      <alignment/>
      <protection hidden="1"/>
    </xf>
    <xf numFmtId="0" fontId="0" fillId="0" borderId="0" xfId="0" applyAlignment="1" applyProtection="1">
      <alignment vertical="top"/>
      <protection/>
    </xf>
    <xf numFmtId="37" fontId="4" fillId="0" borderId="17" xfId="0" applyNumberFormat="1" applyFont="1" applyFill="1" applyBorder="1" applyAlignment="1" applyProtection="1">
      <alignment horizontal="left"/>
      <protection hidden="1"/>
    </xf>
    <xf numFmtId="178" fontId="4" fillId="0" borderId="25" xfId="34" applyFont="1" applyFill="1" applyBorder="1" applyAlignment="1" applyProtection="1">
      <alignment horizontal="left"/>
      <protection locked="0"/>
    </xf>
    <xf numFmtId="178" fontId="4" fillId="0" borderId="17" xfId="34" applyFont="1" applyFill="1" applyBorder="1" applyAlignment="1" applyProtection="1">
      <alignment horizontal="left"/>
      <protection locked="0"/>
    </xf>
    <xf numFmtId="0" fontId="0" fillId="0" borderId="52" xfId="33" applyBorder="1" applyAlignment="1">
      <alignment horizontal="center"/>
      <protection/>
    </xf>
    <xf numFmtId="0" fontId="4" fillId="0" borderId="0" xfId="0" applyNumberFormat="1" applyFont="1" applyAlignment="1" applyProtection="1">
      <alignment horizontal="left" vertical="top" wrapText="1"/>
      <protection/>
    </xf>
    <xf numFmtId="0" fontId="4" fillId="0" borderId="0" xfId="0" applyFont="1" applyAlignment="1" applyProtection="1">
      <alignment horizontal="justify" vertical="top"/>
      <protection hidden="1"/>
    </xf>
    <xf numFmtId="0" fontId="4" fillId="0" borderId="0" xfId="0" applyNumberFormat="1" applyFont="1" applyAlignment="1" applyProtection="1">
      <alignment horizontal="justify" vertical="top" wrapText="1"/>
      <protection hidden="1"/>
    </xf>
    <xf numFmtId="0" fontId="0" fillId="0" borderId="0" xfId="0" applyFont="1" applyAlignment="1" applyProtection="1">
      <alignment horizontal="justify" vertical="top" wrapText="1"/>
      <protection hidden="1"/>
    </xf>
    <xf numFmtId="169" fontId="5" fillId="0" borderId="0" xfId="0" applyNumberFormat="1" applyFont="1" applyFill="1" applyBorder="1" applyAlignment="1">
      <alignment/>
    </xf>
    <xf numFmtId="169"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0" fontId="4" fillId="0" borderId="0" xfId="0" applyFont="1" applyFill="1" applyBorder="1" applyAlignment="1">
      <alignment horizontal="left"/>
    </xf>
    <xf numFmtId="10" fontId="4" fillId="0" borderId="0" xfId="0" applyNumberFormat="1" applyFont="1" applyFill="1" applyBorder="1" applyAlignment="1">
      <alignment/>
    </xf>
    <xf numFmtId="0" fontId="29" fillId="0" borderId="0" xfId="0" applyFont="1" applyFill="1" applyBorder="1" applyAlignment="1">
      <alignment/>
    </xf>
    <xf numFmtId="2" fontId="4" fillId="0" borderId="0" xfId="0" applyNumberFormat="1" applyFont="1" applyFill="1" applyBorder="1" applyAlignment="1">
      <alignment/>
    </xf>
    <xf numFmtId="0" fontId="0" fillId="0" borderId="57" xfId="33" applyBorder="1">
      <alignment/>
      <protection/>
    </xf>
    <xf numFmtId="0" fontId="0" fillId="0" borderId="76" xfId="33" applyBorder="1">
      <alignment/>
      <protection/>
    </xf>
    <xf numFmtId="0" fontId="3" fillId="0" borderId="5" xfId="0" applyFont="1" applyFill="1" applyBorder="1" applyAlignment="1" applyProtection="1">
      <alignment vertical="center"/>
      <protection hidden="1"/>
    </xf>
    <xf numFmtId="9" fontId="4" fillId="7" borderId="23" xfId="30" applyNumberFormat="1" applyFont="1" applyFill="1" applyBorder="1" applyAlignment="1" applyProtection="1">
      <alignment/>
      <protection/>
    </xf>
    <xf numFmtId="170" fontId="5" fillId="0" borderId="0" xfId="0" applyNumberFormat="1" applyFont="1" applyAlignment="1" applyProtection="1">
      <alignment wrapText="1"/>
      <protection hidden="1"/>
    </xf>
    <xf numFmtId="0" fontId="5" fillId="0" borderId="0" xfId="0" applyFont="1" applyAlignment="1" applyProtection="1">
      <alignment wrapText="1"/>
      <protection hidden="1"/>
    </xf>
    <xf numFmtId="0" fontId="4" fillId="0" borderId="0" xfId="0" applyFont="1" applyAlignment="1" applyProtection="1">
      <alignment vertical="top" wrapText="1"/>
      <protection hidden="1"/>
    </xf>
    <xf numFmtId="0" fontId="5" fillId="0" borderId="0" xfId="0" applyFont="1" applyAlignment="1" applyProtection="1">
      <alignment vertical="top" wrapText="1"/>
      <protection hidden="1"/>
    </xf>
    <xf numFmtId="49" fontId="0" fillId="0" borderId="0" xfId="0" applyNumberFormat="1" applyFont="1" applyAlignment="1" applyProtection="1">
      <alignment horizontal="justify" wrapText="1"/>
      <protection/>
    </xf>
    <xf numFmtId="170" fontId="4" fillId="0" borderId="0" xfId="0" applyNumberFormat="1" applyFont="1" applyAlignment="1" applyProtection="1">
      <alignment vertical="top"/>
      <protection hidden="1"/>
    </xf>
    <xf numFmtId="170" fontId="5" fillId="0" borderId="0" xfId="0" applyNumberFormat="1" applyFont="1" applyAlignment="1" applyProtection="1">
      <alignment vertical="top"/>
      <protection hidden="1"/>
    </xf>
    <xf numFmtId="0" fontId="4" fillId="0" borderId="0" xfId="0" applyNumberFormat="1" applyFont="1" applyAlignment="1" applyProtection="1">
      <alignment vertical="top"/>
      <protection hidden="1"/>
    </xf>
    <xf numFmtId="37" fontId="4" fillId="0" borderId="0" xfId="0" applyNumberFormat="1" applyFont="1" applyAlignment="1" applyProtection="1">
      <alignment vertical="top"/>
      <protection hidden="1"/>
    </xf>
    <xf numFmtId="0" fontId="4" fillId="0" borderId="0" xfId="0" applyNumberFormat="1" applyFont="1" applyAlignment="1" applyProtection="1">
      <alignment vertical="top" wrapText="1"/>
      <protection hidden="1"/>
    </xf>
    <xf numFmtId="0" fontId="0" fillId="0" borderId="0" xfId="0" applyAlignment="1" applyProtection="1">
      <alignment vertical="top" wrapText="1"/>
      <protection hidden="1"/>
    </xf>
    <xf numFmtId="170" fontId="4" fillId="0" borderId="0" xfId="0" applyNumberFormat="1" applyFont="1" applyAlignment="1" applyProtection="1">
      <alignment vertical="top" wrapText="1"/>
      <protection hidden="1"/>
    </xf>
    <xf numFmtId="0" fontId="4" fillId="0" borderId="0" xfId="0" applyFont="1" applyAlignment="1" applyProtection="1">
      <alignment vertical="top" wrapText="1"/>
      <protection/>
    </xf>
    <xf numFmtId="37" fontId="5" fillId="0" borderId="0" xfId="0" applyNumberFormat="1" applyFont="1" applyAlignment="1" applyProtection="1">
      <alignment vertical="top" wrapText="1"/>
      <protection hidden="1"/>
    </xf>
    <xf numFmtId="37" fontId="4" fillId="0" borderId="0" xfId="0" applyNumberFormat="1" applyFont="1" applyAlignment="1" applyProtection="1">
      <alignment vertical="top" wrapText="1"/>
      <protection hidden="1"/>
    </xf>
    <xf numFmtId="0" fontId="4" fillId="0" borderId="0" xfId="0" applyNumberFormat="1" applyFont="1" applyAlignment="1" applyProtection="1">
      <alignment horizontal="right" vertical="top"/>
      <protection hidden="1"/>
    </xf>
    <xf numFmtId="0" fontId="4" fillId="0" borderId="0" xfId="0" applyNumberFormat="1" applyFont="1" applyAlignment="1" applyProtection="1">
      <alignment horizontal="right" vertical="top" wrapText="1"/>
      <protection hidden="1"/>
    </xf>
    <xf numFmtId="0" fontId="5" fillId="0" borderId="0" xfId="0" applyNumberFormat="1" applyFont="1" applyAlignment="1" applyProtection="1">
      <alignment horizontal="right" vertical="top"/>
      <protection hidden="1"/>
    </xf>
    <xf numFmtId="0" fontId="4" fillId="0" borderId="0" xfId="0" applyFont="1" applyAlignment="1" applyProtection="1">
      <alignment horizontal="justify" vertical="top"/>
      <protection/>
    </xf>
    <xf numFmtId="0" fontId="4" fillId="0" borderId="0" xfId="0" applyNumberFormat="1" applyFont="1" applyAlignment="1" applyProtection="1">
      <alignment horizontal="right" vertical="top"/>
      <protection/>
    </xf>
    <xf numFmtId="49" fontId="4" fillId="0" borderId="0" xfId="0" applyNumberFormat="1" applyFont="1" applyAlignment="1" applyProtection="1">
      <alignment horizontal="justify" vertical="top" wrapText="1"/>
      <protection hidden="1"/>
    </xf>
    <xf numFmtId="0" fontId="4" fillId="0" borderId="0" xfId="0" applyFont="1" applyAlignment="1" applyProtection="1">
      <alignment horizontal="justify" vertical="top" wrapText="1"/>
      <protection/>
    </xf>
    <xf numFmtId="49" fontId="4" fillId="0" borderId="0" xfId="0" applyNumberFormat="1" applyFont="1" applyAlignment="1" applyProtection="1">
      <alignment vertical="top" wrapText="1"/>
      <protection/>
    </xf>
    <xf numFmtId="49" fontId="4" fillId="0" borderId="0" xfId="0" applyNumberFormat="1" applyFont="1" applyAlignment="1" applyProtection="1">
      <alignment horizontal="justify" vertical="top" wrapText="1"/>
      <protection/>
    </xf>
    <xf numFmtId="0" fontId="0" fillId="0" borderId="0" xfId="0" applyFont="1" applyAlignment="1" applyProtection="1">
      <alignment vertical="top"/>
      <protection/>
    </xf>
    <xf numFmtId="0" fontId="2" fillId="0" borderId="5" xfId="0" applyFont="1" applyBorder="1" applyAlignment="1" applyProtection="1">
      <alignment vertical="top"/>
      <protection/>
    </xf>
    <xf numFmtId="0" fontId="0" fillId="0" borderId="0" xfId="0" applyFont="1" applyAlignment="1" applyProtection="1">
      <alignment horizontal="justify" vertical="top"/>
      <protection/>
    </xf>
    <xf numFmtId="0" fontId="5" fillId="0" borderId="0" xfId="0" applyNumberFormat="1" applyFont="1" applyAlignment="1" applyProtection="1">
      <alignment vertical="top"/>
      <protection/>
    </xf>
    <xf numFmtId="0" fontId="5" fillId="0" borderId="0" xfId="0" applyNumberFormat="1" applyFont="1" applyBorder="1" applyAlignment="1" applyProtection="1">
      <alignment horizontal="left" vertical="top"/>
      <protection hidden="1"/>
    </xf>
    <xf numFmtId="0" fontId="5" fillId="0" borderId="0" xfId="0" applyNumberFormat="1" applyFont="1" applyAlignment="1" applyProtection="1">
      <alignment vertical="top"/>
      <protection hidden="1"/>
    </xf>
    <xf numFmtId="49" fontId="0" fillId="0" borderId="0" xfId="0" applyNumberFormat="1" applyFont="1" applyAlignment="1" applyProtection="1">
      <alignment horizontal="justify" vertical="top"/>
      <protection/>
    </xf>
    <xf numFmtId="49" fontId="4" fillId="0" borderId="0" xfId="0" applyNumberFormat="1" applyFont="1" applyAlignment="1" applyProtection="1">
      <alignment horizontal="justify" vertical="top"/>
      <protection/>
    </xf>
    <xf numFmtId="49" fontId="4" fillId="0" borderId="0" xfId="0" applyNumberFormat="1" applyFont="1" applyAlignment="1" applyProtection="1">
      <alignment vertical="top"/>
      <protection/>
    </xf>
    <xf numFmtId="0" fontId="5" fillId="0" borderId="0" xfId="0" applyNumberFormat="1" applyFont="1" applyAlignment="1" applyProtection="1">
      <alignment wrapText="1"/>
      <protection hidden="1"/>
    </xf>
    <xf numFmtId="178" fontId="4" fillId="0" borderId="23" xfId="0" applyNumberFormat="1" applyFont="1" applyBorder="1" applyAlignment="1">
      <alignment/>
    </xf>
    <xf numFmtId="0" fontId="2" fillId="0" borderId="0" xfId="0" applyNumberFormat="1" applyFont="1" applyAlignment="1" applyProtection="1">
      <alignment horizontal="left"/>
      <protection/>
    </xf>
    <xf numFmtId="0" fontId="4" fillId="3" borderId="0" xfId="0" applyFont="1" applyFill="1" applyAlignment="1">
      <alignment/>
    </xf>
    <xf numFmtId="0" fontId="2" fillId="0" borderId="0" xfId="0" applyFont="1" applyFill="1" applyBorder="1" applyAlignment="1">
      <alignment/>
    </xf>
    <xf numFmtId="0" fontId="4" fillId="0" borderId="72" xfId="0" applyFont="1" applyBorder="1" applyAlignment="1" applyProtection="1">
      <alignment/>
      <protection/>
    </xf>
    <xf numFmtId="49" fontId="4" fillId="0" borderId="26" xfId="0" applyNumberFormat="1" applyFont="1" applyBorder="1" applyAlignment="1" applyProtection="1">
      <alignment horizontal="center"/>
      <protection/>
    </xf>
    <xf numFmtId="0" fontId="4" fillId="0" borderId="47" xfId="0" applyFont="1" applyBorder="1" applyAlignment="1" applyProtection="1">
      <alignment/>
      <protection/>
    </xf>
    <xf numFmtId="49" fontId="4" fillId="0" borderId="13" xfId="0" applyNumberFormat="1" applyFont="1" applyBorder="1" applyAlignment="1" applyProtection="1">
      <alignment horizontal="center"/>
      <protection/>
    </xf>
    <xf numFmtId="10" fontId="4" fillId="0" borderId="23" xfId="0" applyNumberFormat="1" applyFont="1" applyBorder="1" applyAlignment="1" applyProtection="1">
      <alignment horizontal="center"/>
      <protection/>
    </xf>
    <xf numFmtId="0" fontId="30" fillId="0" borderId="0" xfId="0" applyFont="1" applyBorder="1" applyAlignment="1" applyProtection="1">
      <alignment/>
      <protection/>
    </xf>
    <xf numFmtId="49" fontId="4" fillId="0" borderId="32" xfId="0" applyNumberFormat="1" applyFont="1" applyBorder="1" applyAlignment="1" applyProtection="1">
      <alignment horizontal="center"/>
      <protection/>
    </xf>
    <xf numFmtId="0" fontId="4" fillId="0" borderId="32" xfId="0" applyFont="1" applyBorder="1" applyAlignment="1" applyProtection="1">
      <alignment/>
      <protection/>
    </xf>
    <xf numFmtId="0" fontId="4" fillId="0" borderId="32" xfId="0" applyFont="1" applyBorder="1" applyAlignment="1" applyProtection="1">
      <alignment/>
      <protection/>
    </xf>
    <xf numFmtId="0" fontId="30" fillId="0" borderId="0" xfId="0" applyFont="1" applyAlignment="1" applyProtection="1">
      <alignment/>
      <protection/>
    </xf>
    <xf numFmtId="0" fontId="5" fillId="3" borderId="23" xfId="0" applyFont="1" applyFill="1" applyBorder="1" applyAlignment="1" applyProtection="1" quotePrefix="1">
      <alignment horizontal="center"/>
      <protection/>
    </xf>
    <xf numFmtId="0" fontId="5" fillId="3" borderId="13" xfId="0" applyFont="1" applyFill="1" applyBorder="1" applyAlignment="1" applyProtection="1">
      <alignment horizontal="center"/>
      <protection/>
    </xf>
    <xf numFmtId="0" fontId="5" fillId="3" borderId="17" xfId="0" applyFont="1" applyFill="1" applyBorder="1" applyAlignment="1" applyProtection="1">
      <alignment horizontal="center"/>
      <protection/>
    </xf>
    <xf numFmtId="0" fontId="5" fillId="3" borderId="25" xfId="0" applyFont="1" applyFill="1" applyBorder="1" applyAlignment="1" applyProtection="1">
      <alignment horizontal="left"/>
      <protection/>
    </xf>
    <xf numFmtId="178" fontId="5" fillId="3" borderId="25" xfId="35" applyNumberFormat="1" applyFont="1" applyFill="1" applyBorder="1" applyAlignment="1" applyProtection="1">
      <alignment horizontal="left"/>
      <protection/>
    </xf>
    <xf numFmtId="178" fontId="5" fillId="3" borderId="17" xfId="35" applyNumberFormat="1" applyFont="1" applyFill="1" applyBorder="1" applyAlignment="1" applyProtection="1">
      <alignment horizontal="left"/>
      <protection/>
    </xf>
    <xf numFmtId="0" fontId="5" fillId="0" borderId="13" xfId="0" applyFont="1" applyFill="1" applyBorder="1" applyAlignment="1">
      <alignment horizontal="left"/>
    </xf>
    <xf numFmtId="0" fontId="5" fillId="0" borderId="17" xfId="0" applyFont="1" applyFill="1" applyBorder="1" applyAlignment="1">
      <alignment horizontal="left"/>
    </xf>
    <xf numFmtId="0" fontId="4" fillId="3" borderId="25" xfId="0" applyFont="1" applyFill="1" applyBorder="1" applyAlignment="1">
      <alignment/>
    </xf>
    <xf numFmtId="0" fontId="4" fillId="3" borderId="13" xfId="0" applyFont="1" applyFill="1" applyBorder="1" applyAlignment="1">
      <alignment/>
    </xf>
    <xf numFmtId="0" fontId="4" fillId="3" borderId="23" xfId="0" applyFont="1" applyFill="1" applyBorder="1" applyAlignment="1" applyProtection="1">
      <alignment/>
      <protection/>
    </xf>
    <xf numFmtId="0" fontId="5" fillId="0" borderId="13" xfId="0" applyNumberFormat="1" applyFont="1" applyFill="1" applyBorder="1" applyAlignment="1" applyProtection="1">
      <alignment horizontal="left"/>
      <protection hidden="1"/>
    </xf>
    <xf numFmtId="1" fontId="4" fillId="0" borderId="25" xfId="0" applyNumberFormat="1" applyFont="1" applyFill="1" applyBorder="1" applyAlignment="1" applyProtection="1">
      <alignment horizontal="left"/>
      <protection hidden="1"/>
    </xf>
    <xf numFmtId="4" fontId="4" fillId="0" borderId="23" xfId="30" applyNumberFormat="1" applyFont="1" applyFill="1" applyBorder="1" applyAlignment="1" applyProtection="1">
      <alignment/>
      <protection/>
    </xf>
    <xf numFmtId="169" fontId="4" fillId="8" borderId="0" xfId="0" applyNumberFormat="1" applyFont="1" applyFill="1" applyAlignment="1">
      <alignment/>
    </xf>
    <xf numFmtId="10" fontId="4" fillId="0" borderId="23" xfId="30" applyNumberFormat="1" applyFont="1" applyFill="1" applyBorder="1" applyAlignment="1" applyProtection="1">
      <alignment/>
      <protection/>
    </xf>
    <xf numFmtId="3" fontId="5" fillId="0" borderId="23" xfId="0" applyNumberFormat="1" applyFont="1" applyFill="1" applyBorder="1" applyAlignment="1">
      <alignment/>
    </xf>
    <xf numFmtId="0" fontId="5" fillId="0" borderId="13" xfId="0" applyFont="1" applyFill="1" applyBorder="1" applyAlignment="1">
      <alignment/>
    </xf>
    <xf numFmtId="3" fontId="5" fillId="0" borderId="13" xfId="0" applyNumberFormat="1" applyFont="1" applyFill="1" applyBorder="1" applyAlignment="1">
      <alignment/>
    </xf>
    <xf numFmtId="3" fontId="5" fillId="0" borderId="17" xfId="0" applyNumberFormat="1" applyFont="1" applyFill="1" applyBorder="1" applyAlignment="1">
      <alignment/>
    </xf>
    <xf numFmtId="0" fontId="5" fillId="3" borderId="25" xfId="0" applyFont="1" applyFill="1" applyBorder="1" applyAlignment="1">
      <alignment/>
    </xf>
    <xf numFmtId="0" fontId="5" fillId="3" borderId="13" xfId="0" applyFont="1" applyFill="1" applyBorder="1" applyAlignment="1">
      <alignment/>
    </xf>
    <xf numFmtId="3" fontId="5" fillId="3" borderId="17" xfId="0" applyNumberFormat="1" applyFont="1" applyFill="1" applyBorder="1" applyAlignment="1">
      <alignment/>
    </xf>
    <xf numFmtId="0" fontId="5" fillId="3" borderId="13" xfId="32" applyFont="1" applyFill="1" applyBorder="1" applyProtection="1">
      <alignment/>
      <protection hidden="1"/>
    </xf>
    <xf numFmtId="0" fontId="5" fillId="3" borderId="17" xfId="32" applyFont="1" applyFill="1" applyBorder="1" applyProtection="1">
      <alignment/>
      <protection hidden="1"/>
    </xf>
    <xf numFmtId="3" fontId="4" fillId="3" borderId="23" xfId="32" applyNumberFormat="1" applyFont="1" applyFill="1" applyBorder="1" applyProtection="1">
      <alignment/>
      <protection hidden="1"/>
    </xf>
    <xf numFmtId="0" fontId="5" fillId="3" borderId="25" xfId="0" applyNumberFormat="1" applyFont="1" applyFill="1" applyBorder="1" applyAlignment="1" applyProtection="1">
      <alignment horizontal="left"/>
      <protection hidden="1"/>
    </xf>
    <xf numFmtId="178" fontId="5" fillId="3" borderId="13" xfId="37" applyFont="1" applyFill="1" applyBorder="1" applyProtection="1">
      <alignment/>
      <protection hidden="1"/>
    </xf>
    <xf numFmtId="178" fontId="5" fillId="3" borderId="17" xfId="37" applyFont="1" applyFill="1" applyBorder="1" applyProtection="1">
      <alignment/>
      <protection hidden="1"/>
    </xf>
    <xf numFmtId="3" fontId="4" fillId="0" borderId="3" xfId="34" applyNumberFormat="1" applyFont="1" applyFill="1" applyBorder="1" applyProtection="1">
      <alignment/>
      <protection locked="0"/>
    </xf>
    <xf numFmtId="0" fontId="27" fillId="0" borderId="13" xfId="0" applyFont="1" applyFill="1" applyBorder="1" applyAlignment="1">
      <alignment/>
    </xf>
    <xf numFmtId="9" fontId="21" fillId="0" borderId="13" xfId="0" applyNumberFormat="1" applyFont="1" applyFill="1" applyBorder="1" applyAlignment="1">
      <alignment/>
    </xf>
    <xf numFmtId="0" fontId="21" fillId="0" borderId="13" xfId="0" applyFont="1" applyFill="1" applyBorder="1" applyAlignment="1">
      <alignment horizontal="center"/>
    </xf>
    <xf numFmtId="0" fontId="21" fillId="3" borderId="13" xfId="0" applyFont="1" applyFill="1" applyBorder="1" applyAlignment="1">
      <alignment/>
    </xf>
    <xf numFmtId="9" fontId="4" fillId="0" borderId="23" xfId="30" applyFont="1" applyBorder="1" applyAlignment="1">
      <alignment/>
    </xf>
    <xf numFmtId="0" fontId="5" fillId="0" borderId="64" xfId="0" applyNumberFormat="1" applyFont="1" applyBorder="1" applyAlignment="1" applyProtection="1" quotePrefix="1">
      <alignment horizontal="left"/>
      <protection hidden="1"/>
    </xf>
    <xf numFmtId="37" fontId="4" fillId="0" borderId="49" xfId="0" applyNumberFormat="1" applyFont="1" applyBorder="1" applyAlignment="1">
      <alignment/>
    </xf>
    <xf numFmtId="37" fontId="4" fillId="0" borderId="32" xfId="0" applyNumberFormat="1" applyFont="1" applyBorder="1" applyAlignment="1">
      <alignment/>
    </xf>
    <xf numFmtId="166" fontId="4" fillId="0" borderId="32" xfId="0" applyNumberFormat="1" applyFont="1" applyBorder="1" applyAlignment="1">
      <alignment/>
    </xf>
    <xf numFmtId="0" fontId="4" fillId="0" borderId="23" xfId="0" applyFont="1" applyBorder="1" applyAlignment="1">
      <alignment wrapText="1"/>
    </xf>
    <xf numFmtId="0" fontId="0" fillId="0" borderId="23" xfId="0" applyFont="1" applyFill="1" applyBorder="1" applyAlignment="1">
      <alignment/>
    </xf>
    <xf numFmtId="0" fontId="15" fillId="0" borderId="6" xfId="0" applyFont="1" applyBorder="1" applyAlignment="1" applyProtection="1">
      <alignment vertical="center"/>
      <protection hidden="1"/>
    </xf>
    <xf numFmtId="0" fontId="5" fillId="0" borderId="0" xfId="0" applyNumberFormat="1" applyFont="1" applyAlignment="1" applyProtection="1">
      <alignment horizontal="center"/>
      <protection hidden="1"/>
    </xf>
    <xf numFmtId="0" fontId="5" fillId="0" borderId="0" xfId="0" applyNumberFormat="1" applyFont="1" applyBorder="1" applyAlignment="1" applyProtection="1">
      <alignment horizontal="center"/>
      <protection hidden="1"/>
    </xf>
    <xf numFmtId="0" fontId="5" fillId="0" borderId="0" xfId="0" applyNumberFormat="1" applyFont="1" applyBorder="1" applyAlignment="1" applyProtection="1">
      <alignment horizontal="center" vertical="center"/>
      <protection hidden="1"/>
    </xf>
    <xf numFmtId="0" fontId="5" fillId="3" borderId="23" xfId="0" applyNumberFormat="1" applyFont="1" applyFill="1" applyBorder="1" applyAlignment="1" applyProtection="1">
      <alignment horizontal="center"/>
      <protection hidden="1"/>
    </xf>
    <xf numFmtId="0" fontId="5" fillId="0" borderId="0" xfId="0" applyNumberFormat="1" applyFont="1" applyBorder="1" applyAlignment="1" applyProtection="1">
      <alignment horizontal="center"/>
      <protection/>
    </xf>
    <xf numFmtId="0" fontId="5" fillId="7" borderId="0" xfId="0" applyNumberFormat="1" applyFont="1" applyFill="1" applyBorder="1" applyAlignment="1" applyProtection="1">
      <alignment horizontal="center"/>
      <protection hidden="1"/>
    </xf>
    <xf numFmtId="0" fontId="4" fillId="0" borderId="0" xfId="0" applyNumberFormat="1" applyFont="1" applyAlignment="1" applyProtection="1">
      <alignment horizontal="center"/>
      <protection/>
    </xf>
    <xf numFmtId="0" fontId="4" fillId="0" borderId="0" xfId="0" applyNumberFormat="1" applyFont="1" applyBorder="1" applyAlignment="1" applyProtection="1">
      <alignment horizontal="center" vertical="center"/>
      <protection hidden="1"/>
    </xf>
    <xf numFmtId="186" fontId="5" fillId="3" borderId="23" xfId="0" applyNumberFormat="1" applyFont="1" applyFill="1" applyBorder="1" applyAlignment="1" applyProtection="1">
      <alignment horizontal="center"/>
      <protection hidden="1"/>
    </xf>
    <xf numFmtId="0" fontId="5" fillId="3" borderId="23" xfId="0" applyNumberFormat="1" applyFont="1" applyFill="1" applyBorder="1" applyAlignment="1" applyProtection="1">
      <alignment horizontal="center" wrapText="1"/>
      <protection hidden="1"/>
    </xf>
    <xf numFmtId="0" fontId="5" fillId="0" borderId="0" xfId="0" applyNumberFormat="1" applyFont="1" applyAlignment="1" applyProtection="1">
      <alignment horizontal="center"/>
      <protection/>
    </xf>
    <xf numFmtId="0" fontId="5" fillId="0" borderId="0" xfId="0" applyFont="1" applyBorder="1" applyAlignment="1" applyProtection="1">
      <alignment horizontal="center"/>
      <protection/>
    </xf>
    <xf numFmtId="0" fontId="4" fillId="0" borderId="5" xfId="0" applyNumberFormat="1" applyFont="1" applyBorder="1" applyAlignment="1" applyProtection="1">
      <alignment horizontal="left" vertical="center"/>
      <protection hidden="1"/>
    </xf>
    <xf numFmtId="0" fontId="2" fillId="0" borderId="0" xfId="0" applyNumberFormat="1" applyFont="1" applyFill="1" applyBorder="1" applyAlignment="1" applyProtection="1">
      <alignment horizontal="left"/>
      <protection hidden="1"/>
    </xf>
    <xf numFmtId="0" fontId="1" fillId="0" borderId="0" xfId="0" applyNumberFormat="1" applyFont="1" applyAlignment="1" applyProtection="1">
      <alignment horizontal="center"/>
      <protection hidden="1"/>
    </xf>
    <xf numFmtId="0" fontId="5" fillId="0" borderId="0" xfId="0" applyNumberFormat="1" applyFont="1" applyAlignment="1" applyProtection="1">
      <alignment horizontal="center" vertical="center"/>
      <protection hidden="1"/>
    </xf>
    <xf numFmtId="0" fontId="2" fillId="0" borderId="0" xfId="0" applyNumberFormat="1" applyFont="1" applyBorder="1" applyAlignment="1" applyProtection="1">
      <alignment horizontal="center"/>
      <protection/>
    </xf>
    <xf numFmtId="0" fontId="2" fillId="0" borderId="0" xfId="0" applyNumberFormat="1" applyFont="1" applyAlignment="1" applyProtection="1">
      <alignment horizontal="center"/>
      <protection/>
    </xf>
    <xf numFmtId="0" fontId="3" fillId="0" borderId="0" xfId="0" applyNumberFormat="1" applyFont="1" applyFill="1" applyBorder="1" applyAlignment="1" applyProtection="1">
      <alignment horizontal="center"/>
      <protection hidden="1"/>
    </xf>
    <xf numFmtId="0" fontId="3" fillId="3" borderId="23" xfId="0" applyNumberFormat="1" applyFont="1" applyFill="1" applyBorder="1" applyAlignment="1" applyProtection="1">
      <alignment horizontal="center"/>
      <protection hidden="1"/>
    </xf>
    <xf numFmtId="0" fontId="1" fillId="0" borderId="0" xfId="0" applyNumberFormat="1" applyFont="1" applyAlignment="1" applyProtection="1">
      <alignment horizontal="center"/>
      <protection/>
    </xf>
    <xf numFmtId="0" fontId="2" fillId="0" borderId="5" xfId="0" applyNumberFormat="1" applyFont="1" applyBorder="1" applyAlignment="1" applyProtection="1">
      <alignment horizontal="left" vertical="center"/>
      <protection hidden="1"/>
    </xf>
    <xf numFmtId="0" fontId="2" fillId="0" borderId="0" xfId="0" applyNumberFormat="1" applyFont="1" applyBorder="1" applyAlignment="1" applyProtection="1">
      <alignment horizontal="left"/>
      <protection/>
    </xf>
    <xf numFmtId="0" fontId="0" fillId="0" borderId="0" xfId="0" applyAlignment="1" applyProtection="1">
      <alignment horizontal="center"/>
      <protection/>
    </xf>
    <xf numFmtId="0" fontId="0" fillId="0" borderId="0" xfId="0" applyBorder="1" applyAlignment="1" applyProtection="1">
      <alignment horizontal="center"/>
      <protection/>
    </xf>
    <xf numFmtId="0" fontId="1" fillId="0" borderId="0" xfId="0" applyNumberFormat="1" applyFont="1" applyBorder="1" applyAlignment="1" applyProtection="1">
      <alignment horizontal="center"/>
      <protection/>
    </xf>
    <xf numFmtId="193" fontId="0" fillId="0" borderId="23" xfId="0" applyNumberFormat="1" applyFont="1" applyBorder="1" applyAlignment="1" applyProtection="1">
      <alignment/>
      <protection/>
    </xf>
    <xf numFmtId="193" fontId="0" fillId="0" borderId="23" xfId="0" applyNumberFormat="1" applyFont="1" applyFill="1" applyBorder="1" applyAlignment="1" applyProtection="1">
      <alignment/>
      <protection/>
    </xf>
    <xf numFmtId="173" fontId="0" fillId="0" borderId="23" xfId="30" applyNumberFormat="1" applyFont="1" applyBorder="1" applyAlignment="1" applyProtection="1">
      <alignment/>
      <protection/>
    </xf>
    <xf numFmtId="173" fontId="0" fillId="0" borderId="23" xfId="0" applyNumberFormat="1" applyFont="1" applyBorder="1" applyAlignment="1" applyProtection="1">
      <alignment/>
      <protection/>
    </xf>
    <xf numFmtId="0" fontId="5" fillId="0" borderId="0" xfId="0" applyFont="1" applyAlignment="1">
      <alignment horizontal="center"/>
    </xf>
    <xf numFmtId="169" fontId="4" fillId="0" borderId="23" xfId="0" applyNumberFormat="1" applyFont="1" applyBorder="1" applyAlignment="1" applyProtection="1">
      <alignment horizontal="right"/>
      <protection locked="0"/>
    </xf>
    <xf numFmtId="37" fontId="4" fillId="0" borderId="0" xfId="0" applyNumberFormat="1" applyFont="1" applyBorder="1" applyAlignment="1">
      <alignment/>
    </xf>
    <xf numFmtId="166" fontId="4" fillId="0" borderId="0" xfId="0" applyNumberFormat="1" applyFont="1" applyBorder="1" applyAlignment="1">
      <alignment/>
    </xf>
    <xf numFmtId="37" fontId="4" fillId="0" borderId="25" xfId="0" applyNumberFormat="1" applyFont="1" applyBorder="1" applyAlignment="1">
      <alignment/>
    </xf>
    <xf numFmtId="37" fontId="4" fillId="0" borderId="17" xfId="0" applyNumberFormat="1" applyFont="1" applyBorder="1" applyAlignment="1">
      <alignment/>
    </xf>
    <xf numFmtId="37" fontId="4" fillId="0" borderId="23" xfId="0" applyNumberFormat="1" applyFont="1" applyBorder="1" applyAlignment="1">
      <alignment horizontal="right"/>
    </xf>
    <xf numFmtId="0" fontId="5" fillId="0" borderId="7" xfId="0" applyFont="1" applyBorder="1" applyAlignment="1" applyProtection="1">
      <alignment horizontal="center" wrapText="1"/>
      <protection hidden="1"/>
    </xf>
    <xf numFmtId="0" fontId="4" fillId="0" borderId="0" xfId="0" applyFont="1" applyBorder="1" applyAlignment="1" applyProtection="1">
      <alignment horizontal="justify" wrapText="1"/>
      <protection hidden="1"/>
    </xf>
    <xf numFmtId="0" fontId="0" fillId="0" borderId="0" xfId="0" applyAlignment="1" applyProtection="1">
      <alignment horizontal="justify" wrapText="1"/>
      <protection hidden="1"/>
    </xf>
    <xf numFmtId="0" fontId="5" fillId="0" borderId="62" xfId="0" applyFont="1" applyBorder="1" applyAlignment="1" applyProtection="1">
      <alignment horizontal="center" wrapText="1"/>
      <protection hidden="1"/>
    </xf>
    <xf numFmtId="0" fontId="5" fillId="0" borderId="48" xfId="0" applyFont="1" applyBorder="1" applyAlignment="1" applyProtection="1">
      <alignment horizontal="center" wrapText="1"/>
      <protection hidden="1"/>
    </xf>
    <xf numFmtId="0" fontId="5" fillId="0" borderId="63" xfId="0" applyFont="1" applyBorder="1" applyAlignment="1" applyProtection="1">
      <alignment horizontal="center" wrapText="1"/>
      <protection hidden="1"/>
    </xf>
    <xf numFmtId="0" fontId="5" fillId="0" borderId="35" xfId="0" applyFont="1" applyBorder="1" applyAlignment="1" applyProtection="1">
      <alignment horizontal="center" wrapText="1"/>
      <protection hidden="1"/>
    </xf>
    <xf numFmtId="0" fontId="5" fillId="0" borderId="32" xfId="0" applyFont="1" applyBorder="1" applyAlignment="1" applyProtection="1">
      <alignment horizontal="center" wrapText="1"/>
      <protection hidden="1"/>
    </xf>
    <xf numFmtId="0" fontId="5" fillId="0" borderId="69" xfId="0" applyFont="1" applyBorder="1" applyAlignment="1" applyProtection="1">
      <alignment horizontal="center" wrapText="1"/>
      <protection hidden="1"/>
    </xf>
    <xf numFmtId="0" fontId="4" fillId="0" borderId="27" xfId="0" applyFont="1" applyBorder="1" applyAlignment="1" applyProtection="1">
      <alignment horizontal="left" vertical="center"/>
      <protection hidden="1"/>
    </xf>
    <xf numFmtId="0" fontId="4" fillId="0" borderId="23" xfId="0" applyFont="1" applyBorder="1" applyAlignment="1" applyProtection="1">
      <alignment horizontal="left" vertical="center"/>
      <protection hidden="1"/>
    </xf>
    <xf numFmtId="0" fontId="0" fillId="0" borderId="0" xfId="0" applyBorder="1" applyAlignment="1" applyProtection="1">
      <alignment horizontal="left" vertical="top" wrapText="1"/>
      <protection hidden="1"/>
    </xf>
    <xf numFmtId="0" fontId="0" fillId="0" borderId="0" xfId="0" applyAlignment="1" applyProtection="1">
      <alignment horizontal="left" vertical="top" wrapText="1"/>
      <protection hidden="1"/>
    </xf>
    <xf numFmtId="194" fontId="4" fillId="0" borderId="16" xfId="0" applyNumberFormat="1" applyFont="1" applyBorder="1" applyAlignment="1" applyProtection="1">
      <alignment horizontal="center" wrapText="1"/>
      <protection hidden="1"/>
    </xf>
    <xf numFmtId="194" fontId="4" fillId="0" borderId="5" xfId="0" applyNumberFormat="1" applyFont="1" applyBorder="1" applyAlignment="1" applyProtection="1">
      <alignment horizontal="center" wrapText="1"/>
      <protection hidden="1"/>
    </xf>
    <xf numFmtId="194" fontId="4" fillId="0" borderId="7" xfId="0" applyNumberFormat="1" applyFont="1" applyBorder="1" applyAlignment="1" applyProtection="1">
      <alignment horizontal="center" wrapText="1"/>
      <protection hidden="1"/>
    </xf>
    <xf numFmtId="0" fontId="4" fillId="0" borderId="16" xfId="0" applyFont="1" applyBorder="1" applyAlignment="1" applyProtection="1">
      <alignment horizontal="center" wrapText="1"/>
      <protection hidden="1"/>
    </xf>
    <xf numFmtId="0" fontId="4" fillId="0" borderId="5" xfId="0" applyFont="1" applyBorder="1" applyAlignment="1" applyProtection="1">
      <alignment horizontal="center" wrapText="1"/>
      <protection hidden="1"/>
    </xf>
    <xf numFmtId="0" fontId="4" fillId="0" borderId="7" xfId="0" applyFont="1" applyBorder="1" applyAlignment="1" applyProtection="1">
      <alignment horizontal="center" wrapText="1"/>
      <protection hidden="1"/>
    </xf>
    <xf numFmtId="0" fontId="5" fillId="0" borderId="16" xfId="0" applyFont="1" applyBorder="1" applyAlignment="1" applyProtection="1">
      <alignment horizontal="center" wrapText="1"/>
      <protection hidden="1"/>
    </xf>
    <xf numFmtId="0" fontId="5" fillId="0" borderId="5" xfId="0" applyFont="1" applyBorder="1" applyAlignment="1" applyProtection="1">
      <alignment horizontal="center" wrapText="1"/>
      <protection hidden="1"/>
    </xf>
    <xf numFmtId="37" fontId="4" fillId="0" borderId="77" xfId="0" applyNumberFormat="1" applyFont="1" applyFill="1" applyBorder="1" applyAlignment="1" applyProtection="1">
      <alignment horizontal="center" vertical="center"/>
      <protection locked="0"/>
    </xf>
    <xf numFmtId="37" fontId="4" fillId="0" borderId="48" xfId="0" applyNumberFormat="1" applyFont="1" applyFill="1" applyBorder="1" applyAlignment="1" applyProtection="1">
      <alignment horizontal="center" vertical="center"/>
      <protection locked="0"/>
    </xf>
    <xf numFmtId="37" fontId="4" fillId="0" borderId="63" xfId="0" applyNumberFormat="1" applyFont="1" applyFill="1" applyBorder="1" applyAlignment="1" applyProtection="1">
      <alignment horizontal="center" vertical="center"/>
      <protection locked="0"/>
    </xf>
    <xf numFmtId="37" fontId="4" fillId="0" borderId="23" xfId="0" applyNumberFormat="1" applyFont="1" applyFill="1" applyBorder="1" applyAlignment="1" applyProtection="1">
      <alignment horizontal="center" vertical="center"/>
      <protection locked="0"/>
    </xf>
    <xf numFmtId="37" fontId="4" fillId="0" borderId="78" xfId="0" applyNumberFormat="1" applyFont="1" applyFill="1" applyBorder="1" applyAlignment="1" applyProtection="1">
      <alignment horizontal="center" vertical="center"/>
      <protection locked="0"/>
    </xf>
    <xf numFmtId="15" fontId="4" fillId="0" borderId="30" xfId="0" applyNumberFormat="1" applyFont="1" applyFill="1" applyBorder="1" applyAlignment="1" applyProtection="1" quotePrefix="1">
      <alignment horizontal="right" vertical="center"/>
      <protection locked="0"/>
    </xf>
    <xf numFmtId="15" fontId="4" fillId="0" borderId="18" xfId="0" applyNumberFormat="1" applyFont="1" applyFill="1" applyBorder="1" applyAlignment="1" applyProtection="1" quotePrefix="1">
      <alignment horizontal="right" vertical="center"/>
      <protection locked="0"/>
    </xf>
    <xf numFmtId="0" fontId="0" fillId="0" borderId="0" xfId="0" applyBorder="1" applyAlignment="1" applyProtection="1">
      <alignment horizontal="justify" vertical="top" wrapText="1"/>
      <protection hidden="1"/>
    </xf>
    <xf numFmtId="0" fontId="0" fillId="0" borderId="0" xfId="0" applyBorder="1" applyAlignment="1" applyProtection="1">
      <alignment horizontal="justify" wrapText="1"/>
      <protection hidden="1"/>
    </xf>
    <xf numFmtId="0" fontId="5" fillId="0" borderId="79" xfId="0" applyFont="1" applyBorder="1" applyAlignment="1" applyProtection="1">
      <alignment horizontal="left" vertical="center"/>
      <protection hidden="1"/>
    </xf>
    <xf numFmtId="0" fontId="5" fillId="0" borderId="61" xfId="0" applyFont="1" applyBorder="1" applyAlignment="1" applyProtection="1">
      <alignment horizontal="left" vertical="center"/>
      <protection hidden="1"/>
    </xf>
    <xf numFmtId="0" fontId="5" fillId="0" borderId="80" xfId="0" applyFont="1" applyBorder="1" applyAlignment="1" applyProtection="1">
      <alignment horizontal="left" vertical="center"/>
      <protection hidden="1"/>
    </xf>
    <xf numFmtId="0" fontId="5" fillId="0" borderId="26" xfId="0" applyFont="1" applyBorder="1" applyAlignment="1" applyProtection="1">
      <alignment horizontal="left" vertical="center"/>
      <protection hidden="1"/>
    </xf>
    <xf numFmtId="0" fontId="5" fillId="0" borderId="47" xfId="0" applyFont="1" applyBorder="1" applyAlignment="1" applyProtection="1">
      <alignment horizontal="left" vertical="center"/>
      <protection hidden="1"/>
    </xf>
    <xf numFmtId="37" fontId="4" fillId="0" borderId="40" xfId="0" applyNumberFormat="1" applyFont="1" applyFill="1" applyBorder="1" applyAlignment="1" applyProtection="1">
      <alignment horizontal="right" vertical="center"/>
      <protection locked="0"/>
    </xf>
    <xf numFmtId="37" fontId="4" fillId="0" borderId="18" xfId="0" applyNumberFormat="1" applyFont="1" applyFill="1" applyBorder="1" applyAlignment="1" applyProtection="1">
      <alignment horizontal="right" vertical="center"/>
      <protection locked="0"/>
    </xf>
    <xf numFmtId="0" fontId="4" fillId="0" borderId="36" xfId="0" applyFont="1" applyBorder="1" applyAlignment="1" applyProtection="1">
      <alignment horizontal="left" vertical="center"/>
      <protection/>
    </xf>
    <xf numFmtId="37" fontId="4" fillId="0" borderId="25" xfId="0" applyNumberFormat="1" applyFont="1" applyFill="1" applyBorder="1" applyAlignment="1" applyProtection="1">
      <alignment horizontal="left" vertical="center"/>
      <protection locked="0"/>
    </xf>
    <xf numFmtId="37" fontId="4" fillId="0" borderId="13" xfId="0" applyNumberFormat="1" applyFont="1" applyFill="1" applyBorder="1" applyAlignment="1" applyProtection="1">
      <alignment horizontal="left" vertical="center"/>
      <protection locked="0"/>
    </xf>
    <xf numFmtId="37" fontId="4" fillId="0" borderId="81" xfId="0" applyNumberFormat="1" applyFont="1" applyFill="1" applyBorder="1" applyAlignment="1" applyProtection="1">
      <alignment horizontal="left" vertical="center"/>
      <protection locked="0"/>
    </xf>
    <xf numFmtId="37" fontId="4" fillId="0" borderId="40" xfId="0" applyNumberFormat="1" applyFont="1" applyFill="1" applyBorder="1" applyAlignment="1" applyProtection="1">
      <alignment horizontal="left" vertical="center"/>
      <protection locked="0"/>
    </xf>
    <xf numFmtId="37" fontId="4" fillId="0" borderId="18" xfId="0" applyNumberFormat="1" applyFont="1" applyFill="1" applyBorder="1" applyAlignment="1" applyProtection="1">
      <alignment horizontal="left" vertical="center"/>
      <protection locked="0"/>
    </xf>
    <xf numFmtId="37" fontId="4" fillId="0" borderId="65" xfId="0" applyNumberFormat="1" applyFont="1" applyFill="1" applyBorder="1" applyAlignment="1" applyProtection="1">
      <alignment horizontal="left" vertical="center"/>
      <protection locked="0"/>
    </xf>
    <xf numFmtId="37" fontId="4" fillId="0" borderId="77" xfId="0" applyNumberFormat="1" applyFont="1" applyFill="1" applyBorder="1" applyAlignment="1" applyProtection="1">
      <alignment horizontal="left" vertical="center"/>
      <protection locked="0"/>
    </xf>
    <xf numFmtId="37" fontId="4" fillId="0" borderId="48" xfId="0" applyNumberFormat="1" applyFont="1" applyFill="1" applyBorder="1" applyAlignment="1" applyProtection="1">
      <alignment horizontal="left" vertical="center"/>
      <protection locked="0"/>
    </xf>
    <xf numFmtId="37" fontId="4" fillId="0" borderId="63" xfId="0" applyNumberFormat="1" applyFont="1" applyFill="1" applyBorder="1" applyAlignment="1" applyProtection="1">
      <alignment horizontal="left" vertical="center"/>
      <protection locked="0"/>
    </xf>
    <xf numFmtId="0" fontId="5" fillId="0" borderId="62" xfId="0" applyFont="1" applyBorder="1" applyAlignment="1" applyProtection="1">
      <alignment horizontal="left" vertical="center"/>
      <protection hidden="1"/>
    </xf>
    <xf numFmtId="0" fontId="5" fillId="0" borderId="48" xfId="0" applyFont="1" applyBorder="1" applyAlignment="1" applyProtection="1">
      <alignment horizontal="left" vertical="center"/>
      <protection hidden="1"/>
    </xf>
    <xf numFmtId="0" fontId="5" fillId="0" borderId="39" xfId="0" applyFont="1" applyBorder="1" applyAlignment="1" applyProtection="1">
      <alignment horizontal="left" vertical="center"/>
      <protection hidden="1"/>
    </xf>
    <xf numFmtId="0" fontId="4" fillId="0" borderId="29" xfId="0" applyFont="1" applyBorder="1" applyAlignment="1" applyProtection="1">
      <alignment horizontal="left" vertical="center"/>
      <protection hidden="1"/>
    </xf>
    <xf numFmtId="0" fontId="4" fillId="0" borderId="13" xfId="0" applyFont="1" applyBorder="1" applyAlignment="1" applyProtection="1">
      <alignment horizontal="left" vertical="center"/>
      <protection hidden="1"/>
    </xf>
    <xf numFmtId="0" fontId="4" fillId="0" borderId="17" xfId="0" applyFont="1" applyBorder="1" applyAlignment="1" applyProtection="1">
      <alignment horizontal="left" vertical="center"/>
      <protection hidden="1"/>
    </xf>
    <xf numFmtId="0" fontId="4" fillId="0" borderId="30" xfId="0" applyFont="1" applyBorder="1" applyAlignment="1" applyProtection="1">
      <alignment horizontal="left" vertical="center"/>
      <protection hidden="1"/>
    </xf>
    <xf numFmtId="0" fontId="4" fillId="0" borderId="18" xfId="0" applyFont="1" applyBorder="1" applyAlignment="1" applyProtection="1">
      <alignment horizontal="left" vertical="center"/>
      <protection hidden="1"/>
    </xf>
    <xf numFmtId="0" fontId="4" fillId="0" borderId="19" xfId="0" applyFont="1" applyBorder="1" applyAlignment="1" applyProtection="1">
      <alignment horizontal="left" vertical="center"/>
      <protection hidden="1"/>
    </xf>
    <xf numFmtId="37" fontId="4" fillId="0" borderId="36" xfId="0" applyNumberFormat="1" applyFont="1" applyFill="1" applyBorder="1" applyAlignment="1" applyProtection="1">
      <alignment horizontal="left" vertical="center"/>
      <protection locked="0"/>
    </xf>
    <xf numFmtId="37" fontId="4" fillId="0" borderId="82" xfId="0" applyNumberFormat="1" applyFont="1" applyFill="1" applyBorder="1" applyAlignment="1" applyProtection="1">
      <alignment horizontal="left" vertical="center"/>
      <protection locked="0"/>
    </xf>
    <xf numFmtId="37" fontId="4" fillId="0" borderId="72" xfId="0" applyNumberFormat="1" applyFont="1" applyFill="1" applyBorder="1" applyAlignment="1" applyProtection="1">
      <alignment horizontal="left" vertical="center"/>
      <protection locked="0"/>
    </xf>
    <xf numFmtId="37" fontId="4" fillId="0" borderId="26" xfId="0" applyNumberFormat="1" applyFont="1" applyFill="1" applyBorder="1" applyAlignment="1" applyProtection="1">
      <alignment horizontal="left" vertical="center"/>
      <protection locked="0"/>
    </xf>
    <xf numFmtId="37" fontId="4" fillId="0" borderId="70" xfId="0" applyNumberFormat="1" applyFont="1" applyFill="1" applyBorder="1" applyAlignment="1" applyProtection="1">
      <alignment horizontal="left" vertical="center"/>
      <protection locked="0"/>
    </xf>
    <xf numFmtId="0" fontId="4" fillId="0" borderId="28" xfId="0" applyFont="1" applyBorder="1" applyAlignment="1" applyProtection="1">
      <alignment horizontal="left" vertical="center"/>
      <protection/>
    </xf>
    <xf numFmtId="0" fontId="4" fillId="0" borderId="0" xfId="0" applyNumberFormat="1" applyFont="1" applyAlignment="1" applyProtection="1">
      <alignment vertical="top" wrapText="1"/>
      <protection/>
    </xf>
    <xf numFmtId="0" fontId="0" fillId="0" borderId="0" xfId="0" applyAlignment="1" applyProtection="1">
      <alignment vertical="top"/>
      <protection/>
    </xf>
    <xf numFmtId="0" fontId="4" fillId="0" borderId="0" xfId="0" applyNumberFormat="1" applyFont="1" applyAlignment="1" applyProtection="1">
      <alignment horizontal="left" vertical="top" wrapText="1"/>
      <protection/>
    </xf>
    <xf numFmtId="0" fontId="4" fillId="0" borderId="0" xfId="0" applyFont="1" applyAlignment="1" applyProtection="1">
      <alignment horizontal="left" vertical="top" wrapText="1"/>
      <protection hidden="1"/>
    </xf>
    <xf numFmtId="0" fontId="0" fillId="0" borderId="0" xfId="0" applyFont="1" applyAlignment="1" applyProtection="1">
      <alignment horizontal="left" vertical="top" wrapText="1"/>
      <protection/>
    </xf>
    <xf numFmtId="0" fontId="4" fillId="0" borderId="0" xfId="0" applyNumberFormat="1" applyFont="1" applyAlignment="1" applyProtection="1">
      <alignment horizontal="left" vertical="top" wrapText="1"/>
      <protection hidden="1"/>
    </xf>
    <xf numFmtId="0" fontId="5" fillId="0" borderId="0" xfId="0" applyNumberFormat="1" applyFont="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4" fillId="0" borderId="0" xfId="0" applyFont="1" applyAlignment="1" applyProtection="1" quotePrefix="1">
      <alignment horizontal="left" vertical="top" wrapText="1"/>
      <protection hidden="1"/>
    </xf>
    <xf numFmtId="0" fontId="4" fillId="0" borderId="0" xfId="0" applyFont="1" applyAlignment="1" applyProtection="1">
      <alignment horizontal="justify" vertical="top" wrapText="1"/>
      <protection hidden="1"/>
    </xf>
    <xf numFmtId="0" fontId="5" fillId="0" borderId="0" xfId="0" applyFont="1" applyAlignment="1" applyProtection="1">
      <alignment horizontal="justify" vertical="top" wrapText="1"/>
      <protection hidden="1"/>
    </xf>
    <xf numFmtId="0" fontId="4" fillId="0" borderId="0" xfId="0" applyNumberFormat="1" applyFont="1" applyBorder="1" applyAlignment="1" applyProtection="1">
      <alignment horizontal="left" vertical="top" wrapText="1"/>
      <protection hidden="1"/>
    </xf>
    <xf numFmtId="0" fontId="0" fillId="0" borderId="0" xfId="0" applyFont="1" applyAlignment="1" applyProtection="1">
      <alignment horizontal="left" vertical="top" wrapText="1"/>
      <protection hidden="1"/>
    </xf>
    <xf numFmtId="0" fontId="0" fillId="0" borderId="0" xfId="0" applyFont="1" applyAlignment="1" applyProtection="1">
      <alignment horizontal="left" wrapText="1"/>
      <protection/>
    </xf>
    <xf numFmtId="0" fontId="2" fillId="0" borderId="0" xfId="0" applyFont="1" applyAlignment="1">
      <alignment horizontal="left" vertical="top" wrapText="1"/>
    </xf>
    <xf numFmtId="169" fontId="5" fillId="3" borderId="16" xfId="0" applyNumberFormat="1" applyFont="1" applyFill="1" applyBorder="1" applyAlignment="1">
      <alignment horizontal="center"/>
    </xf>
    <xf numFmtId="169" fontId="5" fillId="3" borderId="7" xfId="0" applyNumberFormat="1" applyFont="1" applyFill="1" applyBorder="1" applyAlignment="1">
      <alignment horizontal="center"/>
    </xf>
    <xf numFmtId="0" fontId="5" fillId="3" borderId="5" xfId="0" applyNumberFormat="1" applyFont="1" applyFill="1" applyBorder="1" applyAlignment="1" applyProtection="1">
      <alignment horizontal="center"/>
      <protection/>
    </xf>
    <xf numFmtId="0" fontId="5" fillId="3" borderId="7" xfId="0" applyNumberFormat="1" applyFont="1" applyFill="1" applyBorder="1" applyAlignment="1" applyProtection="1">
      <alignment horizontal="center"/>
      <protection/>
    </xf>
    <xf numFmtId="0" fontId="5" fillId="3" borderId="16" xfId="0" applyNumberFormat="1" applyFont="1" applyFill="1" applyBorder="1" applyAlignment="1" applyProtection="1">
      <alignment horizontal="center"/>
      <protection/>
    </xf>
    <xf numFmtId="0" fontId="2" fillId="0" borderId="0" xfId="0" applyFont="1" applyFill="1" applyAlignment="1">
      <alignment horizontal="left" vertical="top" wrapText="1"/>
    </xf>
    <xf numFmtId="0" fontId="5" fillId="0" borderId="25" xfId="0" applyFont="1" applyFill="1" applyBorder="1" applyAlignment="1">
      <alignment horizontal="left"/>
    </xf>
    <xf numFmtId="0" fontId="5" fillId="0" borderId="13" xfId="0" applyFont="1" applyFill="1" applyBorder="1" applyAlignment="1">
      <alignment horizontal="left"/>
    </xf>
    <xf numFmtId="0" fontId="5" fillId="0" borderId="17" xfId="0" applyFont="1" applyFill="1" applyBorder="1" applyAlignment="1">
      <alignment horizontal="left"/>
    </xf>
    <xf numFmtId="0" fontId="5" fillId="3" borderId="25" xfId="0" applyFont="1" applyFill="1" applyBorder="1" applyAlignment="1">
      <alignment horizontal="left"/>
    </xf>
    <xf numFmtId="0" fontId="5" fillId="3" borderId="13" xfId="0" applyFont="1" applyFill="1" applyBorder="1" applyAlignment="1">
      <alignment horizontal="left"/>
    </xf>
    <xf numFmtId="0" fontId="5" fillId="3" borderId="17" xfId="0" applyFont="1" applyFill="1" applyBorder="1" applyAlignment="1">
      <alignment horizontal="left"/>
    </xf>
    <xf numFmtId="0" fontId="5" fillId="3" borderId="3" xfId="0" applyFont="1" applyFill="1" applyBorder="1" applyAlignment="1">
      <alignment horizontal="left"/>
    </xf>
    <xf numFmtId="0" fontId="5" fillId="0" borderId="25" xfId="0" applyFont="1" applyBorder="1" applyAlignment="1">
      <alignment horizontal="left"/>
    </xf>
    <xf numFmtId="0" fontId="0" fillId="0" borderId="17" xfId="0" applyBorder="1" applyAlignment="1">
      <alignment horizontal="left"/>
    </xf>
    <xf numFmtId="0" fontId="1" fillId="3" borderId="16" xfId="0" applyFont="1" applyFill="1" applyBorder="1" applyAlignment="1">
      <alignment horizontal="center"/>
    </xf>
    <xf numFmtId="0" fontId="1" fillId="3" borderId="7" xfId="0" applyFont="1" applyFill="1" applyBorder="1" applyAlignment="1">
      <alignment horizontal="center"/>
    </xf>
    <xf numFmtId="0" fontId="4" fillId="0" borderId="25" xfId="0" applyFont="1" applyBorder="1" applyAlignment="1">
      <alignment horizontal="left"/>
    </xf>
    <xf numFmtId="0" fontId="4" fillId="0" borderId="17" xfId="0" applyFont="1" applyBorder="1" applyAlignment="1">
      <alignment horizontal="left"/>
    </xf>
    <xf numFmtId="0" fontId="5" fillId="3" borderId="50" xfId="0" applyFont="1" applyFill="1" applyBorder="1" applyAlignment="1">
      <alignment horizontal="center"/>
    </xf>
    <xf numFmtId="0" fontId="5" fillId="3" borderId="33" xfId="0" applyFont="1" applyFill="1" applyBorder="1" applyAlignment="1">
      <alignment horizontal="center"/>
    </xf>
    <xf numFmtId="0" fontId="2" fillId="0" borderId="0" xfId="0" applyFont="1" applyAlignment="1">
      <alignment horizontal="justify" vertical="top" wrapText="1"/>
    </xf>
    <xf numFmtId="169" fontId="5" fillId="3" borderId="50" xfId="0" applyNumberFormat="1" applyFont="1" applyFill="1" applyBorder="1" applyAlignment="1">
      <alignment horizontal="center"/>
    </xf>
    <xf numFmtId="169" fontId="5" fillId="3" borderId="37" xfId="0" applyNumberFormat="1" applyFont="1" applyFill="1" applyBorder="1" applyAlignment="1">
      <alignment horizontal="center"/>
    </xf>
    <xf numFmtId="169" fontId="5" fillId="3" borderId="51" xfId="0" applyNumberFormat="1" applyFont="1" applyFill="1" applyBorder="1" applyAlignment="1">
      <alignment horizontal="center"/>
    </xf>
    <xf numFmtId="169" fontId="5" fillId="3" borderId="22" xfId="0" applyNumberFormat="1" applyFont="1" applyFill="1" applyBorder="1" applyAlignment="1">
      <alignment horizontal="center"/>
    </xf>
    <xf numFmtId="169" fontId="5" fillId="3" borderId="5" xfId="0" applyNumberFormat="1" applyFont="1" applyFill="1" applyBorder="1" applyAlignment="1">
      <alignment horizontal="center"/>
    </xf>
    <xf numFmtId="169" fontId="5" fillId="3" borderId="3" xfId="0" applyNumberFormat="1" applyFont="1" applyFill="1" applyBorder="1" applyAlignment="1">
      <alignment horizontal="center"/>
    </xf>
    <xf numFmtId="0" fontId="5" fillId="3" borderId="16" xfId="0" applyFont="1" applyFill="1" applyBorder="1" applyAlignment="1">
      <alignment horizontal="center"/>
    </xf>
    <xf numFmtId="0" fontId="5" fillId="3" borderId="5" xfId="0" applyFont="1" applyFill="1" applyBorder="1" applyAlignment="1">
      <alignment horizontal="center"/>
    </xf>
    <xf numFmtId="0" fontId="5" fillId="3" borderId="7" xfId="0" applyFont="1" applyFill="1" applyBorder="1" applyAlignment="1">
      <alignment horizontal="center"/>
    </xf>
    <xf numFmtId="0" fontId="5" fillId="3" borderId="3" xfId="0" applyFont="1" applyFill="1" applyBorder="1" applyAlignment="1">
      <alignment horizontal="center"/>
    </xf>
    <xf numFmtId="169" fontId="5" fillId="3" borderId="21" xfId="0" applyNumberFormat="1" applyFont="1" applyFill="1" applyBorder="1" applyAlignment="1">
      <alignment horizontal="center"/>
    </xf>
    <xf numFmtId="169" fontId="5" fillId="3" borderId="14" xfId="0" applyNumberFormat="1" applyFont="1" applyFill="1" applyBorder="1" applyAlignment="1">
      <alignment horizontal="center"/>
    </xf>
    <xf numFmtId="0" fontId="4" fillId="0" borderId="13" xfId="0" applyFont="1" applyBorder="1" applyAlignment="1">
      <alignment horizontal="center"/>
    </xf>
    <xf numFmtId="0" fontId="4" fillId="0" borderId="17" xfId="0" applyFont="1" applyBorder="1" applyAlignment="1">
      <alignment horizontal="center"/>
    </xf>
    <xf numFmtId="0" fontId="21" fillId="3" borderId="13" xfId="0" applyFont="1" applyFill="1" applyBorder="1" applyAlignment="1">
      <alignment horizontal="center"/>
    </xf>
    <xf numFmtId="0" fontId="21" fillId="3" borderId="17" xfId="0" applyFont="1" applyFill="1" applyBorder="1" applyAlignment="1">
      <alignment horizontal="center"/>
    </xf>
    <xf numFmtId="0" fontId="4" fillId="7" borderId="13" xfId="0" applyFont="1" applyFill="1" applyBorder="1" applyAlignment="1">
      <alignment horizontal="center"/>
    </xf>
    <xf numFmtId="0" fontId="4" fillId="7" borderId="17" xfId="0" applyFont="1" applyFill="1" applyBorder="1" applyAlignment="1">
      <alignment horizontal="center"/>
    </xf>
    <xf numFmtId="178" fontId="5" fillId="3" borderId="25" xfId="35" applyNumberFormat="1" applyFont="1" applyFill="1" applyBorder="1" applyAlignment="1" applyProtection="1">
      <alignment horizontal="left"/>
      <protection/>
    </xf>
    <xf numFmtId="178" fontId="5" fillId="3" borderId="17" xfId="35" applyNumberFormat="1" applyFont="1" applyFill="1" applyBorder="1" applyAlignment="1" applyProtection="1">
      <alignment horizontal="left"/>
      <protection/>
    </xf>
    <xf numFmtId="0" fontId="4" fillId="0" borderId="13" xfId="0" applyFont="1" applyBorder="1" applyAlignment="1">
      <alignment horizontal="left"/>
    </xf>
    <xf numFmtId="0" fontId="4" fillId="0" borderId="25" xfId="0" applyFont="1" applyBorder="1" applyAlignment="1" applyProtection="1">
      <alignment horizontal="left"/>
      <protection/>
    </xf>
    <xf numFmtId="0" fontId="4" fillId="0" borderId="13" xfId="0" applyFont="1" applyBorder="1" applyAlignment="1" applyProtection="1">
      <alignment horizontal="left"/>
      <protection/>
    </xf>
    <xf numFmtId="0" fontId="4" fillId="0" borderId="17" xfId="0" applyFont="1" applyBorder="1" applyAlignment="1" applyProtection="1">
      <alignment horizontal="left"/>
      <protection/>
    </xf>
    <xf numFmtId="37" fontId="5" fillId="3" borderId="16" xfId="0" applyNumberFormat="1" applyFont="1" applyFill="1" applyBorder="1" applyAlignment="1" applyProtection="1">
      <alignment horizontal="left" vertical="center"/>
      <protection hidden="1"/>
    </xf>
    <xf numFmtId="37" fontId="5" fillId="3" borderId="7" xfId="0" applyNumberFormat="1" applyFont="1" applyFill="1" applyBorder="1" applyAlignment="1" applyProtection="1">
      <alignment horizontal="left" vertical="center"/>
      <protection hidden="1"/>
    </xf>
    <xf numFmtId="37" fontId="5" fillId="0" borderId="26" xfId="0" applyNumberFormat="1" applyFont="1" applyBorder="1" applyAlignment="1" applyProtection="1">
      <alignment horizontal="left"/>
      <protection hidden="1"/>
    </xf>
    <xf numFmtId="171" fontId="5" fillId="3" borderId="25" xfId="0" applyNumberFormat="1" applyFont="1" applyFill="1" applyBorder="1" applyAlignment="1" applyProtection="1">
      <alignment horizontal="center"/>
      <protection/>
    </xf>
    <xf numFmtId="171" fontId="5" fillId="3" borderId="17" xfId="0" applyNumberFormat="1" applyFont="1" applyFill="1" applyBorder="1" applyAlignment="1" applyProtection="1">
      <alignment horizontal="center"/>
      <protection/>
    </xf>
    <xf numFmtId="177" fontId="4" fillId="0" borderId="25" xfId="34" applyNumberFormat="1" applyFont="1" applyFill="1" applyBorder="1" applyAlignment="1" applyProtection="1">
      <alignment horizontal="center"/>
      <protection locked="0"/>
    </xf>
    <xf numFmtId="177" fontId="4" fillId="0" borderId="17" xfId="34" applyNumberFormat="1" applyFont="1" applyFill="1" applyBorder="1" applyAlignment="1" applyProtection="1">
      <alignment horizontal="center"/>
      <protection locked="0"/>
    </xf>
    <xf numFmtId="177" fontId="5" fillId="3" borderId="25" xfId="34" applyNumberFormat="1" applyFont="1" applyFill="1" applyBorder="1" applyAlignment="1" applyProtection="1">
      <alignment horizontal="center"/>
      <protection/>
    </xf>
    <xf numFmtId="177" fontId="5" fillId="3" borderId="17" xfId="34" applyNumberFormat="1" applyFont="1" applyFill="1" applyBorder="1" applyAlignment="1" applyProtection="1">
      <alignment horizontal="center"/>
      <protection/>
    </xf>
    <xf numFmtId="177" fontId="4" fillId="0" borderId="77" xfId="34" applyNumberFormat="1" applyFont="1" applyFill="1" applyBorder="1" applyAlignment="1" applyProtection="1">
      <alignment horizontal="center"/>
      <protection locked="0"/>
    </xf>
    <xf numFmtId="177" fontId="4" fillId="0" borderId="39" xfId="34" applyNumberFormat="1" applyFont="1" applyFill="1" applyBorder="1" applyAlignment="1" applyProtection="1">
      <alignment horizontal="center"/>
      <protection locked="0"/>
    </xf>
    <xf numFmtId="189" fontId="5" fillId="3" borderId="51" xfId="0" applyNumberFormat="1" applyFont="1" applyFill="1" applyBorder="1" applyAlignment="1" applyProtection="1">
      <alignment horizontal="center" vertical="center"/>
      <protection hidden="1"/>
    </xf>
    <xf numFmtId="189" fontId="5" fillId="3" borderId="22" xfId="0" applyNumberFormat="1" applyFont="1" applyFill="1" applyBorder="1" applyAlignment="1" applyProtection="1">
      <alignment horizontal="center" vertical="center"/>
      <protection hidden="1"/>
    </xf>
    <xf numFmtId="0" fontId="5" fillId="3" borderId="16" xfId="0" applyFont="1" applyFill="1" applyBorder="1" applyAlignment="1" applyProtection="1">
      <alignment horizontal="left" vertical="center"/>
      <protection hidden="1"/>
    </xf>
    <xf numFmtId="0" fontId="5" fillId="3" borderId="7" xfId="0" applyFont="1" applyFill="1" applyBorder="1" applyAlignment="1" applyProtection="1">
      <alignment horizontal="left" vertical="center"/>
      <protection hidden="1"/>
    </xf>
    <xf numFmtId="0" fontId="5" fillId="3" borderId="50" xfId="0" applyFont="1" applyFill="1" applyBorder="1" applyAlignment="1" applyProtection="1">
      <alignment horizontal="center" vertical="center"/>
      <protection hidden="1"/>
    </xf>
    <xf numFmtId="0" fontId="5" fillId="3" borderId="37" xfId="0" applyFont="1" applyFill="1" applyBorder="1" applyAlignment="1" applyProtection="1">
      <alignment horizontal="center" vertical="center"/>
      <protection hidden="1"/>
    </xf>
    <xf numFmtId="171" fontId="4" fillId="0" borderId="40" xfId="0" applyNumberFormat="1" applyFont="1" applyFill="1" applyBorder="1" applyAlignment="1" applyProtection="1">
      <alignment horizontal="right"/>
      <protection locked="0"/>
    </xf>
    <xf numFmtId="171" fontId="4" fillId="0" borderId="19" xfId="0" applyNumberFormat="1" applyFont="1" applyFill="1" applyBorder="1" applyAlignment="1" applyProtection="1">
      <alignment horizontal="right"/>
      <protection locked="0"/>
    </xf>
    <xf numFmtId="49" fontId="5" fillId="0" borderId="48" xfId="0" applyNumberFormat="1" applyFont="1" applyFill="1" applyBorder="1" applyAlignment="1" applyProtection="1">
      <alignment wrapText="1"/>
      <protection locked="0"/>
    </xf>
    <xf numFmtId="0" fontId="5" fillId="0" borderId="48" xfId="0" applyFont="1" applyBorder="1" applyAlignment="1" applyProtection="1">
      <alignment wrapText="1"/>
      <protection locked="0"/>
    </xf>
    <xf numFmtId="171" fontId="4" fillId="0" borderId="77" xfId="0" applyNumberFormat="1" applyFont="1" applyFill="1" applyBorder="1" applyAlignment="1" applyProtection="1">
      <alignment horizontal="right"/>
      <protection locked="0"/>
    </xf>
    <xf numFmtId="171" fontId="4" fillId="0" borderId="39" xfId="0" applyNumberFormat="1" applyFont="1" applyFill="1" applyBorder="1" applyAlignment="1" applyProtection="1">
      <alignment horizontal="right"/>
      <protection locked="0"/>
    </xf>
    <xf numFmtId="49" fontId="5" fillId="0" borderId="32" xfId="0" applyNumberFormat="1" applyFont="1" applyFill="1" applyBorder="1" applyAlignment="1" applyProtection="1">
      <alignment wrapText="1"/>
      <protection locked="0"/>
    </xf>
    <xf numFmtId="0" fontId="5" fillId="0" borderId="18" xfId="0" applyFont="1" applyBorder="1" applyAlignment="1" applyProtection="1">
      <alignment wrapText="1"/>
      <protection locked="0"/>
    </xf>
    <xf numFmtId="0" fontId="5" fillId="3" borderId="16" xfId="0" applyFont="1" applyFill="1" applyBorder="1" applyAlignment="1" applyProtection="1">
      <alignment horizontal="left" vertical="center" wrapText="1"/>
      <protection hidden="1"/>
    </xf>
    <xf numFmtId="0" fontId="5" fillId="3" borderId="5" xfId="0" applyFont="1" applyFill="1" applyBorder="1" applyAlignment="1" applyProtection="1">
      <alignment horizontal="left" vertical="center" wrapText="1"/>
      <protection hidden="1"/>
    </xf>
    <xf numFmtId="0" fontId="5" fillId="3" borderId="7" xfId="0" applyFont="1" applyFill="1" applyBorder="1" applyAlignment="1" applyProtection="1">
      <alignment horizontal="left" vertical="center" wrapText="1"/>
      <protection hidden="1"/>
    </xf>
    <xf numFmtId="49" fontId="5" fillId="0" borderId="25" xfId="0" applyNumberFormat="1" applyFont="1" applyFill="1" applyBorder="1" applyAlignment="1" applyProtection="1">
      <alignment horizontal="left" wrapText="1"/>
      <protection locked="0"/>
    </xf>
    <xf numFmtId="49" fontId="5" fillId="0" borderId="13" xfId="0" applyNumberFormat="1" applyFont="1" applyFill="1" applyBorder="1" applyAlignment="1" applyProtection="1">
      <alignment horizontal="left" wrapText="1"/>
      <protection locked="0"/>
    </xf>
    <xf numFmtId="49" fontId="5" fillId="0" borderId="17" xfId="0" applyNumberFormat="1" applyFont="1" applyFill="1" applyBorder="1" applyAlignment="1" applyProtection="1">
      <alignment horizontal="left" wrapText="1"/>
      <protection locked="0"/>
    </xf>
    <xf numFmtId="0" fontId="5" fillId="3" borderId="16" xfId="0" applyFont="1" applyFill="1" applyBorder="1" applyAlignment="1" applyProtection="1">
      <alignment vertical="center" wrapText="1"/>
      <protection hidden="1"/>
    </xf>
    <xf numFmtId="0" fontId="4" fillId="0" borderId="7" xfId="0" applyFont="1" applyBorder="1" applyAlignment="1" applyProtection="1">
      <alignment/>
      <protection hidden="1"/>
    </xf>
    <xf numFmtId="0" fontId="5" fillId="3" borderId="21" xfId="0" applyFont="1" applyFill="1" applyBorder="1" applyAlignment="1">
      <alignment horizontal="center" wrapText="1"/>
    </xf>
    <xf numFmtId="0" fontId="5" fillId="3" borderId="2" xfId="0" applyFont="1" applyFill="1" applyBorder="1" applyAlignment="1">
      <alignment horizontal="center" wrapText="1"/>
    </xf>
    <xf numFmtId="0" fontId="5" fillId="3" borderId="14" xfId="0" applyFont="1" applyFill="1" applyBorder="1" applyAlignment="1">
      <alignment horizontal="center" wrapText="1"/>
    </xf>
    <xf numFmtId="37" fontId="5" fillId="3" borderId="16" xfId="0" applyNumberFormat="1" applyFont="1" applyFill="1" applyBorder="1" applyAlignment="1" applyProtection="1">
      <alignment horizontal="center" vertical="center" wrapText="1"/>
      <protection hidden="1"/>
    </xf>
    <xf numFmtId="37" fontId="5" fillId="3" borderId="5" xfId="0" applyNumberFormat="1" applyFont="1" applyFill="1" applyBorder="1" applyAlignment="1" applyProtection="1">
      <alignment horizontal="center" vertical="center" wrapText="1"/>
      <protection hidden="1"/>
    </xf>
    <xf numFmtId="37" fontId="5" fillId="3" borderId="7" xfId="0" applyNumberFormat="1" applyFont="1" applyFill="1" applyBorder="1" applyAlignment="1" applyProtection="1">
      <alignment horizontal="center" vertical="center" wrapText="1"/>
      <protection hidden="1"/>
    </xf>
    <xf numFmtId="37" fontId="5" fillId="3" borderId="16" xfId="0" applyNumberFormat="1" applyFont="1" applyFill="1" applyBorder="1" applyAlignment="1" applyProtection="1">
      <alignment horizontal="center" vertical="center"/>
      <protection hidden="1"/>
    </xf>
    <xf numFmtId="37" fontId="5" fillId="3" borderId="7" xfId="0" applyNumberFormat="1" applyFont="1" applyFill="1" applyBorder="1" applyAlignment="1" applyProtection="1">
      <alignment horizontal="center" vertical="center"/>
      <protection hidden="1"/>
    </xf>
    <xf numFmtId="0" fontId="5" fillId="3" borderId="21" xfId="0" applyFont="1" applyFill="1" applyBorder="1" applyAlignment="1">
      <alignment horizontal="center" wrapText="1" shrinkToFit="1"/>
    </xf>
    <xf numFmtId="0" fontId="5" fillId="3" borderId="2" xfId="0" applyFont="1" applyFill="1" applyBorder="1" applyAlignment="1">
      <alignment horizontal="center" wrapText="1" shrinkToFit="1"/>
    </xf>
    <xf numFmtId="0" fontId="5" fillId="3" borderId="14" xfId="0" applyFont="1" applyFill="1" applyBorder="1" applyAlignment="1">
      <alignment horizontal="center" wrapText="1" shrinkToFit="1"/>
    </xf>
    <xf numFmtId="0" fontId="4" fillId="0" borderId="23" xfId="0" applyFont="1" applyBorder="1" applyAlignment="1">
      <alignment horizontal="left"/>
    </xf>
    <xf numFmtId="0" fontId="4" fillId="0" borderId="24" xfId="0" applyFont="1" applyBorder="1" applyAlignment="1">
      <alignment horizontal="left"/>
    </xf>
    <xf numFmtId="0" fontId="5" fillId="3" borderId="23" xfId="0" applyFont="1" applyFill="1" applyBorder="1" applyAlignment="1">
      <alignment horizontal="left"/>
    </xf>
    <xf numFmtId="0" fontId="2" fillId="0" borderId="0" xfId="0" applyFont="1" applyBorder="1" applyAlignment="1" applyProtection="1">
      <alignment horizontal="left" vertical="top" wrapText="1"/>
      <protection/>
    </xf>
    <xf numFmtId="37" fontId="5" fillId="8" borderId="52" xfId="0" applyNumberFormat="1" applyFont="1" applyFill="1" applyBorder="1" applyAlignment="1">
      <alignment horizontal="center"/>
    </xf>
    <xf numFmtId="37" fontId="5" fillId="8" borderId="0" xfId="0" applyNumberFormat="1" applyFont="1" applyFill="1" applyBorder="1" applyAlignment="1">
      <alignment horizontal="center"/>
    </xf>
    <xf numFmtId="37" fontId="5" fillId="8" borderId="31" xfId="0" applyNumberFormat="1" applyFont="1" applyFill="1" applyBorder="1" applyAlignment="1">
      <alignment horizontal="center"/>
    </xf>
    <xf numFmtId="37" fontId="5" fillId="8" borderId="72" xfId="0" applyNumberFormat="1" applyFont="1" applyFill="1" applyBorder="1" applyAlignment="1">
      <alignment horizontal="center"/>
    </xf>
    <xf numFmtId="37" fontId="5" fillId="8" borderId="26" xfId="0" applyNumberFormat="1" applyFont="1" applyFill="1" applyBorder="1" applyAlignment="1">
      <alignment horizontal="center"/>
    </xf>
    <xf numFmtId="37" fontId="5" fillId="8" borderId="47" xfId="0" applyNumberFormat="1" applyFont="1" applyFill="1" applyBorder="1" applyAlignment="1">
      <alignment horizontal="center"/>
    </xf>
    <xf numFmtId="37" fontId="5" fillId="3" borderId="50" xfId="0" applyNumberFormat="1" applyFont="1" applyFill="1" applyBorder="1" applyAlignment="1" applyProtection="1">
      <alignment horizontal="center" vertical="center" wrapText="1"/>
      <protection hidden="1"/>
    </xf>
    <xf numFmtId="0" fontId="4" fillId="3" borderId="37" xfId="0" applyFont="1" applyFill="1" applyBorder="1" applyAlignment="1" applyProtection="1">
      <alignment horizontal="center" vertical="center" wrapText="1"/>
      <protection hidden="1"/>
    </xf>
    <xf numFmtId="37" fontId="5" fillId="3" borderId="33" xfId="0" applyNumberFormat="1" applyFont="1" applyFill="1" applyBorder="1" applyAlignment="1" applyProtection="1">
      <alignment horizontal="center" vertical="center" wrapText="1"/>
      <protection hidden="1"/>
    </xf>
    <xf numFmtId="37" fontId="5" fillId="3" borderId="50" xfId="0" applyNumberFormat="1" applyFont="1" applyFill="1" applyBorder="1" applyAlignment="1" applyProtection="1">
      <alignment horizontal="center" vertical="center"/>
      <protection hidden="1"/>
    </xf>
    <xf numFmtId="37" fontId="5" fillId="3" borderId="33" xfId="0" applyNumberFormat="1" applyFont="1" applyFill="1" applyBorder="1" applyAlignment="1" applyProtection="1">
      <alignment horizontal="center" vertical="center"/>
      <protection hidden="1"/>
    </xf>
    <xf numFmtId="37" fontId="5" fillId="3" borderId="37" xfId="0" applyNumberFormat="1" applyFont="1" applyFill="1" applyBorder="1" applyAlignment="1" applyProtection="1">
      <alignment horizontal="center" vertical="center"/>
      <protection hidden="1"/>
    </xf>
    <xf numFmtId="37" fontId="5" fillId="3" borderId="51" xfId="0" applyNumberFormat="1" applyFont="1" applyFill="1" applyBorder="1" applyAlignment="1" applyProtection="1">
      <alignment horizontal="center" vertical="center"/>
      <protection hidden="1"/>
    </xf>
    <xf numFmtId="37" fontId="5" fillId="3" borderId="6" xfId="0" applyNumberFormat="1" applyFont="1" applyFill="1" applyBorder="1" applyAlignment="1" applyProtection="1">
      <alignment horizontal="center" vertical="center"/>
      <protection hidden="1"/>
    </xf>
    <xf numFmtId="37" fontId="5" fillId="3" borderId="22" xfId="0" applyNumberFormat="1" applyFont="1" applyFill="1" applyBorder="1" applyAlignment="1" applyProtection="1">
      <alignment horizontal="center" vertical="center"/>
      <protection hidden="1"/>
    </xf>
    <xf numFmtId="0" fontId="4" fillId="0" borderId="25" xfId="0" applyNumberFormat="1" applyFont="1" applyFill="1" applyBorder="1" applyAlignment="1" applyProtection="1">
      <alignment horizontal="left"/>
      <protection hidden="1"/>
    </xf>
    <xf numFmtId="0" fontId="4" fillId="0" borderId="13" xfId="0" applyNumberFormat="1" applyFont="1" applyFill="1" applyBorder="1" applyAlignment="1" applyProtection="1">
      <alignment horizontal="left"/>
      <protection hidden="1"/>
    </xf>
    <xf numFmtId="0" fontId="4" fillId="0" borderId="12" xfId="0" applyNumberFormat="1" applyFont="1" applyFill="1" applyBorder="1" applyAlignment="1" applyProtection="1">
      <alignment horizontal="left"/>
      <protection hidden="1"/>
    </xf>
    <xf numFmtId="178" fontId="2" fillId="0" borderId="13" xfId="34" applyFont="1" applyFill="1" applyBorder="1" applyAlignment="1" applyProtection="1">
      <alignment horizontal="right"/>
      <protection/>
    </xf>
    <xf numFmtId="3" fontId="3" fillId="3" borderId="16" xfId="0" applyNumberFormat="1" applyFont="1" applyFill="1" applyBorder="1" applyAlignment="1" applyProtection="1">
      <alignment horizontal="center" vertical="center" wrapText="1"/>
      <protection hidden="1"/>
    </xf>
    <xf numFmtId="3" fontId="3" fillId="3" borderId="5" xfId="0" applyNumberFormat="1" applyFont="1" applyFill="1" applyBorder="1" applyAlignment="1" applyProtection="1">
      <alignment horizontal="center" vertical="center" wrapText="1"/>
      <protection hidden="1"/>
    </xf>
    <xf numFmtId="3" fontId="3" fillId="3" borderId="7" xfId="0" applyNumberFormat="1" applyFont="1" applyFill="1" applyBorder="1" applyAlignment="1" applyProtection="1">
      <alignment horizontal="center" vertical="center" wrapText="1"/>
      <protection hidden="1"/>
    </xf>
    <xf numFmtId="0" fontId="2" fillId="3" borderId="5" xfId="0" applyFont="1" applyFill="1" applyBorder="1" applyAlignment="1" applyProtection="1">
      <alignment horizontal="center" vertical="center" wrapText="1"/>
      <protection hidden="1"/>
    </xf>
    <xf numFmtId="0" fontId="2" fillId="3" borderId="7" xfId="0" applyFont="1" applyFill="1" applyBorder="1" applyAlignment="1" applyProtection="1">
      <alignment horizontal="center" vertical="center" wrapText="1"/>
      <protection hidden="1"/>
    </xf>
    <xf numFmtId="0" fontId="2" fillId="0" borderId="0" xfId="0" applyFont="1" applyBorder="1" applyAlignment="1" applyProtection="1">
      <alignment horizontal="center"/>
      <protection hidden="1"/>
    </xf>
    <xf numFmtId="0" fontId="2" fillId="0" borderId="0" xfId="0" applyFont="1" applyBorder="1" applyAlignment="1" applyProtection="1">
      <alignment/>
      <protection hidden="1"/>
    </xf>
    <xf numFmtId="178" fontId="2" fillId="0" borderId="32" xfId="34" applyFont="1" applyFill="1" applyBorder="1" applyAlignment="1" applyProtection="1">
      <alignment horizontal="right"/>
      <protection/>
    </xf>
    <xf numFmtId="178" fontId="2" fillId="0" borderId="13" xfId="34" applyFont="1" applyFill="1" applyBorder="1" applyAlignment="1" applyProtection="1">
      <alignment/>
      <protection/>
    </xf>
    <xf numFmtId="178" fontId="2" fillId="0" borderId="32" xfId="34" applyFont="1" applyFill="1" applyBorder="1" applyAlignment="1" applyProtection="1">
      <alignment/>
      <protection/>
    </xf>
    <xf numFmtId="0" fontId="0" fillId="0" borderId="52" xfId="33" applyBorder="1" applyAlignment="1">
      <alignment horizontal="center"/>
      <protection/>
    </xf>
    <xf numFmtId="0" fontId="5" fillId="3" borderId="24" xfId="32" applyFont="1" applyFill="1" applyBorder="1" applyAlignment="1" applyProtection="1">
      <alignment horizontal="center" vertical="center"/>
      <protection hidden="1"/>
    </xf>
    <xf numFmtId="0" fontId="5" fillId="3" borderId="71" xfId="32" applyFont="1" applyFill="1" applyBorder="1" applyAlignment="1" applyProtection="1">
      <alignment horizontal="center" vertical="center"/>
      <protection hidden="1"/>
    </xf>
    <xf numFmtId="0" fontId="5" fillId="3" borderId="38" xfId="32" applyFont="1" applyFill="1" applyBorder="1" applyAlignment="1" applyProtection="1">
      <alignment horizontal="center" vertical="center"/>
      <protection hidden="1"/>
    </xf>
    <xf numFmtId="0" fontId="0" fillId="0" borderId="23" xfId="33" applyFont="1" applyBorder="1" applyAlignment="1">
      <alignment vertical="center" wrapText="1"/>
      <protection/>
    </xf>
    <xf numFmtId="0" fontId="0" fillId="0" borderId="23" xfId="33" applyBorder="1" applyAlignment="1">
      <alignment vertical="center" wrapText="1"/>
      <protection/>
    </xf>
    <xf numFmtId="0" fontId="5" fillId="3" borderId="24" xfId="33" applyFont="1" applyFill="1" applyBorder="1" applyAlignment="1" applyProtection="1">
      <alignment horizontal="center" vertical="center"/>
      <protection hidden="1"/>
    </xf>
    <xf numFmtId="0" fontId="5" fillId="3" borderId="71" xfId="33" applyFont="1" applyFill="1" applyBorder="1" applyAlignment="1" applyProtection="1">
      <alignment horizontal="center" vertical="center"/>
      <protection hidden="1"/>
    </xf>
    <xf numFmtId="0" fontId="5" fillId="3" borderId="38" xfId="33" applyFont="1" applyFill="1" applyBorder="1" applyAlignment="1" applyProtection="1">
      <alignment horizontal="center" vertical="center"/>
      <protection hidden="1"/>
    </xf>
    <xf numFmtId="0" fontId="4" fillId="0" borderId="21" xfId="33" applyFont="1" applyFill="1" applyBorder="1" applyAlignment="1" applyProtection="1">
      <alignment horizontal="center" vertical="center" wrapText="1"/>
      <protection locked="0"/>
    </xf>
    <xf numFmtId="0" fontId="4" fillId="0" borderId="2" xfId="33" applyFont="1" applyFill="1" applyBorder="1" applyAlignment="1" applyProtection="1">
      <alignment horizontal="center" vertical="center" wrapText="1"/>
      <protection locked="0"/>
    </xf>
    <xf numFmtId="0" fontId="4" fillId="0" borderId="14" xfId="33" applyFont="1" applyFill="1" applyBorder="1" applyAlignment="1" applyProtection="1">
      <alignment horizontal="center" vertical="center" wrapText="1"/>
      <protection locked="0"/>
    </xf>
    <xf numFmtId="0" fontId="4" fillId="0" borderId="83" xfId="33" applyFont="1" applyFill="1" applyBorder="1" applyAlignment="1" applyProtection="1">
      <alignment horizontal="center" vertical="center" wrapText="1"/>
      <protection locked="0"/>
    </xf>
    <xf numFmtId="0" fontId="4" fillId="0" borderId="84" xfId="33" applyFont="1" applyFill="1" applyBorder="1" applyAlignment="1" applyProtection="1">
      <alignment horizontal="center" vertical="center" wrapText="1"/>
      <protection locked="0"/>
    </xf>
    <xf numFmtId="0" fontId="4" fillId="0" borderId="85" xfId="33" applyFont="1" applyFill="1" applyBorder="1" applyAlignment="1" applyProtection="1">
      <alignment horizontal="center" vertical="center" wrapText="1"/>
      <protection locked="0"/>
    </xf>
    <xf numFmtId="0" fontId="4" fillId="0" borderId="86" xfId="33" applyFont="1" applyFill="1" applyBorder="1" applyAlignment="1" applyProtection="1">
      <alignment horizontal="center" vertical="center" wrapText="1"/>
      <protection locked="0"/>
    </xf>
    <xf numFmtId="0" fontId="0" fillId="0" borderId="87" xfId="33" applyBorder="1" applyAlignment="1">
      <alignment horizontal="center"/>
      <protection/>
    </xf>
    <xf numFmtId="0" fontId="0" fillId="0" borderId="76" xfId="33" applyBorder="1" applyAlignment="1">
      <alignment horizontal="center"/>
      <protection/>
    </xf>
    <xf numFmtId="0" fontId="0" fillId="0" borderId="88" xfId="33" applyBorder="1" applyAlignment="1">
      <alignment horizontal="center"/>
      <protection/>
    </xf>
    <xf numFmtId="0" fontId="4" fillId="0" borderId="89" xfId="33" applyFont="1" applyFill="1" applyBorder="1" applyAlignment="1" applyProtection="1">
      <alignment horizontal="center" vertical="center" wrapText="1"/>
      <protection locked="0"/>
    </xf>
    <xf numFmtId="0" fontId="0" fillId="3" borderId="16" xfId="33" applyFill="1" applyBorder="1" applyAlignment="1">
      <alignment horizontal="center"/>
      <protection/>
    </xf>
    <xf numFmtId="0" fontId="0" fillId="3" borderId="5" xfId="33" applyFill="1" applyBorder="1" applyAlignment="1">
      <alignment horizontal="center"/>
      <protection/>
    </xf>
    <xf numFmtId="0" fontId="0" fillId="3" borderId="7" xfId="33" applyFill="1" applyBorder="1" applyAlignment="1">
      <alignment horizontal="center"/>
      <protection/>
    </xf>
    <xf numFmtId="0" fontId="4" fillId="0" borderId="90" xfId="33" applyFont="1" applyFill="1" applyBorder="1" applyAlignment="1" applyProtection="1">
      <alignment horizontal="center" vertical="center" wrapText="1"/>
      <protection locked="0"/>
    </xf>
    <xf numFmtId="0" fontId="0" fillId="0" borderId="91" xfId="33" applyBorder="1" applyAlignment="1">
      <alignment horizontal="center"/>
      <protection/>
    </xf>
    <xf numFmtId="0" fontId="4" fillId="0" borderId="92" xfId="33" applyFont="1" applyFill="1" applyBorder="1" applyAlignment="1" applyProtection="1">
      <alignment horizontal="center" vertical="center" wrapText="1"/>
      <protection locked="0"/>
    </xf>
    <xf numFmtId="0" fontId="4" fillId="0" borderId="93" xfId="33" applyFont="1" applyFill="1" applyBorder="1" applyAlignment="1" applyProtection="1">
      <alignment horizontal="center" vertical="center" wrapText="1"/>
      <protection locked="0"/>
    </xf>
    <xf numFmtId="0" fontId="4" fillId="0" borderId="94" xfId="33" applyFont="1" applyFill="1" applyBorder="1" applyAlignment="1" applyProtection="1">
      <alignment horizontal="center" vertical="center" wrapText="1"/>
      <protection locked="0"/>
    </xf>
    <xf numFmtId="0" fontId="0" fillId="0" borderId="95" xfId="33" applyBorder="1" applyAlignment="1">
      <alignment horizontal="center"/>
      <protection/>
    </xf>
    <xf numFmtId="0" fontId="0" fillId="7" borderId="23" xfId="33" applyFont="1" applyFill="1" applyBorder="1" applyAlignment="1">
      <alignment vertical="center" wrapText="1"/>
      <protection/>
    </xf>
    <xf numFmtId="0" fontId="0" fillId="7" borderId="23" xfId="33" applyFill="1" applyBorder="1" applyAlignment="1">
      <alignment vertical="center" wrapText="1"/>
      <protection/>
    </xf>
    <xf numFmtId="0" fontId="4" fillId="0" borderId="96" xfId="33" applyFont="1" applyFill="1" applyBorder="1" applyAlignment="1" applyProtection="1">
      <alignment horizontal="center" vertical="center" wrapText="1"/>
      <protection locked="0"/>
    </xf>
    <xf numFmtId="0" fontId="4" fillId="0" borderId="97" xfId="33" applyFont="1" applyFill="1" applyBorder="1" applyAlignment="1" applyProtection="1">
      <alignment horizontal="center" vertical="center" wrapText="1"/>
      <protection locked="0"/>
    </xf>
    <xf numFmtId="0" fontId="0" fillId="0" borderId="52" xfId="33" applyFont="1" applyBorder="1" applyAlignment="1">
      <alignment vertical="center" wrapText="1"/>
      <protection/>
    </xf>
    <xf numFmtId="0" fontId="0" fillId="0" borderId="0" xfId="0" applyAlignment="1">
      <alignment vertical="center" wrapText="1"/>
    </xf>
    <xf numFmtId="0" fontId="0" fillId="0" borderId="52" xfId="33" applyBorder="1" applyAlignment="1">
      <alignment vertical="center" wrapText="1"/>
      <protection/>
    </xf>
    <xf numFmtId="0" fontId="0" fillId="0" borderId="23" xfId="33" applyFont="1" applyBorder="1" applyAlignment="1" applyProtection="1">
      <alignment vertical="center" wrapText="1"/>
      <protection hidden="1"/>
    </xf>
    <xf numFmtId="0" fontId="0" fillId="0" borderId="23" xfId="33" applyBorder="1" applyAlignment="1" applyProtection="1">
      <alignment vertical="center" wrapText="1"/>
      <protection hidden="1"/>
    </xf>
    <xf numFmtId="0" fontId="4" fillId="0" borderId="3" xfId="33" applyFont="1" applyFill="1" applyBorder="1" applyAlignment="1" applyProtection="1">
      <alignment horizontal="center" vertical="center" wrapText="1"/>
      <protection locked="0"/>
    </xf>
    <xf numFmtId="0" fontId="4" fillId="0" borderId="98" xfId="33" applyFont="1" applyFill="1" applyBorder="1" applyAlignment="1" applyProtection="1">
      <alignment horizontal="center" vertical="center" wrapText="1"/>
      <protection locked="0"/>
    </xf>
    <xf numFmtId="0" fontId="4" fillId="0" borderId="99" xfId="33" applyFont="1" applyFill="1" applyBorder="1" applyAlignment="1" applyProtection="1">
      <alignment horizontal="center" vertical="center" wrapText="1"/>
      <protection locked="0"/>
    </xf>
    <xf numFmtId="0" fontId="4" fillId="0" borderId="100" xfId="33" applyFont="1" applyFill="1" applyBorder="1" applyAlignment="1" applyProtection="1">
      <alignment horizontal="center" vertical="center" wrapText="1"/>
      <protection locked="0"/>
    </xf>
    <xf numFmtId="0" fontId="4" fillId="0" borderId="50" xfId="33" applyFont="1" applyFill="1" applyBorder="1" applyAlignment="1" applyProtection="1">
      <alignment horizontal="center" vertical="center" wrapText="1"/>
      <protection locked="0"/>
    </xf>
    <xf numFmtId="0" fontId="4" fillId="0" borderId="64" xfId="33" applyFont="1" applyFill="1" applyBorder="1" applyAlignment="1" applyProtection="1">
      <alignment horizontal="center" vertical="center" wrapText="1"/>
      <protection locked="0"/>
    </xf>
    <xf numFmtId="0" fontId="4" fillId="0" borderId="51" xfId="33" applyFont="1" applyFill="1" applyBorder="1" applyAlignment="1" applyProtection="1">
      <alignment horizontal="center" vertical="center" wrapText="1"/>
      <protection locked="0"/>
    </xf>
    <xf numFmtId="0" fontId="4" fillId="0" borderId="101" xfId="33" applyFont="1" applyFill="1" applyBorder="1" applyAlignment="1" applyProtection="1">
      <alignment horizontal="center" vertical="center" wrapText="1"/>
      <protection locked="0"/>
    </xf>
    <xf numFmtId="0" fontId="4" fillId="0" borderId="56" xfId="33" applyFont="1" applyFill="1" applyBorder="1" applyAlignment="1" applyProtection="1">
      <alignment horizontal="center" vertical="center" wrapText="1"/>
      <protection locked="0"/>
    </xf>
    <xf numFmtId="0" fontId="4" fillId="0" borderId="102" xfId="33" applyFont="1" applyFill="1" applyBorder="1" applyAlignment="1" applyProtection="1">
      <alignment horizontal="center" vertical="center" wrapText="1"/>
      <protection locked="0"/>
    </xf>
    <xf numFmtId="0" fontId="4" fillId="0" borderId="95" xfId="33" applyFont="1" applyFill="1" applyBorder="1" applyAlignment="1" applyProtection="1">
      <alignment horizontal="center" vertical="center" wrapText="1"/>
      <protection locked="0"/>
    </xf>
    <xf numFmtId="0" fontId="4" fillId="0" borderId="76" xfId="33" applyFont="1" applyFill="1" applyBorder="1" applyAlignment="1" applyProtection="1">
      <alignment horizontal="center" vertical="center" wrapText="1"/>
      <protection locked="0"/>
    </xf>
    <xf numFmtId="0" fontId="4" fillId="0" borderId="91" xfId="33" applyFont="1" applyFill="1" applyBorder="1" applyAlignment="1" applyProtection="1">
      <alignment horizontal="center" vertical="center" wrapText="1"/>
      <protection locked="0"/>
    </xf>
    <xf numFmtId="0" fontId="0" fillId="0" borderId="93" xfId="33" applyBorder="1" applyAlignment="1">
      <alignment horizontal="center"/>
      <protection/>
    </xf>
    <xf numFmtId="0" fontId="0" fillId="0" borderId="89" xfId="33" applyBorder="1" applyAlignment="1">
      <alignment horizontal="center"/>
      <protection/>
    </xf>
    <xf numFmtId="1" fontId="4" fillId="0" borderId="16" xfId="0" applyNumberFormat="1" applyFont="1" applyBorder="1" applyAlignment="1">
      <alignment horizontal="center"/>
    </xf>
    <xf numFmtId="1" fontId="4" fillId="0" borderId="7" xfId="0" applyNumberFormat="1" applyFont="1" applyBorder="1" applyAlignment="1">
      <alignment horizontal="center"/>
    </xf>
    <xf numFmtId="0" fontId="4" fillId="0" borderId="16" xfId="0" applyFont="1" applyBorder="1" applyAlignment="1">
      <alignment horizontal="center"/>
    </xf>
    <xf numFmtId="0" fontId="4" fillId="0" borderId="7" xfId="0" applyFont="1" applyBorder="1" applyAlignment="1">
      <alignment horizontal="center"/>
    </xf>
  </cellXfs>
  <cellStyles count="31">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Standaard_APZ Nacalculatie1998" xfId="32"/>
    <cellStyle name="Standaard_Nacalculatieformulier 2002" xfId="33"/>
    <cellStyle name="Tabelstandaard" xfId="34"/>
    <cellStyle name="Tabelstandaard financieel" xfId="35"/>
    <cellStyle name="Tabelstandaard negatief" xfId="36"/>
    <cellStyle name="Tabelstandaard Totaal" xfId="37"/>
    <cellStyle name="Tabelstandaard Totaal Negatief" xfId="38"/>
    <cellStyle name="Table  - Opmaakprofiel6" xfId="39"/>
    <cellStyle name="Title  - Opmaakprofiel1" xfId="40"/>
    <cellStyle name="TotCol - Opmaakprofiel5" xfId="41"/>
    <cellStyle name="TotRow - Opmaakprofiel4" xfId="42"/>
    <cellStyle name="Currency" xfId="43"/>
    <cellStyle name="Currency [0]" xfId="44"/>
  </cellStyles>
  <dxfs count="4">
    <dxf>
      <fill>
        <patternFill>
          <bgColor rgb="FFFFCC99"/>
        </patternFill>
      </fill>
      <border/>
    </dxf>
    <dxf>
      <fill>
        <patternFill>
          <bgColor rgb="FFFFFFCC"/>
        </patternFill>
      </fill>
      <border/>
    </dxf>
    <dxf>
      <font>
        <color auto="1"/>
      </font>
      <border/>
    </dxf>
    <dxf>
      <font>
        <color rgb="FFFFFFFF"/>
      </font>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2.wmf" /></Relationships>
</file>

<file path=xl/drawings/_rels/drawing10.xml.rels><?xml version="1.0" encoding="utf-8" standalone="yes"?><Relationships xmlns="http://schemas.openxmlformats.org/package/2006/relationships"><Relationship Id="rId1" Type="http://schemas.openxmlformats.org/officeDocument/2006/relationships/image" Target="../media/image2.wmf" /></Relationships>
</file>

<file path=xl/drawings/_rels/drawing11.xml.rels><?xml version="1.0" encoding="utf-8" standalone="yes"?><Relationships xmlns="http://schemas.openxmlformats.org/package/2006/relationships"><Relationship Id="rId1" Type="http://schemas.openxmlformats.org/officeDocument/2006/relationships/image" Target="../media/image2.wmf" /></Relationships>
</file>

<file path=xl/drawings/_rels/drawing12.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2.wmf" /></Relationships>
</file>

<file path=xl/drawings/_rels/drawing13.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2.wmf" /></Relationships>
</file>

<file path=xl/drawings/_rels/drawing14.xml.rels><?xml version="1.0" encoding="utf-8" standalone="yes"?><Relationships xmlns="http://schemas.openxmlformats.org/package/2006/relationships"><Relationship Id="rId1" Type="http://schemas.openxmlformats.org/officeDocument/2006/relationships/image" Target="../media/image2.wmf" /></Relationships>
</file>

<file path=xl/drawings/_rels/drawing15.xml.rels><?xml version="1.0" encoding="utf-8" standalone="yes"?><Relationships xmlns="http://schemas.openxmlformats.org/package/2006/relationships"><Relationship Id="rId1" Type="http://schemas.openxmlformats.org/officeDocument/2006/relationships/image" Target="../media/image2.wmf" /></Relationships>
</file>

<file path=xl/drawings/_rels/drawing16.xml.rels><?xml version="1.0" encoding="utf-8" standalone="yes"?><Relationships xmlns="http://schemas.openxmlformats.org/package/2006/relationships"><Relationship Id="rId1" Type="http://schemas.openxmlformats.org/officeDocument/2006/relationships/image" Target="../media/image2.wmf" /></Relationships>
</file>

<file path=xl/drawings/_rels/drawing17.xml.rels><?xml version="1.0" encoding="utf-8" standalone="yes"?><Relationships xmlns="http://schemas.openxmlformats.org/package/2006/relationships"><Relationship Id="rId1" Type="http://schemas.openxmlformats.org/officeDocument/2006/relationships/image" Target="../media/image2.wmf" /></Relationships>
</file>

<file path=xl/drawings/_rels/drawing18.xml.rels><?xml version="1.0" encoding="utf-8" standalone="yes"?><Relationships xmlns="http://schemas.openxmlformats.org/package/2006/relationships"><Relationship Id="rId1" Type="http://schemas.openxmlformats.org/officeDocument/2006/relationships/image" Target="../media/image2.wmf" /></Relationships>
</file>

<file path=xl/drawings/_rels/drawing19.xml.rels><?xml version="1.0" encoding="utf-8" standalone="yes"?><Relationships xmlns="http://schemas.openxmlformats.org/package/2006/relationships"><Relationship Id="rId1" Type="http://schemas.openxmlformats.org/officeDocument/2006/relationships/image" Target="../media/image2.wmf"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wmf" /></Relationships>
</file>

<file path=xl/drawings/_rels/drawing21.xml.rels><?xml version="1.0" encoding="utf-8" standalone="yes"?><Relationships xmlns="http://schemas.openxmlformats.org/package/2006/relationships"><Relationship Id="rId1" Type="http://schemas.openxmlformats.org/officeDocument/2006/relationships/image" Target="../media/image2.wmf" /></Relationships>
</file>

<file path=xl/drawings/_rels/drawing22.xml.rels><?xml version="1.0" encoding="utf-8" standalone="yes"?><Relationships xmlns="http://schemas.openxmlformats.org/package/2006/relationships"><Relationship Id="rId1" Type="http://schemas.openxmlformats.org/officeDocument/2006/relationships/image" Target="../media/image2.wmf" /></Relationships>
</file>

<file path=xl/drawings/_rels/drawing23.xml.rels><?xml version="1.0" encoding="utf-8" standalone="yes"?><Relationships xmlns="http://schemas.openxmlformats.org/package/2006/relationships"><Relationship Id="rId1"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s>
</file>

<file path=xl/drawings/_rels/drawing4.xml.rels><?xml version="1.0" encoding="utf-8" standalone="yes"?><Relationships xmlns="http://schemas.openxmlformats.org/package/2006/relationships"><Relationship Id="rId1" Type="http://schemas.openxmlformats.org/officeDocument/2006/relationships/image" Target="../media/image2.wmf" /></Relationships>
</file>

<file path=xl/drawings/_rels/drawing5.xml.rels><?xml version="1.0" encoding="utf-8" standalone="yes"?><Relationships xmlns="http://schemas.openxmlformats.org/package/2006/relationships"><Relationship Id="rId1" Type="http://schemas.openxmlformats.org/officeDocument/2006/relationships/image" Target="../media/image2.wmf" /></Relationships>
</file>

<file path=xl/drawings/_rels/drawing6.xml.rels><?xml version="1.0" encoding="utf-8" standalone="yes"?><Relationships xmlns="http://schemas.openxmlformats.org/package/2006/relationships"><Relationship Id="rId1" Type="http://schemas.openxmlformats.org/officeDocument/2006/relationships/image" Target="../media/image2.wmf" /></Relationships>
</file>

<file path=xl/drawings/_rels/drawing7.xml.rels><?xml version="1.0" encoding="utf-8" standalone="yes"?><Relationships xmlns="http://schemas.openxmlformats.org/package/2006/relationships"><Relationship Id="rId1" Type="http://schemas.openxmlformats.org/officeDocument/2006/relationships/image" Target="../media/image2.wmf" /></Relationships>
</file>

<file path=xl/drawings/_rels/drawing8.xml.rels><?xml version="1.0" encoding="utf-8" standalone="yes"?><Relationships xmlns="http://schemas.openxmlformats.org/package/2006/relationships"><Relationship Id="rId1" Type="http://schemas.openxmlformats.org/officeDocument/2006/relationships/image" Target="../media/image2.wmf" /></Relationships>
</file>

<file path=xl/drawings/_rels/drawing9.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38</xdr:row>
      <xdr:rowOff>0</xdr:rowOff>
    </xdr:from>
    <xdr:to>
      <xdr:col>6</xdr:col>
      <xdr:colOff>0</xdr:colOff>
      <xdr:row>38</xdr:row>
      <xdr:rowOff>0</xdr:rowOff>
    </xdr:to>
    <xdr:grpSp>
      <xdr:nvGrpSpPr>
        <xdr:cNvPr id="1" name="Group 1"/>
        <xdr:cNvGrpSpPr>
          <a:grpSpLocks/>
        </xdr:cNvGrpSpPr>
      </xdr:nvGrpSpPr>
      <xdr:grpSpPr>
        <a:xfrm>
          <a:off x="4905375" y="6229350"/>
          <a:ext cx="0" cy="0"/>
          <a:chOff x="790" y="4"/>
          <a:chExt cx="90" cy="54"/>
        </a:xfrm>
        <a:solidFill>
          <a:srgbClr val="FFFFFF"/>
        </a:solidFill>
      </xdr:grpSpPr>
      <xdr:sp>
        <xdr:nvSpPr>
          <xdr:cNvPr id="2" name="Rectangle 2"/>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 name="TextBox 4"/>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6</xdr:col>
      <xdr:colOff>0</xdr:colOff>
      <xdr:row>38</xdr:row>
      <xdr:rowOff>0</xdr:rowOff>
    </xdr:from>
    <xdr:to>
      <xdr:col>6</xdr:col>
      <xdr:colOff>0</xdr:colOff>
      <xdr:row>38</xdr:row>
      <xdr:rowOff>0</xdr:rowOff>
    </xdr:to>
    <xdr:grpSp>
      <xdr:nvGrpSpPr>
        <xdr:cNvPr id="5" name="Group 5"/>
        <xdr:cNvGrpSpPr>
          <a:grpSpLocks/>
        </xdr:cNvGrpSpPr>
      </xdr:nvGrpSpPr>
      <xdr:grpSpPr>
        <a:xfrm>
          <a:off x="4905375" y="6229350"/>
          <a:ext cx="0" cy="0"/>
          <a:chOff x="790" y="4"/>
          <a:chExt cx="90" cy="54"/>
        </a:xfrm>
        <a:solidFill>
          <a:srgbClr val="FFFFFF"/>
        </a:solidFill>
      </xdr:grpSpPr>
      <xdr:sp>
        <xdr:nvSpPr>
          <xdr:cNvPr id="6" name="Rectangle 6"/>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7"/>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8" name="TextBox 8"/>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11</xdr:col>
      <xdr:colOff>180975</xdr:colOff>
      <xdr:row>0</xdr:row>
      <xdr:rowOff>9525</xdr:rowOff>
    </xdr:from>
    <xdr:to>
      <xdr:col>13</xdr:col>
      <xdr:colOff>0</xdr:colOff>
      <xdr:row>2</xdr:row>
      <xdr:rowOff>0</xdr:rowOff>
    </xdr:to>
    <xdr:grpSp>
      <xdr:nvGrpSpPr>
        <xdr:cNvPr id="9" name="Group 9"/>
        <xdr:cNvGrpSpPr>
          <a:grpSpLocks/>
        </xdr:cNvGrpSpPr>
      </xdr:nvGrpSpPr>
      <xdr:grpSpPr>
        <a:xfrm>
          <a:off x="8086725" y="9525"/>
          <a:ext cx="180975" cy="390525"/>
          <a:chOff x="769" y="35"/>
          <a:chExt cx="110" cy="41"/>
        </a:xfrm>
        <a:solidFill>
          <a:srgbClr val="FFFFFF"/>
        </a:solidFill>
      </xdr:grpSpPr>
      <xdr:sp>
        <xdr:nvSpPr>
          <xdr:cNvPr id="10" name="Rectangle 1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1" name="Rectangle 1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2" name="Picture 12"/>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13" name="Rectangle 1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0</xdr:colOff>
      <xdr:row>40</xdr:row>
      <xdr:rowOff>0</xdr:rowOff>
    </xdr:from>
    <xdr:to>
      <xdr:col>9</xdr:col>
      <xdr:colOff>0</xdr:colOff>
      <xdr:row>40</xdr:row>
      <xdr:rowOff>0</xdr:rowOff>
    </xdr:to>
    <xdr:grpSp>
      <xdr:nvGrpSpPr>
        <xdr:cNvPr id="14" name="Group 14"/>
        <xdr:cNvGrpSpPr>
          <a:grpSpLocks/>
        </xdr:cNvGrpSpPr>
      </xdr:nvGrpSpPr>
      <xdr:grpSpPr>
        <a:xfrm>
          <a:off x="7543800" y="6553200"/>
          <a:ext cx="0" cy="0"/>
          <a:chOff x="790" y="4"/>
          <a:chExt cx="90" cy="54"/>
        </a:xfrm>
        <a:solidFill>
          <a:srgbClr val="FFFFFF"/>
        </a:solidFill>
      </xdr:grpSpPr>
      <xdr:sp>
        <xdr:nvSpPr>
          <xdr:cNvPr id="15" name="Rectangle 15"/>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6" name="Picture 16"/>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7" name="TextBox 17"/>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9</xdr:col>
      <xdr:colOff>0</xdr:colOff>
      <xdr:row>40</xdr:row>
      <xdr:rowOff>0</xdr:rowOff>
    </xdr:from>
    <xdr:to>
      <xdr:col>9</xdr:col>
      <xdr:colOff>0</xdr:colOff>
      <xdr:row>40</xdr:row>
      <xdr:rowOff>0</xdr:rowOff>
    </xdr:to>
    <xdr:grpSp>
      <xdr:nvGrpSpPr>
        <xdr:cNvPr id="18" name="Group 18"/>
        <xdr:cNvGrpSpPr>
          <a:grpSpLocks/>
        </xdr:cNvGrpSpPr>
      </xdr:nvGrpSpPr>
      <xdr:grpSpPr>
        <a:xfrm>
          <a:off x="7543800" y="6553200"/>
          <a:ext cx="0" cy="0"/>
          <a:chOff x="790" y="4"/>
          <a:chExt cx="90" cy="54"/>
        </a:xfrm>
        <a:solidFill>
          <a:srgbClr val="FFFFFF"/>
        </a:solidFill>
      </xdr:grpSpPr>
      <xdr:sp>
        <xdr:nvSpPr>
          <xdr:cNvPr id="19" name="Rectangle 19"/>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0" name="Picture 20"/>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21" name="TextBox 21"/>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6</xdr:col>
      <xdr:colOff>0</xdr:colOff>
      <xdr:row>38</xdr:row>
      <xdr:rowOff>9525</xdr:rowOff>
    </xdr:from>
    <xdr:to>
      <xdr:col>6</xdr:col>
      <xdr:colOff>0</xdr:colOff>
      <xdr:row>39</xdr:row>
      <xdr:rowOff>0</xdr:rowOff>
    </xdr:to>
    <xdr:grpSp>
      <xdr:nvGrpSpPr>
        <xdr:cNvPr id="22" name="Group 22"/>
        <xdr:cNvGrpSpPr>
          <a:grpSpLocks/>
        </xdr:cNvGrpSpPr>
      </xdr:nvGrpSpPr>
      <xdr:grpSpPr>
        <a:xfrm>
          <a:off x="4905375" y="6238875"/>
          <a:ext cx="0" cy="152400"/>
          <a:chOff x="769" y="35"/>
          <a:chExt cx="110" cy="41"/>
        </a:xfrm>
        <a:solidFill>
          <a:srgbClr val="FFFFFF"/>
        </a:solidFill>
      </xdr:grpSpPr>
      <xdr:sp>
        <xdr:nvSpPr>
          <xdr:cNvPr id="23" name="Rectangle 2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4" name="Rectangle 2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5" name="Picture 25"/>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26" name="Rectangle 2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38</xdr:row>
      <xdr:rowOff>9525</xdr:rowOff>
    </xdr:from>
    <xdr:to>
      <xdr:col>6</xdr:col>
      <xdr:colOff>0</xdr:colOff>
      <xdr:row>39</xdr:row>
      <xdr:rowOff>0</xdr:rowOff>
    </xdr:to>
    <xdr:grpSp>
      <xdr:nvGrpSpPr>
        <xdr:cNvPr id="27" name="Group 27"/>
        <xdr:cNvGrpSpPr>
          <a:grpSpLocks/>
        </xdr:cNvGrpSpPr>
      </xdr:nvGrpSpPr>
      <xdr:grpSpPr>
        <a:xfrm>
          <a:off x="4905375" y="6238875"/>
          <a:ext cx="0" cy="152400"/>
          <a:chOff x="769" y="35"/>
          <a:chExt cx="110" cy="41"/>
        </a:xfrm>
        <a:solidFill>
          <a:srgbClr val="FFFFFF"/>
        </a:solidFill>
      </xdr:grpSpPr>
      <xdr:sp>
        <xdr:nvSpPr>
          <xdr:cNvPr id="28" name="Rectangle 2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9" name="Rectangle 2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0" name="Picture 30"/>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31" name="Rectangle 3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0</xdr:colOff>
      <xdr:row>266</xdr:row>
      <xdr:rowOff>0</xdr:rowOff>
    </xdr:from>
    <xdr:to>
      <xdr:col>4</xdr:col>
      <xdr:colOff>9525</xdr:colOff>
      <xdr:row>266</xdr:row>
      <xdr:rowOff>0</xdr:rowOff>
    </xdr:to>
    <xdr:grpSp>
      <xdr:nvGrpSpPr>
        <xdr:cNvPr id="32" name="Group 32"/>
        <xdr:cNvGrpSpPr>
          <a:grpSpLocks/>
        </xdr:cNvGrpSpPr>
      </xdr:nvGrpSpPr>
      <xdr:grpSpPr>
        <a:xfrm>
          <a:off x="3114675" y="43148250"/>
          <a:ext cx="9525" cy="0"/>
          <a:chOff x="790" y="4"/>
          <a:chExt cx="90" cy="54"/>
        </a:xfrm>
        <a:solidFill>
          <a:srgbClr val="FFFFFF"/>
        </a:solidFill>
      </xdr:grpSpPr>
      <xdr:sp>
        <xdr:nvSpPr>
          <xdr:cNvPr id="33" name="Rectangle 33"/>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4" name="Picture 34"/>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35" name="TextBox 35"/>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4</xdr:col>
      <xdr:colOff>0</xdr:colOff>
      <xdr:row>266</xdr:row>
      <xdr:rowOff>0</xdr:rowOff>
    </xdr:from>
    <xdr:to>
      <xdr:col>4</xdr:col>
      <xdr:colOff>9525</xdr:colOff>
      <xdr:row>266</xdr:row>
      <xdr:rowOff>0</xdr:rowOff>
    </xdr:to>
    <xdr:grpSp>
      <xdr:nvGrpSpPr>
        <xdr:cNvPr id="36" name="Group 36"/>
        <xdr:cNvGrpSpPr>
          <a:grpSpLocks/>
        </xdr:cNvGrpSpPr>
      </xdr:nvGrpSpPr>
      <xdr:grpSpPr>
        <a:xfrm>
          <a:off x="3114675" y="43148250"/>
          <a:ext cx="9525" cy="0"/>
          <a:chOff x="790" y="4"/>
          <a:chExt cx="90" cy="54"/>
        </a:xfrm>
        <a:solidFill>
          <a:srgbClr val="FFFFFF"/>
        </a:solidFill>
      </xdr:grpSpPr>
      <xdr:sp>
        <xdr:nvSpPr>
          <xdr:cNvPr id="37" name="Rectangle 37"/>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8" name="Picture 38"/>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39" name="TextBox 39"/>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16</xdr:col>
      <xdr:colOff>657225</xdr:colOff>
      <xdr:row>350</xdr:row>
      <xdr:rowOff>0</xdr:rowOff>
    </xdr:from>
    <xdr:to>
      <xdr:col>18</xdr:col>
      <xdr:colOff>9525</xdr:colOff>
      <xdr:row>350</xdr:row>
      <xdr:rowOff>0</xdr:rowOff>
    </xdr:to>
    <xdr:grpSp>
      <xdr:nvGrpSpPr>
        <xdr:cNvPr id="40" name="Group 40"/>
        <xdr:cNvGrpSpPr>
          <a:grpSpLocks/>
        </xdr:cNvGrpSpPr>
      </xdr:nvGrpSpPr>
      <xdr:grpSpPr>
        <a:xfrm>
          <a:off x="10982325" y="56749950"/>
          <a:ext cx="590550" cy="0"/>
          <a:chOff x="769" y="35"/>
          <a:chExt cx="110" cy="41"/>
        </a:xfrm>
        <a:solidFill>
          <a:srgbClr val="FFFFFF"/>
        </a:solidFill>
      </xdr:grpSpPr>
      <xdr:sp>
        <xdr:nvSpPr>
          <xdr:cNvPr id="41" name="Rectangle 41"/>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2" name="Rectangle 42"/>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3" name="Picture 43"/>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44" name="Rectangle 44"/>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523875</xdr:colOff>
      <xdr:row>0</xdr:row>
      <xdr:rowOff>9525</xdr:rowOff>
    </xdr:from>
    <xdr:to>
      <xdr:col>11</xdr:col>
      <xdr:colOff>476250</xdr:colOff>
      <xdr:row>2</xdr:row>
      <xdr:rowOff>0</xdr:rowOff>
    </xdr:to>
    <xdr:grpSp>
      <xdr:nvGrpSpPr>
        <xdr:cNvPr id="1" name="Group 1"/>
        <xdr:cNvGrpSpPr>
          <a:grpSpLocks/>
        </xdr:cNvGrpSpPr>
      </xdr:nvGrpSpPr>
      <xdr:grpSpPr>
        <a:xfrm>
          <a:off x="8324850" y="9525"/>
          <a:ext cx="733425" cy="352425"/>
          <a:chOff x="769" y="35"/>
          <a:chExt cx="110" cy="41"/>
        </a:xfrm>
        <a:solidFill>
          <a:srgbClr val="FFFFFF"/>
        </a:solidFill>
      </xdr:grpSpPr>
      <xdr:sp>
        <xdr:nvSpPr>
          <xdr:cNvPr id="2" name="Rectangle 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523875</xdr:colOff>
      <xdr:row>41</xdr:row>
      <xdr:rowOff>9525</xdr:rowOff>
    </xdr:from>
    <xdr:to>
      <xdr:col>11</xdr:col>
      <xdr:colOff>476250</xdr:colOff>
      <xdr:row>43</xdr:row>
      <xdr:rowOff>0</xdr:rowOff>
    </xdr:to>
    <xdr:grpSp>
      <xdr:nvGrpSpPr>
        <xdr:cNvPr id="6" name="Group 6"/>
        <xdr:cNvGrpSpPr>
          <a:grpSpLocks/>
        </xdr:cNvGrpSpPr>
      </xdr:nvGrpSpPr>
      <xdr:grpSpPr>
        <a:xfrm>
          <a:off x="8324850" y="6686550"/>
          <a:ext cx="733425" cy="352425"/>
          <a:chOff x="769" y="35"/>
          <a:chExt cx="110" cy="41"/>
        </a:xfrm>
        <a:solidFill>
          <a:srgbClr val="FFFFFF"/>
        </a:solidFill>
      </xdr:grpSpPr>
      <xdr:sp>
        <xdr:nvSpPr>
          <xdr:cNvPr id="7" name="Rectangle 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866775</xdr:colOff>
      <xdr:row>46</xdr:row>
      <xdr:rowOff>19050</xdr:rowOff>
    </xdr:from>
    <xdr:to>
      <xdr:col>7</xdr:col>
      <xdr:colOff>819150</xdr:colOff>
      <xdr:row>48</xdr:row>
      <xdr:rowOff>9525</xdr:rowOff>
    </xdr:to>
    <xdr:grpSp>
      <xdr:nvGrpSpPr>
        <xdr:cNvPr id="1" name="Group 6"/>
        <xdr:cNvGrpSpPr>
          <a:grpSpLocks/>
        </xdr:cNvGrpSpPr>
      </xdr:nvGrpSpPr>
      <xdr:grpSpPr>
        <a:xfrm>
          <a:off x="7724775" y="7077075"/>
          <a:ext cx="1000125" cy="295275"/>
          <a:chOff x="769" y="35"/>
          <a:chExt cx="110" cy="41"/>
        </a:xfrm>
        <a:solidFill>
          <a:srgbClr val="FFFFFF"/>
        </a:solidFill>
      </xdr:grpSpPr>
      <xdr:sp>
        <xdr:nvSpPr>
          <xdr:cNvPr id="2" name="Rectangle 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904875</xdr:colOff>
      <xdr:row>0</xdr:row>
      <xdr:rowOff>19050</xdr:rowOff>
    </xdr:from>
    <xdr:to>
      <xdr:col>7</xdr:col>
      <xdr:colOff>857250</xdr:colOff>
      <xdr:row>2</xdr:row>
      <xdr:rowOff>9525</xdr:rowOff>
    </xdr:to>
    <xdr:grpSp>
      <xdr:nvGrpSpPr>
        <xdr:cNvPr id="6" name="Group 12"/>
        <xdr:cNvGrpSpPr>
          <a:grpSpLocks/>
        </xdr:cNvGrpSpPr>
      </xdr:nvGrpSpPr>
      <xdr:grpSpPr>
        <a:xfrm>
          <a:off x="7762875" y="19050"/>
          <a:ext cx="1000125" cy="342900"/>
          <a:chOff x="769" y="35"/>
          <a:chExt cx="110" cy="41"/>
        </a:xfrm>
        <a:solidFill>
          <a:srgbClr val="FFFFFF"/>
        </a:solidFill>
      </xdr:grpSpPr>
      <xdr:sp>
        <xdr:nvSpPr>
          <xdr:cNvPr id="7" name="Rectangle 1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1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1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1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36</xdr:row>
      <xdr:rowOff>0</xdr:rowOff>
    </xdr:from>
    <xdr:to>
      <xdr:col>11</xdr:col>
      <xdr:colOff>0</xdr:colOff>
      <xdr:row>36</xdr:row>
      <xdr:rowOff>0</xdr:rowOff>
    </xdr:to>
    <xdr:grpSp>
      <xdr:nvGrpSpPr>
        <xdr:cNvPr id="1" name="Group 71"/>
        <xdr:cNvGrpSpPr>
          <a:grpSpLocks/>
        </xdr:cNvGrpSpPr>
      </xdr:nvGrpSpPr>
      <xdr:grpSpPr>
        <a:xfrm>
          <a:off x="13544550" y="5895975"/>
          <a:ext cx="0" cy="0"/>
          <a:chOff x="790" y="4"/>
          <a:chExt cx="90" cy="54"/>
        </a:xfrm>
        <a:solidFill>
          <a:srgbClr val="FFFFFF"/>
        </a:solidFill>
      </xdr:grpSpPr>
      <xdr:sp>
        <xdr:nvSpPr>
          <xdr:cNvPr id="2" name="Rectangle 72"/>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7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 name="TextBox 74"/>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11</xdr:col>
      <xdr:colOff>0</xdr:colOff>
      <xdr:row>36</xdr:row>
      <xdr:rowOff>0</xdr:rowOff>
    </xdr:from>
    <xdr:to>
      <xdr:col>11</xdr:col>
      <xdr:colOff>0</xdr:colOff>
      <xdr:row>36</xdr:row>
      <xdr:rowOff>0</xdr:rowOff>
    </xdr:to>
    <xdr:grpSp>
      <xdr:nvGrpSpPr>
        <xdr:cNvPr id="5" name="Group 75"/>
        <xdr:cNvGrpSpPr>
          <a:grpSpLocks/>
        </xdr:cNvGrpSpPr>
      </xdr:nvGrpSpPr>
      <xdr:grpSpPr>
        <a:xfrm>
          <a:off x="13544550" y="5895975"/>
          <a:ext cx="0" cy="0"/>
          <a:chOff x="790" y="4"/>
          <a:chExt cx="90" cy="54"/>
        </a:xfrm>
        <a:solidFill>
          <a:srgbClr val="FFFFFF"/>
        </a:solidFill>
      </xdr:grpSpPr>
      <xdr:sp>
        <xdr:nvSpPr>
          <xdr:cNvPr id="6" name="Rectangle 76"/>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77"/>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8" name="TextBox 78"/>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13</xdr:col>
      <xdr:colOff>0</xdr:colOff>
      <xdr:row>36</xdr:row>
      <xdr:rowOff>0</xdr:rowOff>
    </xdr:from>
    <xdr:to>
      <xdr:col>13</xdr:col>
      <xdr:colOff>0</xdr:colOff>
      <xdr:row>36</xdr:row>
      <xdr:rowOff>0</xdr:rowOff>
    </xdr:to>
    <xdr:grpSp>
      <xdr:nvGrpSpPr>
        <xdr:cNvPr id="9" name="Group 132"/>
        <xdr:cNvGrpSpPr>
          <a:grpSpLocks/>
        </xdr:cNvGrpSpPr>
      </xdr:nvGrpSpPr>
      <xdr:grpSpPr>
        <a:xfrm>
          <a:off x="14973300" y="5895975"/>
          <a:ext cx="0" cy="0"/>
          <a:chOff x="790" y="4"/>
          <a:chExt cx="90" cy="54"/>
        </a:xfrm>
        <a:solidFill>
          <a:srgbClr val="FFFFFF"/>
        </a:solidFill>
      </xdr:grpSpPr>
      <xdr:sp>
        <xdr:nvSpPr>
          <xdr:cNvPr id="10" name="Rectangle 133"/>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1" name="Picture 134"/>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2" name="TextBox 135"/>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13</xdr:col>
      <xdr:colOff>0</xdr:colOff>
      <xdr:row>36</xdr:row>
      <xdr:rowOff>0</xdr:rowOff>
    </xdr:from>
    <xdr:to>
      <xdr:col>13</xdr:col>
      <xdr:colOff>0</xdr:colOff>
      <xdr:row>36</xdr:row>
      <xdr:rowOff>0</xdr:rowOff>
    </xdr:to>
    <xdr:grpSp>
      <xdr:nvGrpSpPr>
        <xdr:cNvPr id="13" name="Group 136"/>
        <xdr:cNvGrpSpPr>
          <a:grpSpLocks/>
        </xdr:cNvGrpSpPr>
      </xdr:nvGrpSpPr>
      <xdr:grpSpPr>
        <a:xfrm>
          <a:off x="14973300" y="5895975"/>
          <a:ext cx="0" cy="0"/>
          <a:chOff x="790" y="4"/>
          <a:chExt cx="90" cy="54"/>
        </a:xfrm>
        <a:solidFill>
          <a:srgbClr val="FFFFFF"/>
        </a:solidFill>
      </xdr:grpSpPr>
      <xdr:sp>
        <xdr:nvSpPr>
          <xdr:cNvPr id="14" name="Rectangle 137"/>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5" name="Picture 138"/>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6" name="TextBox 139"/>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8</xdr:col>
      <xdr:colOff>1895475</xdr:colOff>
      <xdr:row>0</xdr:row>
      <xdr:rowOff>0</xdr:rowOff>
    </xdr:from>
    <xdr:to>
      <xdr:col>9</xdr:col>
      <xdr:colOff>762000</xdr:colOff>
      <xdr:row>3</xdr:row>
      <xdr:rowOff>9525</xdr:rowOff>
    </xdr:to>
    <xdr:grpSp>
      <xdr:nvGrpSpPr>
        <xdr:cNvPr id="17" name="Group 173"/>
        <xdr:cNvGrpSpPr>
          <a:grpSpLocks/>
        </xdr:cNvGrpSpPr>
      </xdr:nvGrpSpPr>
      <xdr:grpSpPr>
        <a:xfrm>
          <a:off x="11439525" y="0"/>
          <a:ext cx="1390650" cy="561975"/>
          <a:chOff x="769" y="0"/>
          <a:chExt cx="110" cy="59"/>
        </a:xfrm>
        <a:solidFill>
          <a:srgbClr val="FFFFFF"/>
        </a:solidFill>
      </xdr:grpSpPr>
      <xdr:grpSp>
        <xdr:nvGrpSpPr>
          <xdr:cNvPr id="18" name="Group 174"/>
          <xdr:cNvGrpSpPr>
            <a:grpSpLocks/>
          </xdr:cNvGrpSpPr>
        </xdr:nvGrpSpPr>
        <xdr:grpSpPr>
          <a:xfrm>
            <a:off x="797" y="0"/>
            <a:ext cx="0" cy="0"/>
            <a:chOff x="790" y="4"/>
            <a:chExt cx="90" cy="54"/>
          </a:xfrm>
          <a:solidFill>
            <a:srgbClr val="FFFFFF"/>
          </a:solidFill>
        </xdr:grpSpPr>
        <xdr:sp>
          <xdr:nvSpPr>
            <xdr:cNvPr id="19" name="Rectangle 175"/>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0" name="Picture 176"/>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21" name="TextBox 177"/>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22" name="Group 178"/>
          <xdr:cNvGrpSpPr>
            <a:grpSpLocks/>
          </xdr:cNvGrpSpPr>
        </xdr:nvGrpSpPr>
        <xdr:grpSpPr>
          <a:xfrm>
            <a:off x="797" y="0"/>
            <a:ext cx="0" cy="0"/>
            <a:chOff x="790" y="4"/>
            <a:chExt cx="90" cy="54"/>
          </a:xfrm>
          <a:solidFill>
            <a:srgbClr val="FFFFFF"/>
          </a:solidFill>
        </xdr:grpSpPr>
        <xdr:sp>
          <xdr:nvSpPr>
            <xdr:cNvPr id="23" name="Rectangle 179"/>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4" name="Picture 180"/>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25" name="TextBox 181"/>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26" name="Group 182"/>
          <xdr:cNvGrpSpPr>
            <a:grpSpLocks/>
          </xdr:cNvGrpSpPr>
        </xdr:nvGrpSpPr>
        <xdr:grpSpPr>
          <a:xfrm>
            <a:off x="797" y="0"/>
            <a:ext cx="0" cy="0"/>
            <a:chOff x="807" y="2"/>
            <a:chExt cx="83" cy="70"/>
          </a:xfrm>
          <a:solidFill>
            <a:srgbClr val="FFFFFF"/>
          </a:solidFill>
        </xdr:grpSpPr>
        <xdr:grpSp>
          <xdr:nvGrpSpPr>
            <xdr:cNvPr id="27" name="Group 183"/>
            <xdr:cNvGrpSpPr>
              <a:grpSpLocks/>
            </xdr:cNvGrpSpPr>
          </xdr:nvGrpSpPr>
          <xdr:grpSpPr>
            <a:xfrm>
              <a:off x="817" y="55"/>
              <a:ext cx="62" cy="0"/>
              <a:chOff x="790" y="4"/>
              <a:chExt cx="90" cy="54"/>
            </a:xfrm>
            <a:solidFill>
              <a:srgbClr val="FFFFFF"/>
            </a:solidFill>
          </xdr:grpSpPr>
          <xdr:sp>
            <xdr:nvSpPr>
              <xdr:cNvPr id="28" name="Rectangle 184"/>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9" name="Picture 185"/>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30" name="TextBox 186"/>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31" name="Group 187"/>
            <xdr:cNvGrpSpPr>
              <a:grpSpLocks/>
            </xdr:cNvGrpSpPr>
          </xdr:nvGrpSpPr>
          <xdr:grpSpPr>
            <a:xfrm>
              <a:off x="817" y="55"/>
              <a:ext cx="62" cy="0"/>
              <a:chOff x="790" y="4"/>
              <a:chExt cx="90" cy="54"/>
            </a:xfrm>
            <a:solidFill>
              <a:srgbClr val="FFFFFF"/>
            </a:solidFill>
          </xdr:grpSpPr>
          <xdr:sp>
            <xdr:nvSpPr>
              <xdr:cNvPr id="32" name="Rectangle 188"/>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3" name="Picture 189"/>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34" name="TextBox 190"/>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sp>
          <xdr:nvSpPr>
            <xdr:cNvPr id="35" name="Rectangle 191"/>
            <xdr:cNvSpPr>
              <a:spLocks noChangeAspect="1"/>
            </xdr:cNvSpPr>
          </xdr:nvSpPr>
          <xdr:spPr>
            <a:xfrm>
              <a:off x="808" y="11"/>
              <a:ext cx="82"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6" name="Group 192"/>
            <xdr:cNvGrpSpPr>
              <a:grpSpLocks/>
            </xdr:cNvGrpSpPr>
          </xdr:nvGrpSpPr>
          <xdr:grpSpPr>
            <a:xfrm>
              <a:off x="810" y="4"/>
              <a:ext cx="68" cy="53"/>
              <a:chOff x="809" y="5"/>
              <a:chExt cx="68" cy="53"/>
            </a:xfrm>
            <a:solidFill>
              <a:srgbClr val="FFFFFF"/>
            </a:solidFill>
          </xdr:grpSpPr>
          <xdr:pic>
            <xdr:nvPicPr>
              <xdr:cNvPr id="37" name="Picture 193"/>
              <xdr:cNvPicPr preferRelativeResize="1">
                <a:picLocks noChangeAspect="1"/>
              </xdr:cNvPicPr>
            </xdr:nvPicPr>
            <xdr:blipFill>
              <a:blip r:link="rId1"/>
              <a:stretch>
                <a:fillRect/>
              </a:stretch>
            </xdr:blipFill>
            <xdr:spPr>
              <a:xfrm>
                <a:off x="809" y="5"/>
                <a:ext cx="68" cy="53"/>
              </a:xfrm>
              <a:prstGeom prst="rect">
                <a:avLst/>
              </a:prstGeom>
              <a:noFill/>
              <a:ln w="9525" cmpd="sng">
                <a:noFill/>
              </a:ln>
            </xdr:spPr>
          </xdr:pic>
          <xdr:sp>
            <xdr:nvSpPr>
              <xdr:cNvPr id="38" name="TextBox 194"/>
              <xdr:cNvSpPr txBox="1">
                <a:spLocks noChangeAspect="1" noChangeArrowheads="1"/>
              </xdr:cNvSpPr>
            </xdr:nvSpPr>
            <xdr:spPr>
              <a:xfrm>
                <a:off x="841" y="23"/>
                <a:ext cx="12" cy="13"/>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39" name="Group 195"/>
            <xdr:cNvGrpSpPr>
              <a:grpSpLocks noChangeAspect="1"/>
            </xdr:cNvGrpSpPr>
          </xdr:nvGrpSpPr>
          <xdr:grpSpPr>
            <a:xfrm>
              <a:off x="807" y="2"/>
              <a:ext cx="71" cy="0"/>
              <a:chOff x="790" y="4"/>
              <a:chExt cx="90" cy="54"/>
            </a:xfrm>
            <a:solidFill>
              <a:srgbClr val="FFFFFF"/>
            </a:solidFill>
          </xdr:grpSpPr>
          <xdr:sp>
            <xdr:nvSpPr>
              <xdr:cNvPr id="40" name="Rectangle 196"/>
              <xdr:cNvSpPr>
                <a:spLocks noChangeAspect="1"/>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1" name="Picture 197"/>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2" name="TextBox 198"/>
              <xdr:cNvSpPr txBox="1">
                <a:spLocks noChangeAspect="1"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sp>
          <xdr:nvSpPr>
            <xdr:cNvPr id="43" name="Rectangle 199"/>
            <xdr:cNvSpPr>
              <a:spLocks/>
            </xdr:cNvSpPr>
          </xdr:nvSpPr>
          <xdr:spPr>
            <a:xfrm>
              <a:off x="823" y="64"/>
              <a:ext cx="67" cy="8"/>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grpSp>
      <xdr:grpSp>
        <xdr:nvGrpSpPr>
          <xdr:cNvPr id="44" name="Group 200"/>
          <xdr:cNvGrpSpPr>
            <a:grpSpLocks/>
          </xdr:cNvGrpSpPr>
        </xdr:nvGrpSpPr>
        <xdr:grpSpPr>
          <a:xfrm>
            <a:off x="797" y="59"/>
            <a:ext cx="0" cy="0"/>
            <a:chOff x="790" y="4"/>
            <a:chExt cx="90" cy="54"/>
          </a:xfrm>
          <a:solidFill>
            <a:srgbClr val="FFFFFF"/>
          </a:solidFill>
        </xdr:grpSpPr>
        <xdr:sp>
          <xdr:nvSpPr>
            <xdr:cNvPr id="45" name="Rectangle 201"/>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6" name="Picture 202"/>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7" name="TextBox 203"/>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48" name="Group 204"/>
          <xdr:cNvGrpSpPr>
            <a:grpSpLocks/>
          </xdr:cNvGrpSpPr>
        </xdr:nvGrpSpPr>
        <xdr:grpSpPr>
          <a:xfrm>
            <a:off x="797" y="59"/>
            <a:ext cx="0" cy="0"/>
            <a:chOff x="790" y="4"/>
            <a:chExt cx="90" cy="54"/>
          </a:xfrm>
          <a:solidFill>
            <a:srgbClr val="FFFFFF"/>
          </a:solidFill>
        </xdr:grpSpPr>
        <xdr:sp>
          <xdr:nvSpPr>
            <xdr:cNvPr id="49" name="Rectangle 205"/>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50" name="Picture 206"/>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51" name="TextBox 207"/>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sp>
        <xdr:nvSpPr>
          <xdr:cNvPr id="52" name="Rectangle 208"/>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3" name="Rectangle 209"/>
          <xdr:cNvSpPr>
            <a:spLocks/>
          </xdr:cNvSpPr>
        </xdr:nvSpPr>
        <xdr:spPr>
          <a:xfrm>
            <a:off x="769" y="13"/>
            <a:ext cx="70"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4" name="Picture 210"/>
          <xdr:cNvPicPr preferRelativeResize="1">
            <a:picLocks noChangeAspect="1"/>
          </xdr:cNvPicPr>
        </xdr:nvPicPr>
        <xdr:blipFill>
          <a:blip r:embed="rId2"/>
          <a:stretch>
            <a:fillRect/>
          </a:stretch>
        </xdr:blipFill>
        <xdr:spPr>
          <a:xfrm>
            <a:off x="772" y="1"/>
            <a:ext cx="83" cy="39"/>
          </a:xfrm>
          <a:prstGeom prst="rect">
            <a:avLst/>
          </a:prstGeom>
          <a:noFill/>
          <a:ln w="9525" cmpd="sng">
            <a:noFill/>
          </a:ln>
        </xdr:spPr>
      </xdr:pic>
      <xdr:sp>
        <xdr:nvSpPr>
          <xdr:cNvPr id="55" name="Rectangle 211"/>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3</xdr:row>
      <xdr:rowOff>0</xdr:rowOff>
    </xdr:to>
    <xdr:grpSp>
      <xdr:nvGrpSpPr>
        <xdr:cNvPr id="1" name="Group 9"/>
        <xdr:cNvGrpSpPr>
          <a:grpSpLocks/>
        </xdr:cNvGrpSpPr>
      </xdr:nvGrpSpPr>
      <xdr:grpSpPr>
        <a:xfrm>
          <a:off x="8496300" y="0"/>
          <a:ext cx="914400" cy="561975"/>
          <a:chOff x="769" y="0"/>
          <a:chExt cx="110" cy="59"/>
        </a:xfrm>
        <a:solidFill>
          <a:srgbClr val="FFFFFF"/>
        </a:solidFill>
      </xdr:grpSpPr>
      <xdr:grpSp>
        <xdr:nvGrpSpPr>
          <xdr:cNvPr id="2" name="Group 10"/>
          <xdr:cNvGrpSpPr>
            <a:grpSpLocks/>
          </xdr:cNvGrpSpPr>
        </xdr:nvGrpSpPr>
        <xdr:grpSpPr>
          <a:xfrm>
            <a:off x="797" y="0"/>
            <a:ext cx="0" cy="0"/>
            <a:chOff x="790" y="4"/>
            <a:chExt cx="90" cy="54"/>
          </a:xfrm>
          <a:solidFill>
            <a:srgbClr val="FFFFFF"/>
          </a:solidFill>
        </xdr:grpSpPr>
        <xdr:sp>
          <xdr:nvSpPr>
            <xdr:cNvPr id="3" name="Rectangle 11"/>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12"/>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5" name="TextBox 13"/>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6" name="Group 14"/>
          <xdr:cNvGrpSpPr>
            <a:grpSpLocks/>
          </xdr:cNvGrpSpPr>
        </xdr:nvGrpSpPr>
        <xdr:grpSpPr>
          <a:xfrm>
            <a:off x="797" y="0"/>
            <a:ext cx="0" cy="0"/>
            <a:chOff x="790" y="4"/>
            <a:chExt cx="90" cy="54"/>
          </a:xfrm>
          <a:solidFill>
            <a:srgbClr val="FFFFFF"/>
          </a:solidFill>
        </xdr:grpSpPr>
        <xdr:sp>
          <xdr:nvSpPr>
            <xdr:cNvPr id="7" name="Rectangle 15"/>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8" name="Picture 16"/>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9" name="TextBox 17"/>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10" name="Group 18"/>
          <xdr:cNvGrpSpPr>
            <a:grpSpLocks/>
          </xdr:cNvGrpSpPr>
        </xdr:nvGrpSpPr>
        <xdr:grpSpPr>
          <a:xfrm>
            <a:off x="797" y="0"/>
            <a:ext cx="0" cy="0"/>
            <a:chOff x="807" y="2"/>
            <a:chExt cx="83" cy="70"/>
          </a:xfrm>
          <a:solidFill>
            <a:srgbClr val="FFFFFF"/>
          </a:solidFill>
        </xdr:grpSpPr>
        <xdr:grpSp>
          <xdr:nvGrpSpPr>
            <xdr:cNvPr id="11" name="Group 19"/>
            <xdr:cNvGrpSpPr>
              <a:grpSpLocks/>
            </xdr:cNvGrpSpPr>
          </xdr:nvGrpSpPr>
          <xdr:grpSpPr>
            <a:xfrm>
              <a:off x="817" y="55"/>
              <a:ext cx="62" cy="0"/>
              <a:chOff x="790" y="4"/>
              <a:chExt cx="90" cy="54"/>
            </a:xfrm>
            <a:solidFill>
              <a:srgbClr val="FFFFFF"/>
            </a:solidFill>
          </xdr:grpSpPr>
          <xdr:sp>
            <xdr:nvSpPr>
              <xdr:cNvPr id="12" name="Rectangle 20"/>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3" name="Picture 21"/>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4" name="TextBox 22"/>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15" name="Group 23"/>
            <xdr:cNvGrpSpPr>
              <a:grpSpLocks/>
            </xdr:cNvGrpSpPr>
          </xdr:nvGrpSpPr>
          <xdr:grpSpPr>
            <a:xfrm>
              <a:off x="817" y="55"/>
              <a:ext cx="62" cy="0"/>
              <a:chOff x="790" y="4"/>
              <a:chExt cx="90" cy="54"/>
            </a:xfrm>
            <a:solidFill>
              <a:srgbClr val="FFFFFF"/>
            </a:solidFill>
          </xdr:grpSpPr>
          <xdr:sp>
            <xdr:nvSpPr>
              <xdr:cNvPr id="16" name="Rectangle 24"/>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7" name="Picture 25"/>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8" name="TextBox 26"/>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sp>
          <xdr:nvSpPr>
            <xdr:cNvPr id="19" name="Rectangle 27"/>
            <xdr:cNvSpPr>
              <a:spLocks noChangeAspect="1"/>
            </xdr:cNvSpPr>
          </xdr:nvSpPr>
          <xdr:spPr>
            <a:xfrm>
              <a:off x="808" y="11"/>
              <a:ext cx="82"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20" name="Group 28"/>
            <xdr:cNvGrpSpPr>
              <a:grpSpLocks/>
            </xdr:cNvGrpSpPr>
          </xdr:nvGrpSpPr>
          <xdr:grpSpPr>
            <a:xfrm>
              <a:off x="810" y="4"/>
              <a:ext cx="68" cy="53"/>
              <a:chOff x="809" y="5"/>
              <a:chExt cx="68" cy="53"/>
            </a:xfrm>
            <a:solidFill>
              <a:srgbClr val="FFFFFF"/>
            </a:solidFill>
          </xdr:grpSpPr>
          <xdr:pic>
            <xdr:nvPicPr>
              <xdr:cNvPr id="21" name="Picture 29"/>
              <xdr:cNvPicPr preferRelativeResize="1">
                <a:picLocks noChangeAspect="1"/>
              </xdr:cNvPicPr>
            </xdr:nvPicPr>
            <xdr:blipFill>
              <a:blip r:link="rId1"/>
              <a:stretch>
                <a:fillRect/>
              </a:stretch>
            </xdr:blipFill>
            <xdr:spPr>
              <a:xfrm>
                <a:off x="809" y="5"/>
                <a:ext cx="68" cy="53"/>
              </a:xfrm>
              <a:prstGeom prst="rect">
                <a:avLst/>
              </a:prstGeom>
              <a:noFill/>
              <a:ln w="9525" cmpd="sng">
                <a:noFill/>
              </a:ln>
            </xdr:spPr>
          </xdr:pic>
          <xdr:sp>
            <xdr:nvSpPr>
              <xdr:cNvPr id="22" name="TextBox 30"/>
              <xdr:cNvSpPr txBox="1">
                <a:spLocks noChangeAspect="1" noChangeArrowheads="1"/>
              </xdr:cNvSpPr>
            </xdr:nvSpPr>
            <xdr:spPr>
              <a:xfrm>
                <a:off x="841" y="23"/>
                <a:ext cx="12" cy="13"/>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23" name="Group 31"/>
            <xdr:cNvGrpSpPr>
              <a:grpSpLocks noChangeAspect="1"/>
            </xdr:cNvGrpSpPr>
          </xdr:nvGrpSpPr>
          <xdr:grpSpPr>
            <a:xfrm>
              <a:off x="807" y="2"/>
              <a:ext cx="71" cy="0"/>
              <a:chOff x="790" y="4"/>
              <a:chExt cx="90" cy="54"/>
            </a:xfrm>
            <a:solidFill>
              <a:srgbClr val="FFFFFF"/>
            </a:solidFill>
          </xdr:grpSpPr>
          <xdr:sp>
            <xdr:nvSpPr>
              <xdr:cNvPr id="24" name="Rectangle 32"/>
              <xdr:cNvSpPr>
                <a:spLocks noChangeAspect="1"/>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5" name="Picture 3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26" name="TextBox 34"/>
              <xdr:cNvSpPr txBox="1">
                <a:spLocks noChangeAspect="1"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sp>
          <xdr:nvSpPr>
            <xdr:cNvPr id="27" name="Rectangle 35"/>
            <xdr:cNvSpPr>
              <a:spLocks/>
            </xdr:cNvSpPr>
          </xdr:nvSpPr>
          <xdr:spPr>
            <a:xfrm>
              <a:off x="823" y="64"/>
              <a:ext cx="67" cy="8"/>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grpSp>
      <xdr:grpSp>
        <xdr:nvGrpSpPr>
          <xdr:cNvPr id="28" name="Group 36"/>
          <xdr:cNvGrpSpPr>
            <a:grpSpLocks/>
          </xdr:cNvGrpSpPr>
        </xdr:nvGrpSpPr>
        <xdr:grpSpPr>
          <a:xfrm>
            <a:off x="797" y="59"/>
            <a:ext cx="0" cy="0"/>
            <a:chOff x="790" y="4"/>
            <a:chExt cx="90" cy="54"/>
          </a:xfrm>
          <a:solidFill>
            <a:srgbClr val="FFFFFF"/>
          </a:solidFill>
        </xdr:grpSpPr>
        <xdr:sp>
          <xdr:nvSpPr>
            <xdr:cNvPr id="29" name="Rectangle 37"/>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0" name="Picture 38"/>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31" name="TextBox 39"/>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32" name="Group 40"/>
          <xdr:cNvGrpSpPr>
            <a:grpSpLocks/>
          </xdr:cNvGrpSpPr>
        </xdr:nvGrpSpPr>
        <xdr:grpSpPr>
          <a:xfrm>
            <a:off x="797" y="59"/>
            <a:ext cx="0" cy="0"/>
            <a:chOff x="790" y="4"/>
            <a:chExt cx="90" cy="54"/>
          </a:xfrm>
          <a:solidFill>
            <a:srgbClr val="FFFFFF"/>
          </a:solidFill>
        </xdr:grpSpPr>
        <xdr:sp>
          <xdr:nvSpPr>
            <xdr:cNvPr id="33" name="Rectangle 41"/>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4" name="Picture 42"/>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35" name="TextBox 43"/>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sp>
        <xdr:nvSpPr>
          <xdr:cNvPr id="36" name="Rectangle 44"/>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7" name="Rectangle 45"/>
          <xdr:cNvSpPr>
            <a:spLocks/>
          </xdr:cNvSpPr>
        </xdr:nvSpPr>
        <xdr:spPr>
          <a:xfrm>
            <a:off x="769" y="13"/>
            <a:ext cx="70"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8" name="Picture 46"/>
          <xdr:cNvPicPr preferRelativeResize="1">
            <a:picLocks noChangeAspect="1"/>
          </xdr:cNvPicPr>
        </xdr:nvPicPr>
        <xdr:blipFill>
          <a:blip r:embed="rId2"/>
          <a:stretch>
            <a:fillRect/>
          </a:stretch>
        </xdr:blipFill>
        <xdr:spPr>
          <a:xfrm>
            <a:off x="772" y="1"/>
            <a:ext cx="83" cy="39"/>
          </a:xfrm>
          <a:prstGeom prst="rect">
            <a:avLst/>
          </a:prstGeom>
          <a:noFill/>
          <a:ln w="9525" cmpd="sng">
            <a:noFill/>
          </a:ln>
        </xdr:spPr>
      </xdr:pic>
      <xdr:sp>
        <xdr:nvSpPr>
          <xdr:cNvPr id="39" name="Rectangle 47"/>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9525</xdr:rowOff>
    </xdr:from>
    <xdr:to>
      <xdr:col>12</xdr:col>
      <xdr:colOff>619125</xdr:colOff>
      <xdr:row>2</xdr:row>
      <xdr:rowOff>0</xdr:rowOff>
    </xdr:to>
    <xdr:grpSp>
      <xdr:nvGrpSpPr>
        <xdr:cNvPr id="1" name="Group 18"/>
        <xdr:cNvGrpSpPr>
          <a:grpSpLocks/>
        </xdr:cNvGrpSpPr>
      </xdr:nvGrpSpPr>
      <xdr:grpSpPr>
        <a:xfrm>
          <a:off x="7543800" y="9525"/>
          <a:ext cx="1076325" cy="390525"/>
          <a:chOff x="769" y="35"/>
          <a:chExt cx="110" cy="41"/>
        </a:xfrm>
        <a:solidFill>
          <a:srgbClr val="FFFFFF"/>
        </a:solidFill>
      </xdr:grpSpPr>
      <xdr:sp>
        <xdr:nvSpPr>
          <xdr:cNvPr id="2" name="Rectangle 1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2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2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2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31</xdr:row>
      <xdr:rowOff>0</xdr:rowOff>
    </xdr:from>
    <xdr:to>
      <xdr:col>6</xdr:col>
      <xdr:colOff>0</xdr:colOff>
      <xdr:row>31</xdr:row>
      <xdr:rowOff>0</xdr:rowOff>
    </xdr:to>
    <xdr:grpSp>
      <xdr:nvGrpSpPr>
        <xdr:cNvPr id="6" name="Group 25"/>
        <xdr:cNvGrpSpPr>
          <a:grpSpLocks/>
        </xdr:cNvGrpSpPr>
      </xdr:nvGrpSpPr>
      <xdr:grpSpPr>
        <a:xfrm>
          <a:off x="4343400" y="5124450"/>
          <a:ext cx="0" cy="0"/>
          <a:chOff x="769" y="35"/>
          <a:chExt cx="110" cy="41"/>
        </a:xfrm>
        <a:solidFill>
          <a:srgbClr val="FFFFFF"/>
        </a:solidFill>
      </xdr:grpSpPr>
      <xdr:sp>
        <xdr:nvSpPr>
          <xdr:cNvPr id="7" name="Rectangle 2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2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2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2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35</xdr:row>
      <xdr:rowOff>0</xdr:rowOff>
    </xdr:from>
    <xdr:to>
      <xdr:col>6</xdr:col>
      <xdr:colOff>0</xdr:colOff>
      <xdr:row>35</xdr:row>
      <xdr:rowOff>0</xdr:rowOff>
    </xdr:to>
    <xdr:grpSp>
      <xdr:nvGrpSpPr>
        <xdr:cNvPr id="11" name="Group 35"/>
        <xdr:cNvGrpSpPr>
          <a:grpSpLocks/>
        </xdr:cNvGrpSpPr>
      </xdr:nvGrpSpPr>
      <xdr:grpSpPr>
        <a:xfrm>
          <a:off x="4343400" y="5762625"/>
          <a:ext cx="0" cy="0"/>
          <a:chOff x="769" y="35"/>
          <a:chExt cx="110" cy="41"/>
        </a:xfrm>
        <a:solidFill>
          <a:srgbClr val="FFFFFF"/>
        </a:solidFill>
      </xdr:grpSpPr>
      <xdr:sp>
        <xdr:nvSpPr>
          <xdr:cNvPr id="12" name="Rectangle 3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3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3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3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37</xdr:row>
      <xdr:rowOff>0</xdr:rowOff>
    </xdr:from>
    <xdr:to>
      <xdr:col>6</xdr:col>
      <xdr:colOff>0</xdr:colOff>
      <xdr:row>37</xdr:row>
      <xdr:rowOff>0</xdr:rowOff>
    </xdr:to>
    <xdr:grpSp>
      <xdr:nvGrpSpPr>
        <xdr:cNvPr id="16" name="Group 65"/>
        <xdr:cNvGrpSpPr>
          <a:grpSpLocks/>
        </xdr:cNvGrpSpPr>
      </xdr:nvGrpSpPr>
      <xdr:grpSpPr>
        <a:xfrm>
          <a:off x="4343400" y="6086475"/>
          <a:ext cx="0" cy="0"/>
          <a:chOff x="769" y="35"/>
          <a:chExt cx="110" cy="41"/>
        </a:xfrm>
        <a:solidFill>
          <a:srgbClr val="FFFFFF"/>
        </a:solidFill>
      </xdr:grpSpPr>
      <xdr:sp>
        <xdr:nvSpPr>
          <xdr:cNvPr id="17" name="Rectangle 6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6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 name="Picture 6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0" name="Rectangle 6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733425</xdr:colOff>
      <xdr:row>0</xdr:row>
      <xdr:rowOff>47625</xdr:rowOff>
    </xdr:from>
    <xdr:to>
      <xdr:col>8</xdr:col>
      <xdr:colOff>866775</xdr:colOff>
      <xdr:row>1</xdr:row>
      <xdr:rowOff>171450</xdr:rowOff>
    </xdr:to>
    <xdr:grpSp>
      <xdr:nvGrpSpPr>
        <xdr:cNvPr id="1" name="Group 33"/>
        <xdr:cNvGrpSpPr>
          <a:grpSpLocks/>
        </xdr:cNvGrpSpPr>
      </xdr:nvGrpSpPr>
      <xdr:grpSpPr>
        <a:xfrm>
          <a:off x="8391525" y="47625"/>
          <a:ext cx="1047750" cy="323850"/>
          <a:chOff x="769" y="35"/>
          <a:chExt cx="110" cy="41"/>
        </a:xfrm>
        <a:solidFill>
          <a:srgbClr val="FFFFFF"/>
        </a:solidFill>
      </xdr:grpSpPr>
      <xdr:sp>
        <xdr:nvSpPr>
          <xdr:cNvPr id="2" name="Rectangle 3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3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3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877175" y="0"/>
          <a:ext cx="0" cy="0"/>
          <a:chOff x="769" y="35"/>
          <a:chExt cx="110" cy="41"/>
        </a:xfrm>
        <a:solidFill>
          <a:srgbClr val="FFFFFF"/>
        </a:solidFill>
      </xdr:grpSpPr>
      <xdr:sp>
        <xdr:nvSpPr>
          <xdr:cNvPr id="2" name="Rectangle 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0</xdr:colOff>
      <xdr:row>0</xdr:row>
      <xdr:rowOff>0</xdr:rowOff>
    </xdr:from>
    <xdr:to>
      <xdr:col>7</xdr:col>
      <xdr:colOff>0</xdr:colOff>
      <xdr:row>0</xdr:row>
      <xdr:rowOff>0</xdr:rowOff>
    </xdr:to>
    <xdr:grpSp>
      <xdr:nvGrpSpPr>
        <xdr:cNvPr id="6" name="Group 6"/>
        <xdr:cNvGrpSpPr>
          <a:grpSpLocks/>
        </xdr:cNvGrpSpPr>
      </xdr:nvGrpSpPr>
      <xdr:grpSpPr>
        <a:xfrm>
          <a:off x="7877175" y="0"/>
          <a:ext cx="0" cy="0"/>
          <a:chOff x="769" y="35"/>
          <a:chExt cx="110" cy="41"/>
        </a:xfrm>
        <a:solidFill>
          <a:srgbClr val="FFFFFF"/>
        </a:solidFill>
      </xdr:grpSpPr>
      <xdr:sp>
        <xdr:nvSpPr>
          <xdr:cNvPr id="7" name="Rectangle 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419100</xdr:colOff>
      <xdr:row>0</xdr:row>
      <xdr:rowOff>0</xdr:rowOff>
    </xdr:from>
    <xdr:to>
      <xdr:col>6</xdr:col>
      <xdr:colOff>762000</xdr:colOff>
      <xdr:row>2</xdr:row>
      <xdr:rowOff>0</xdr:rowOff>
    </xdr:to>
    <xdr:grpSp>
      <xdr:nvGrpSpPr>
        <xdr:cNvPr id="11" name="Group 21"/>
        <xdr:cNvGrpSpPr>
          <a:grpSpLocks/>
        </xdr:cNvGrpSpPr>
      </xdr:nvGrpSpPr>
      <xdr:grpSpPr>
        <a:xfrm>
          <a:off x="6734175" y="0"/>
          <a:ext cx="1123950" cy="323850"/>
          <a:chOff x="769" y="35"/>
          <a:chExt cx="110" cy="41"/>
        </a:xfrm>
        <a:solidFill>
          <a:srgbClr val="FFFFFF"/>
        </a:solidFill>
      </xdr:grpSpPr>
      <xdr:sp>
        <xdr:nvSpPr>
          <xdr:cNvPr id="12" name="Rectangle 2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2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2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2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32</xdr:row>
      <xdr:rowOff>0</xdr:rowOff>
    </xdr:from>
    <xdr:to>
      <xdr:col>0</xdr:col>
      <xdr:colOff>0</xdr:colOff>
      <xdr:row>32</xdr:row>
      <xdr:rowOff>0</xdr:rowOff>
    </xdr:to>
    <xdr:grpSp>
      <xdr:nvGrpSpPr>
        <xdr:cNvPr id="16" name="Group 28"/>
        <xdr:cNvGrpSpPr>
          <a:grpSpLocks/>
        </xdr:cNvGrpSpPr>
      </xdr:nvGrpSpPr>
      <xdr:grpSpPr>
        <a:xfrm>
          <a:off x="0" y="5181600"/>
          <a:ext cx="0" cy="0"/>
          <a:chOff x="769" y="35"/>
          <a:chExt cx="110" cy="41"/>
        </a:xfrm>
        <a:solidFill>
          <a:srgbClr val="FFFFFF"/>
        </a:solidFill>
      </xdr:grpSpPr>
      <xdr:sp>
        <xdr:nvSpPr>
          <xdr:cNvPr id="17" name="Rectangle 2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3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 name="Picture 3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0" name="Rectangle 3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32</xdr:row>
      <xdr:rowOff>0</xdr:rowOff>
    </xdr:from>
    <xdr:to>
      <xdr:col>0</xdr:col>
      <xdr:colOff>0</xdr:colOff>
      <xdr:row>32</xdr:row>
      <xdr:rowOff>0</xdr:rowOff>
    </xdr:to>
    <xdr:grpSp>
      <xdr:nvGrpSpPr>
        <xdr:cNvPr id="21" name="Group 33"/>
        <xdr:cNvGrpSpPr>
          <a:grpSpLocks/>
        </xdr:cNvGrpSpPr>
      </xdr:nvGrpSpPr>
      <xdr:grpSpPr>
        <a:xfrm>
          <a:off x="0" y="5181600"/>
          <a:ext cx="0" cy="0"/>
          <a:chOff x="769" y="35"/>
          <a:chExt cx="110" cy="41"/>
        </a:xfrm>
        <a:solidFill>
          <a:srgbClr val="FFFFFF"/>
        </a:solidFill>
      </xdr:grpSpPr>
      <xdr:sp>
        <xdr:nvSpPr>
          <xdr:cNvPr id="22" name="Rectangle 3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3" name="Rectangle 3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4" name="Picture 3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5" name="Rectangle 3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0</xdr:row>
      <xdr:rowOff>0</xdr:rowOff>
    </xdr:from>
    <xdr:to>
      <xdr:col>4</xdr:col>
      <xdr:colOff>1038225</xdr:colOff>
      <xdr:row>1</xdr:row>
      <xdr:rowOff>190500</xdr:rowOff>
    </xdr:to>
    <xdr:grpSp>
      <xdr:nvGrpSpPr>
        <xdr:cNvPr id="1" name="Group 1"/>
        <xdr:cNvGrpSpPr>
          <a:grpSpLocks/>
        </xdr:cNvGrpSpPr>
      </xdr:nvGrpSpPr>
      <xdr:grpSpPr>
        <a:xfrm>
          <a:off x="7753350" y="0"/>
          <a:ext cx="876300" cy="390525"/>
          <a:chOff x="758" y="1"/>
          <a:chExt cx="110" cy="41"/>
        </a:xfrm>
        <a:solidFill>
          <a:srgbClr val="FFFFFF"/>
        </a:solidFill>
      </xdr:grpSpPr>
      <xdr:sp>
        <xdr:nvSpPr>
          <xdr:cNvPr id="2" name="Rectangle 2"/>
          <xdr:cNvSpPr>
            <a:spLocks/>
          </xdr:cNvSpPr>
        </xdr:nvSpPr>
        <xdr:spPr>
          <a:xfrm>
            <a:off x="779"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758" y="13"/>
            <a:ext cx="4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
          <xdr:cNvPicPr preferRelativeResize="1">
            <a:picLocks noChangeAspect="1"/>
          </xdr:cNvPicPr>
        </xdr:nvPicPr>
        <xdr:blipFill>
          <a:blip r:embed="rId1"/>
          <a:stretch>
            <a:fillRect/>
          </a:stretch>
        </xdr:blipFill>
        <xdr:spPr>
          <a:xfrm>
            <a:off x="761" y="1"/>
            <a:ext cx="83" cy="39"/>
          </a:xfrm>
          <a:prstGeom prst="rect">
            <a:avLst/>
          </a:prstGeom>
          <a:noFill/>
          <a:ln w="9525" cmpd="sng">
            <a:noFill/>
          </a:ln>
        </xdr:spPr>
      </xdr:pic>
      <xdr:sp>
        <xdr:nvSpPr>
          <xdr:cNvPr id="5" name="Rectangle 5"/>
          <xdr:cNvSpPr>
            <a:spLocks/>
          </xdr:cNvSpPr>
        </xdr:nvSpPr>
        <xdr:spPr>
          <a:xfrm>
            <a:off x="823"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0</xdr:row>
      <xdr:rowOff>0</xdr:rowOff>
    </xdr:from>
    <xdr:to>
      <xdr:col>4</xdr:col>
      <xdr:colOff>1104900</xdr:colOff>
      <xdr:row>1</xdr:row>
      <xdr:rowOff>190500</xdr:rowOff>
    </xdr:to>
    <xdr:grpSp>
      <xdr:nvGrpSpPr>
        <xdr:cNvPr id="1" name="Group 56"/>
        <xdr:cNvGrpSpPr>
          <a:grpSpLocks/>
        </xdr:cNvGrpSpPr>
      </xdr:nvGrpSpPr>
      <xdr:grpSpPr>
        <a:xfrm>
          <a:off x="6343650" y="0"/>
          <a:ext cx="990600" cy="390525"/>
          <a:chOff x="758" y="1"/>
          <a:chExt cx="110" cy="41"/>
        </a:xfrm>
        <a:solidFill>
          <a:srgbClr val="FFFFFF"/>
        </a:solidFill>
      </xdr:grpSpPr>
      <xdr:sp>
        <xdr:nvSpPr>
          <xdr:cNvPr id="2" name="Rectangle 57"/>
          <xdr:cNvSpPr>
            <a:spLocks/>
          </xdr:cNvSpPr>
        </xdr:nvSpPr>
        <xdr:spPr>
          <a:xfrm>
            <a:off x="779"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58"/>
          <xdr:cNvSpPr>
            <a:spLocks/>
          </xdr:cNvSpPr>
        </xdr:nvSpPr>
        <xdr:spPr>
          <a:xfrm>
            <a:off x="758" y="13"/>
            <a:ext cx="4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59"/>
          <xdr:cNvPicPr preferRelativeResize="1">
            <a:picLocks noChangeAspect="1"/>
          </xdr:cNvPicPr>
        </xdr:nvPicPr>
        <xdr:blipFill>
          <a:blip r:embed="rId1"/>
          <a:stretch>
            <a:fillRect/>
          </a:stretch>
        </xdr:blipFill>
        <xdr:spPr>
          <a:xfrm>
            <a:off x="761" y="1"/>
            <a:ext cx="83" cy="39"/>
          </a:xfrm>
          <a:prstGeom prst="rect">
            <a:avLst/>
          </a:prstGeom>
          <a:noFill/>
          <a:ln w="9525" cmpd="sng">
            <a:noFill/>
          </a:ln>
        </xdr:spPr>
      </xdr:pic>
      <xdr:sp>
        <xdr:nvSpPr>
          <xdr:cNvPr id="5" name="Rectangle 60"/>
          <xdr:cNvSpPr>
            <a:spLocks/>
          </xdr:cNvSpPr>
        </xdr:nvSpPr>
        <xdr:spPr>
          <a:xfrm>
            <a:off x="823"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0</xdr:row>
      <xdr:rowOff>9525</xdr:rowOff>
    </xdr:from>
    <xdr:to>
      <xdr:col>7</xdr:col>
      <xdr:colOff>0</xdr:colOff>
      <xdr:row>2</xdr:row>
      <xdr:rowOff>0</xdr:rowOff>
    </xdr:to>
    <xdr:grpSp>
      <xdr:nvGrpSpPr>
        <xdr:cNvPr id="1" name="Group 36"/>
        <xdr:cNvGrpSpPr>
          <a:grpSpLocks/>
        </xdr:cNvGrpSpPr>
      </xdr:nvGrpSpPr>
      <xdr:grpSpPr>
        <a:xfrm>
          <a:off x="7543800" y="9525"/>
          <a:ext cx="1047750" cy="390525"/>
          <a:chOff x="769" y="35"/>
          <a:chExt cx="110" cy="41"/>
        </a:xfrm>
        <a:solidFill>
          <a:srgbClr val="FFFFFF"/>
        </a:solidFill>
      </xdr:grpSpPr>
      <xdr:sp>
        <xdr:nvSpPr>
          <xdr:cNvPr id="2" name="Rectangle 3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3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4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133350</xdr:colOff>
      <xdr:row>46</xdr:row>
      <xdr:rowOff>95250</xdr:rowOff>
    </xdr:from>
    <xdr:to>
      <xdr:col>7</xdr:col>
      <xdr:colOff>0</xdr:colOff>
      <xdr:row>48</xdr:row>
      <xdr:rowOff>0</xdr:rowOff>
    </xdr:to>
    <xdr:grpSp>
      <xdr:nvGrpSpPr>
        <xdr:cNvPr id="6" name="Group 54"/>
        <xdr:cNvGrpSpPr>
          <a:grpSpLocks/>
        </xdr:cNvGrpSpPr>
      </xdr:nvGrpSpPr>
      <xdr:grpSpPr>
        <a:xfrm>
          <a:off x="7543800" y="7267575"/>
          <a:ext cx="1047750" cy="209550"/>
          <a:chOff x="769" y="35"/>
          <a:chExt cx="110" cy="41"/>
        </a:xfrm>
        <a:solidFill>
          <a:srgbClr val="FFFFFF"/>
        </a:solidFill>
      </xdr:grpSpPr>
      <xdr:sp>
        <xdr:nvSpPr>
          <xdr:cNvPr id="7" name="Rectangle 5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5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5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5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133350</xdr:colOff>
      <xdr:row>92</xdr:row>
      <xdr:rowOff>9525</xdr:rowOff>
    </xdr:from>
    <xdr:to>
      <xdr:col>7</xdr:col>
      <xdr:colOff>0</xdr:colOff>
      <xdr:row>94</xdr:row>
      <xdr:rowOff>0</xdr:rowOff>
    </xdr:to>
    <xdr:grpSp>
      <xdr:nvGrpSpPr>
        <xdr:cNvPr id="11" name="Group 79"/>
        <xdr:cNvGrpSpPr>
          <a:grpSpLocks/>
        </xdr:cNvGrpSpPr>
      </xdr:nvGrpSpPr>
      <xdr:grpSpPr>
        <a:xfrm>
          <a:off x="7543800" y="14230350"/>
          <a:ext cx="1047750" cy="295275"/>
          <a:chOff x="769" y="35"/>
          <a:chExt cx="110" cy="41"/>
        </a:xfrm>
        <a:solidFill>
          <a:srgbClr val="FFFFFF"/>
        </a:solidFill>
      </xdr:grpSpPr>
      <xdr:sp>
        <xdr:nvSpPr>
          <xdr:cNvPr id="12" name="Rectangle 8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8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8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8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133350</xdr:colOff>
      <xdr:row>121</xdr:row>
      <xdr:rowOff>9525</xdr:rowOff>
    </xdr:from>
    <xdr:to>
      <xdr:col>7</xdr:col>
      <xdr:colOff>0</xdr:colOff>
      <xdr:row>123</xdr:row>
      <xdr:rowOff>0</xdr:rowOff>
    </xdr:to>
    <xdr:grpSp>
      <xdr:nvGrpSpPr>
        <xdr:cNvPr id="16" name="Group 84"/>
        <xdr:cNvGrpSpPr>
          <a:grpSpLocks/>
        </xdr:cNvGrpSpPr>
      </xdr:nvGrpSpPr>
      <xdr:grpSpPr>
        <a:xfrm>
          <a:off x="7543800" y="18649950"/>
          <a:ext cx="1047750" cy="295275"/>
          <a:chOff x="769" y="35"/>
          <a:chExt cx="110" cy="41"/>
        </a:xfrm>
        <a:solidFill>
          <a:srgbClr val="FFFFFF"/>
        </a:solidFill>
      </xdr:grpSpPr>
      <xdr:sp>
        <xdr:nvSpPr>
          <xdr:cNvPr id="17" name="Rectangle 8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8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 name="Picture 8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0" name="Rectangle 8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19</xdr:row>
      <xdr:rowOff>0</xdr:rowOff>
    </xdr:from>
    <xdr:to>
      <xdr:col>2</xdr:col>
      <xdr:colOff>180975</xdr:colOff>
      <xdr:row>19</xdr:row>
      <xdr:rowOff>0</xdr:rowOff>
    </xdr:to>
    <xdr:sp>
      <xdr:nvSpPr>
        <xdr:cNvPr id="1" name="Rectangle 1"/>
        <xdr:cNvSpPr>
          <a:spLocks/>
        </xdr:cNvSpPr>
      </xdr:nvSpPr>
      <xdr:spPr>
        <a:xfrm>
          <a:off x="1104900"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2" name="Rectangle 2"/>
        <xdr:cNvSpPr>
          <a:spLocks/>
        </xdr:cNvSpPr>
      </xdr:nvSpPr>
      <xdr:spPr>
        <a:xfrm>
          <a:off x="1104900"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3" name="Rectangle 3"/>
        <xdr:cNvSpPr>
          <a:spLocks/>
        </xdr:cNvSpPr>
      </xdr:nvSpPr>
      <xdr:spPr>
        <a:xfrm>
          <a:off x="1104900"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4" name="Rectangle 4"/>
        <xdr:cNvSpPr>
          <a:spLocks/>
        </xdr:cNvSpPr>
      </xdr:nvSpPr>
      <xdr:spPr>
        <a:xfrm>
          <a:off x="1104900"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5" name="Rectangle 5"/>
        <xdr:cNvSpPr>
          <a:spLocks/>
        </xdr:cNvSpPr>
      </xdr:nvSpPr>
      <xdr:spPr>
        <a:xfrm>
          <a:off x="1104900"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6" name="Rectangle 6"/>
        <xdr:cNvSpPr>
          <a:spLocks/>
        </xdr:cNvSpPr>
      </xdr:nvSpPr>
      <xdr:spPr>
        <a:xfrm>
          <a:off x="1104900"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7" name="Rectangle 7"/>
        <xdr:cNvSpPr>
          <a:spLocks/>
        </xdr:cNvSpPr>
      </xdr:nvSpPr>
      <xdr:spPr>
        <a:xfrm>
          <a:off x="1104900"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24</xdr:row>
      <xdr:rowOff>47625</xdr:rowOff>
    </xdr:from>
    <xdr:to>
      <xdr:col>2</xdr:col>
      <xdr:colOff>180975</xdr:colOff>
      <xdr:row>24</xdr:row>
      <xdr:rowOff>123825</xdr:rowOff>
    </xdr:to>
    <xdr:sp>
      <xdr:nvSpPr>
        <xdr:cNvPr id="8" name="Rectangle 8"/>
        <xdr:cNvSpPr>
          <a:spLocks/>
        </xdr:cNvSpPr>
      </xdr:nvSpPr>
      <xdr:spPr>
        <a:xfrm>
          <a:off x="1104900" y="4200525"/>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21</xdr:row>
      <xdr:rowOff>47625</xdr:rowOff>
    </xdr:from>
    <xdr:to>
      <xdr:col>2</xdr:col>
      <xdr:colOff>180975</xdr:colOff>
      <xdr:row>21</xdr:row>
      <xdr:rowOff>123825</xdr:rowOff>
    </xdr:to>
    <xdr:sp>
      <xdr:nvSpPr>
        <xdr:cNvPr id="9" name="Rectangle 19"/>
        <xdr:cNvSpPr>
          <a:spLocks/>
        </xdr:cNvSpPr>
      </xdr:nvSpPr>
      <xdr:spPr>
        <a:xfrm>
          <a:off x="1104900" y="371475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47625</xdr:rowOff>
    </xdr:from>
    <xdr:to>
      <xdr:col>2</xdr:col>
      <xdr:colOff>180975</xdr:colOff>
      <xdr:row>19</xdr:row>
      <xdr:rowOff>123825</xdr:rowOff>
    </xdr:to>
    <xdr:sp>
      <xdr:nvSpPr>
        <xdr:cNvPr id="10" name="Rectangle 20"/>
        <xdr:cNvSpPr>
          <a:spLocks/>
        </xdr:cNvSpPr>
      </xdr:nvSpPr>
      <xdr:spPr>
        <a:xfrm>
          <a:off x="1104900" y="339090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11" name="Rectangle 23"/>
        <xdr:cNvSpPr>
          <a:spLocks/>
        </xdr:cNvSpPr>
      </xdr:nvSpPr>
      <xdr:spPr>
        <a:xfrm>
          <a:off x="1104900"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24</xdr:row>
      <xdr:rowOff>47625</xdr:rowOff>
    </xdr:from>
    <xdr:to>
      <xdr:col>2</xdr:col>
      <xdr:colOff>180975</xdr:colOff>
      <xdr:row>24</xdr:row>
      <xdr:rowOff>123825</xdr:rowOff>
    </xdr:to>
    <xdr:sp>
      <xdr:nvSpPr>
        <xdr:cNvPr id="12" name="Rectangle 30"/>
        <xdr:cNvSpPr>
          <a:spLocks/>
        </xdr:cNvSpPr>
      </xdr:nvSpPr>
      <xdr:spPr>
        <a:xfrm>
          <a:off x="1104900" y="4200525"/>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21</xdr:row>
      <xdr:rowOff>47625</xdr:rowOff>
    </xdr:from>
    <xdr:to>
      <xdr:col>2</xdr:col>
      <xdr:colOff>180975</xdr:colOff>
      <xdr:row>21</xdr:row>
      <xdr:rowOff>123825</xdr:rowOff>
    </xdr:to>
    <xdr:sp>
      <xdr:nvSpPr>
        <xdr:cNvPr id="13" name="Rectangle 39"/>
        <xdr:cNvSpPr>
          <a:spLocks/>
        </xdr:cNvSpPr>
      </xdr:nvSpPr>
      <xdr:spPr>
        <a:xfrm>
          <a:off x="1104900" y="371475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47625</xdr:rowOff>
    </xdr:from>
    <xdr:to>
      <xdr:col>2</xdr:col>
      <xdr:colOff>180975</xdr:colOff>
      <xdr:row>19</xdr:row>
      <xdr:rowOff>123825</xdr:rowOff>
    </xdr:to>
    <xdr:sp>
      <xdr:nvSpPr>
        <xdr:cNvPr id="14" name="Rectangle 40"/>
        <xdr:cNvSpPr>
          <a:spLocks/>
        </xdr:cNvSpPr>
      </xdr:nvSpPr>
      <xdr:spPr>
        <a:xfrm>
          <a:off x="1104900" y="339090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381000</xdr:colOff>
      <xdr:row>0</xdr:row>
      <xdr:rowOff>85725</xdr:rowOff>
    </xdr:from>
    <xdr:to>
      <xdr:col>13</xdr:col>
      <xdr:colOff>428625</xdr:colOff>
      <xdr:row>2</xdr:row>
      <xdr:rowOff>285750</xdr:rowOff>
    </xdr:to>
    <xdr:pic>
      <xdr:nvPicPr>
        <xdr:cNvPr id="15" name="LogoKop1"/>
        <xdr:cNvPicPr preferRelativeResize="1">
          <a:picLocks noChangeAspect="1"/>
        </xdr:cNvPicPr>
      </xdr:nvPicPr>
      <xdr:blipFill>
        <a:blip r:embed="rId1"/>
        <a:stretch>
          <a:fillRect/>
        </a:stretch>
      </xdr:blipFill>
      <xdr:spPr>
        <a:xfrm>
          <a:off x="7362825" y="85725"/>
          <a:ext cx="1409700" cy="5524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400050</xdr:colOff>
      <xdr:row>52</xdr:row>
      <xdr:rowOff>9525</xdr:rowOff>
    </xdr:from>
    <xdr:to>
      <xdr:col>33</xdr:col>
      <xdr:colOff>0</xdr:colOff>
      <xdr:row>54</xdr:row>
      <xdr:rowOff>0</xdr:rowOff>
    </xdr:to>
    <xdr:grpSp>
      <xdr:nvGrpSpPr>
        <xdr:cNvPr id="1" name="Group 41"/>
        <xdr:cNvGrpSpPr>
          <a:grpSpLocks/>
        </xdr:cNvGrpSpPr>
      </xdr:nvGrpSpPr>
      <xdr:grpSpPr>
        <a:xfrm>
          <a:off x="8924925" y="8505825"/>
          <a:ext cx="1257300" cy="390525"/>
          <a:chOff x="769" y="35"/>
          <a:chExt cx="110" cy="41"/>
        </a:xfrm>
        <a:solidFill>
          <a:srgbClr val="FFFFFF"/>
        </a:solidFill>
      </xdr:grpSpPr>
      <xdr:sp>
        <xdr:nvSpPr>
          <xdr:cNvPr id="2" name="Rectangle 4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4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4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295275</xdr:colOff>
      <xdr:row>0</xdr:row>
      <xdr:rowOff>0</xdr:rowOff>
    </xdr:from>
    <xdr:to>
      <xdr:col>19</xdr:col>
      <xdr:colOff>657225</xdr:colOff>
      <xdr:row>1</xdr:row>
      <xdr:rowOff>190500</xdr:rowOff>
    </xdr:to>
    <xdr:grpSp>
      <xdr:nvGrpSpPr>
        <xdr:cNvPr id="6" name="Group 46"/>
        <xdr:cNvGrpSpPr>
          <a:grpSpLocks/>
        </xdr:cNvGrpSpPr>
      </xdr:nvGrpSpPr>
      <xdr:grpSpPr>
        <a:xfrm>
          <a:off x="8820150" y="0"/>
          <a:ext cx="1190625" cy="390525"/>
          <a:chOff x="769" y="35"/>
          <a:chExt cx="110" cy="41"/>
        </a:xfrm>
        <a:solidFill>
          <a:srgbClr val="FFFFFF"/>
        </a:solidFill>
      </xdr:grpSpPr>
      <xdr:sp>
        <xdr:nvSpPr>
          <xdr:cNvPr id="7" name="Rectangle 4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4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4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5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17</xdr:col>
      <xdr:colOff>400050</xdr:colOff>
      <xdr:row>139</xdr:row>
      <xdr:rowOff>9525</xdr:rowOff>
    </xdr:from>
    <xdr:to>
      <xdr:col>19</xdr:col>
      <xdr:colOff>9525</xdr:colOff>
      <xdr:row>141</xdr:row>
      <xdr:rowOff>0</xdr:rowOff>
    </xdr:to>
    <xdr:grpSp>
      <xdr:nvGrpSpPr>
        <xdr:cNvPr id="11" name="Group 56"/>
        <xdr:cNvGrpSpPr>
          <a:grpSpLocks/>
        </xdr:cNvGrpSpPr>
      </xdr:nvGrpSpPr>
      <xdr:grpSpPr>
        <a:xfrm>
          <a:off x="8096250" y="22669500"/>
          <a:ext cx="1266825" cy="314325"/>
          <a:chOff x="769" y="35"/>
          <a:chExt cx="110" cy="41"/>
        </a:xfrm>
        <a:solidFill>
          <a:srgbClr val="FFFFFF"/>
        </a:solidFill>
      </xdr:grpSpPr>
      <xdr:sp>
        <xdr:nvSpPr>
          <xdr:cNvPr id="12" name="Rectangle 5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5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5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6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295275</xdr:colOff>
      <xdr:row>94</xdr:row>
      <xdr:rowOff>0</xdr:rowOff>
    </xdr:from>
    <xdr:to>
      <xdr:col>19</xdr:col>
      <xdr:colOff>657225</xdr:colOff>
      <xdr:row>95</xdr:row>
      <xdr:rowOff>161925</xdr:rowOff>
    </xdr:to>
    <xdr:grpSp>
      <xdr:nvGrpSpPr>
        <xdr:cNvPr id="16" name="Group 61"/>
        <xdr:cNvGrpSpPr>
          <a:grpSpLocks/>
        </xdr:cNvGrpSpPr>
      </xdr:nvGrpSpPr>
      <xdr:grpSpPr>
        <a:xfrm>
          <a:off x="8820150" y="15373350"/>
          <a:ext cx="1190625" cy="323850"/>
          <a:chOff x="769" y="35"/>
          <a:chExt cx="110" cy="41"/>
        </a:xfrm>
        <a:solidFill>
          <a:srgbClr val="FFFFFF"/>
        </a:solidFill>
      </xdr:grpSpPr>
      <xdr:sp>
        <xdr:nvSpPr>
          <xdr:cNvPr id="17" name="Rectangle 6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6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 name="Picture 6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0" name="Rectangle 6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0</xdr:row>
      <xdr:rowOff>0</xdr:rowOff>
    </xdr:from>
    <xdr:to>
      <xdr:col>5</xdr:col>
      <xdr:colOff>0</xdr:colOff>
      <xdr:row>1</xdr:row>
      <xdr:rowOff>190500</xdr:rowOff>
    </xdr:to>
    <xdr:grpSp>
      <xdr:nvGrpSpPr>
        <xdr:cNvPr id="1" name="Group 23"/>
        <xdr:cNvGrpSpPr>
          <a:grpSpLocks/>
        </xdr:cNvGrpSpPr>
      </xdr:nvGrpSpPr>
      <xdr:grpSpPr>
        <a:xfrm>
          <a:off x="8505825" y="0"/>
          <a:ext cx="1047750" cy="390525"/>
          <a:chOff x="769" y="35"/>
          <a:chExt cx="110" cy="41"/>
        </a:xfrm>
        <a:solidFill>
          <a:srgbClr val="FFFFFF"/>
        </a:solidFill>
      </xdr:grpSpPr>
      <xdr:sp>
        <xdr:nvSpPr>
          <xdr:cNvPr id="2" name="Rectangle 2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2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2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2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0</xdr:row>
      <xdr:rowOff>19050</xdr:rowOff>
    </xdr:from>
    <xdr:to>
      <xdr:col>5</xdr:col>
      <xdr:colOff>390525</xdr:colOff>
      <xdr:row>2</xdr:row>
      <xdr:rowOff>19050</xdr:rowOff>
    </xdr:to>
    <xdr:grpSp>
      <xdr:nvGrpSpPr>
        <xdr:cNvPr id="1" name="Group 1"/>
        <xdr:cNvGrpSpPr>
          <a:grpSpLocks/>
        </xdr:cNvGrpSpPr>
      </xdr:nvGrpSpPr>
      <xdr:grpSpPr>
        <a:xfrm>
          <a:off x="8086725" y="19050"/>
          <a:ext cx="1381125" cy="352425"/>
          <a:chOff x="769" y="35"/>
          <a:chExt cx="110" cy="41"/>
        </a:xfrm>
        <a:solidFill>
          <a:srgbClr val="FFFFFF"/>
        </a:solidFill>
      </xdr:grpSpPr>
      <xdr:sp>
        <xdr:nvSpPr>
          <xdr:cNvPr id="2" name="Rectangle 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114300</xdr:colOff>
      <xdr:row>0</xdr:row>
      <xdr:rowOff>19050</xdr:rowOff>
    </xdr:from>
    <xdr:to>
      <xdr:col>5</xdr:col>
      <xdr:colOff>390525</xdr:colOff>
      <xdr:row>2</xdr:row>
      <xdr:rowOff>19050</xdr:rowOff>
    </xdr:to>
    <xdr:grpSp>
      <xdr:nvGrpSpPr>
        <xdr:cNvPr id="6" name="Group 115"/>
        <xdr:cNvGrpSpPr>
          <a:grpSpLocks/>
        </xdr:cNvGrpSpPr>
      </xdr:nvGrpSpPr>
      <xdr:grpSpPr>
        <a:xfrm>
          <a:off x="8086725" y="19050"/>
          <a:ext cx="1381125" cy="352425"/>
          <a:chOff x="769" y="35"/>
          <a:chExt cx="110" cy="41"/>
        </a:xfrm>
        <a:solidFill>
          <a:srgbClr val="FFFFFF"/>
        </a:solidFill>
      </xdr:grpSpPr>
      <xdr:sp>
        <xdr:nvSpPr>
          <xdr:cNvPr id="7" name="Rectangle 11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11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11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11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123825</xdr:colOff>
      <xdr:row>60</xdr:row>
      <xdr:rowOff>19050</xdr:rowOff>
    </xdr:from>
    <xdr:to>
      <xdr:col>5</xdr:col>
      <xdr:colOff>409575</xdr:colOff>
      <xdr:row>62</xdr:row>
      <xdr:rowOff>19050</xdr:rowOff>
    </xdr:to>
    <xdr:grpSp>
      <xdr:nvGrpSpPr>
        <xdr:cNvPr id="11" name="Group 120"/>
        <xdr:cNvGrpSpPr>
          <a:grpSpLocks/>
        </xdr:cNvGrpSpPr>
      </xdr:nvGrpSpPr>
      <xdr:grpSpPr>
        <a:xfrm>
          <a:off x="8096250" y="9286875"/>
          <a:ext cx="1390650" cy="304800"/>
          <a:chOff x="769" y="35"/>
          <a:chExt cx="110" cy="41"/>
        </a:xfrm>
        <a:solidFill>
          <a:srgbClr val="FFFFFF"/>
        </a:solidFill>
      </xdr:grpSpPr>
      <xdr:sp>
        <xdr:nvSpPr>
          <xdr:cNvPr id="12" name="Rectangle 121"/>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122"/>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123"/>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124"/>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123825</xdr:colOff>
      <xdr:row>100</xdr:row>
      <xdr:rowOff>19050</xdr:rowOff>
    </xdr:from>
    <xdr:to>
      <xdr:col>5</xdr:col>
      <xdr:colOff>409575</xdr:colOff>
      <xdr:row>102</xdr:row>
      <xdr:rowOff>19050</xdr:rowOff>
    </xdr:to>
    <xdr:grpSp>
      <xdr:nvGrpSpPr>
        <xdr:cNvPr id="16" name="Group 125"/>
        <xdr:cNvGrpSpPr>
          <a:grpSpLocks/>
        </xdr:cNvGrpSpPr>
      </xdr:nvGrpSpPr>
      <xdr:grpSpPr>
        <a:xfrm>
          <a:off x="8096250" y="15382875"/>
          <a:ext cx="1390650" cy="304800"/>
          <a:chOff x="769" y="35"/>
          <a:chExt cx="110" cy="41"/>
        </a:xfrm>
        <a:solidFill>
          <a:srgbClr val="FFFFFF"/>
        </a:solidFill>
      </xdr:grpSpPr>
      <xdr:sp>
        <xdr:nvSpPr>
          <xdr:cNvPr id="17" name="Rectangle 12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12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 name="Picture 12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0" name="Rectangle 12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0</xdr:row>
      <xdr:rowOff>57150</xdr:rowOff>
    </xdr:from>
    <xdr:to>
      <xdr:col>4</xdr:col>
      <xdr:colOff>438150</xdr:colOff>
      <xdr:row>2</xdr:row>
      <xdr:rowOff>47625</xdr:rowOff>
    </xdr:to>
    <xdr:grpSp>
      <xdr:nvGrpSpPr>
        <xdr:cNvPr id="1" name="Group 1"/>
        <xdr:cNvGrpSpPr>
          <a:grpSpLocks/>
        </xdr:cNvGrpSpPr>
      </xdr:nvGrpSpPr>
      <xdr:grpSpPr>
        <a:xfrm>
          <a:off x="4514850" y="57150"/>
          <a:ext cx="581025" cy="390525"/>
          <a:chOff x="758" y="1"/>
          <a:chExt cx="110" cy="41"/>
        </a:xfrm>
        <a:solidFill>
          <a:srgbClr val="FFFFFF"/>
        </a:solidFill>
      </xdr:grpSpPr>
      <xdr:sp>
        <xdr:nvSpPr>
          <xdr:cNvPr id="2" name="Rectangle 2"/>
          <xdr:cNvSpPr>
            <a:spLocks/>
          </xdr:cNvSpPr>
        </xdr:nvSpPr>
        <xdr:spPr>
          <a:xfrm>
            <a:off x="779"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758" y="13"/>
            <a:ext cx="4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
          <xdr:cNvPicPr preferRelativeResize="1">
            <a:picLocks noChangeAspect="1"/>
          </xdr:cNvPicPr>
        </xdr:nvPicPr>
        <xdr:blipFill>
          <a:blip r:embed="rId1"/>
          <a:stretch>
            <a:fillRect/>
          </a:stretch>
        </xdr:blipFill>
        <xdr:spPr>
          <a:xfrm>
            <a:off x="761" y="1"/>
            <a:ext cx="83" cy="39"/>
          </a:xfrm>
          <a:prstGeom prst="rect">
            <a:avLst/>
          </a:prstGeom>
          <a:noFill/>
          <a:ln w="9525" cmpd="sng">
            <a:noFill/>
          </a:ln>
        </xdr:spPr>
      </xdr:pic>
      <xdr:sp>
        <xdr:nvSpPr>
          <xdr:cNvPr id="5" name="Rectangle 5"/>
          <xdr:cNvSpPr>
            <a:spLocks/>
          </xdr:cNvSpPr>
        </xdr:nvSpPr>
        <xdr:spPr>
          <a:xfrm>
            <a:off x="823"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762000</xdr:colOff>
      <xdr:row>0</xdr:row>
      <xdr:rowOff>0</xdr:rowOff>
    </xdr:from>
    <xdr:to>
      <xdr:col>4</xdr:col>
      <xdr:colOff>104775</xdr:colOff>
      <xdr:row>1</xdr:row>
      <xdr:rowOff>190500</xdr:rowOff>
    </xdr:to>
    <xdr:grpSp>
      <xdr:nvGrpSpPr>
        <xdr:cNvPr id="1" name="Group 1"/>
        <xdr:cNvGrpSpPr>
          <a:grpSpLocks/>
        </xdr:cNvGrpSpPr>
      </xdr:nvGrpSpPr>
      <xdr:grpSpPr>
        <a:xfrm>
          <a:off x="6172200" y="0"/>
          <a:ext cx="1800225" cy="390525"/>
          <a:chOff x="769" y="1"/>
          <a:chExt cx="110" cy="41"/>
        </a:xfrm>
        <a:solidFill>
          <a:srgbClr val="FFFFFF"/>
        </a:solidFill>
      </xdr:grpSpPr>
      <xdr:grpSp>
        <xdr:nvGrpSpPr>
          <xdr:cNvPr id="2" name="Group 2"/>
          <xdr:cNvGrpSpPr>
            <a:grpSpLocks/>
          </xdr:cNvGrpSpPr>
        </xdr:nvGrpSpPr>
        <xdr:grpSpPr>
          <a:xfrm>
            <a:off x="846" y="1"/>
            <a:ext cx="0" cy="41"/>
            <a:chOff x="769" y="35"/>
            <a:chExt cx="110" cy="41"/>
          </a:xfrm>
          <a:solidFill>
            <a:srgbClr val="FFFFFF"/>
          </a:solidFill>
        </xdr:grpSpPr>
        <xdr:sp>
          <xdr:nvSpPr>
            <xdr:cNvPr id="3" name="Rectangle 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 name="Rectangle 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 name="Rectangle 7"/>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769" y="13"/>
            <a:ext cx="93" cy="2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9"/>
          <xdr:cNvPicPr preferRelativeResize="1">
            <a:picLocks noChangeAspect="1"/>
          </xdr:cNvPicPr>
        </xdr:nvPicPr>
        <xdr:blipFill>
          <a:blip r:embed="rId1"/>
          <a:stretch>
            <a:fillRect/>
          </a:stretch>
        </xdr:blipFill>
        <xdr:spPr>
          <a:xfrm>
            <a:off x="772" y="1"/>
            <a:ext cx="83" cy="39"/>
          </a:xfrm>
          <a:prstGeom prst="rect">
            <a:avLst/>
          </a:prstGeom>
          <a:noFill/>
          <a:ln w="9525" cmpd="sng">
            <a:noFill/>
          </a:ln>
        </xdr:spPr>
      </xdr:pic>
      <xdr:sp>
        <xdr:nvSpPr>
          <xdr:cNvPr id="10" name="Rectangle 10"/>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1885950</xdr:colOff>
      <xdr:row>0</xdr:row>
      <xdr:rowOff>19050</xdr:rowOff>
    </xdr:from>
    <xdr:to>
      <xdr:col>8</xdr:col>
      <xdr:colOff>304800</xdr:colOff>
      <xdr:row>2</xdr:row>
      <xdr:rowOff>9525</xdr:rowOff>
    </xdr:to>
    <xdr:grpSp>
      <xdr:nvGrpSpPr>
        <xdr:cNvPr id="1" name="Group 16"/>
        <xdr:cNvGrpSpPr>
          <a:grpSpLocks/>
        </xdr:cNvGrpSpPr>
      </xdr:nvGrpSpPr>
      <xdr:grpSpPr>
        <a:xfrm>
          <a:off x="6705600" y="19050"/>
          <a:ext cx="1800225" cy="390525"/>
          <a:chOff x="769" y="1"/>
          <a:chExt cx="110" cy="41"/>
        </a:xfrm>
        <a:solidFill>
          <a:srgbClr val="FFFFFF"/>
        </a:solidFill>
      </xdr:grpSpPr>
      <xdr:grpSp>
        <xdr:nvGrpSpPr>
          <xdr:cNvPr id="2" name="Group 1"/>
          <xdr:cNvGrpSpPr>
            <a:grpSpLocks/>
          </xdr:cNvGrpSpPr>
        </xdr:nvGrpSpPr>
        <xdr:grpSpPr>
          <a:xfrm>
            <a:off x="846" y="1"/>
            <a:ext cx="0" cy="41"/>
            <a:chOff x="769" y="35"/>
            <a:chExt cx="110" cy="41"/>
          </a:xfrm>
          <a:solidFill>
            <a:srgbClr val="FFFFFF"/>
          </a:solidFill>
        </xdr:grpSpPr>
        <xdr:sp>
          <xdr:nvSpPr>
            <xdr:cNvPr id="3" name="Rectangle 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 name="Rectangle 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 name="Rectangle 12"/>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13"/>
          <xdr:cNvSpPr>
            <a:spLocks/>
          </xdr:cNvSpPr>
        </xdr:nvSpPr>
        <xdr:spPr>
          <a:xfrm>
            <a:off x="769" y="13"/>
            <a:ext cx="93" cy="2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14"/>
          <xdr:cNvPicPr preferRelativeResize="1">
            <a:picLocks noChangeAspect="1"/>
          </xdr:cNvPicPr>
        </xdr:nvPicPr>
        <xdr:blipFill>
          <a:blip r:embed="rId1"/>
          <a:stretch>
            <a:fillRect/>
          </a:stretch>
        </xdr:blipFill>
        <xdr:spPr>
          <a:xfrm>
            <a:off x="772" y="1"/>
            <a:ext cx="83" cy="39"/>
          </a:xfrm>
          <a:prstGeom prst="rect">
            <a:avLst/>
          </a:prstGeom>
          <a:noFill/>
          <a:ln w="9525" cmpd="sng">
            <a:noFill/>
          </a:ln>
        </xdr:spPr>
      </xdr:pic>
      <xdr:sp>
        <xdr:nvSpPr>
          <xdr:cNvPr id="10" name="Rectangle 15"/>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9525</xdr:rowOff>
    </xdr:from>
    <xdr:to>
      <xdr:col>4</xdr:col>
      <xdr:colOff>0</xdr:colOff>
      <xdr:row>2</xdr:row>
      <xdr:rowOff>0</xdr:rowOff>
    </xdr:to>
    <xdr:grpSp>
      <xdr:nvGrpSpPr>
        <xdr:cNvPr id="1" name="Group 6"/>
        <xdr:cNvGrpSpPr>
          <a:grpSpLocks/>
        </xdr:cNvGrpSpPr>
      </xdr:nvGrpSpPr>
      <xdr:grpSpPr>
        <a:xfrm>
          <a:off x="9001125" y="9525"/>
          <a:ext cx="0" cy="381000"/>
          <a:chOff x="769" y="35"/>
          <a:chExt cx="110" cy="41"/>
        </a:xfrm>
        <a:solidFill>
          <a:srgbClr val="FFFFFF"/>
        </a:solidFill>
      </xdr:grpSpPr>
      <xdr:sp>
        <xdr:nvSpPr>
          <xdr:cNvPr id="2" name="Rectangle 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0</xdr:colOff>
      <xdr:row>36</xdr:row>
      <xdr:rowOff>9525</xdr:rowOff>
    </xdr:from>
    <xdr:to>
      <xdr:col>4</xdr:col>
      <xdr:colOff>0</xdr:colOff>
      <xdr:row>38</xdr:row>
      <xdr:rowOff>0</xdr:rowOff>
    </xdr:to>
    <xdr:grpSp>
      <xdr:nvGrpSpPr>
        <xdr:cNvPr id="6" name="Group 21"/>
        <xdr:cNvGrpSpPr>
          <a:grpSpLocks/>
        </xdr:cNvGrpSpPr>
      </xdr:nvGrpSpPr>
      <xdr:grpSpPr>
        <a:xfrm>
          <a:off x="9001125" y="12887325"/>
          <a:ext cx="0" cy="342900"/>
          <a:chOff x="769" y="35"/>
          <a:chExt cx="110" cy="41"/>
        </a:xfrm>
        <a:solidFill>
          <a:srgbClr val="FFFFFF"/>
        </a:solidFill>
      </xdr:grpSpPr>
      <xdr:sp>
        <xdr:nvSpPr>
          <xdr:cNvPr id="7" name="Rectangle 2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2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2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2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2</xdr:col>
      <xdr:colOff>1276350</xdr:colOff>
      <xdr:row>0</xdr:row>
      <xdr:rowOff>9525</xdr:rowOff>
    </xdr:from>
    <xdr:to>
      <xdr:col>5</xdr:col>
      <xdr:colOff>0</xdr:colOff>
      <xdr:row>2</xdr:row>
      <xdr:rowOff>9525</xdr:rowOff>
    </xdr:to>
    <xdr:grpSp>
      <xdr:nvGrpSpPr>
        <xdr:cNvPr id="11" name="Group 41"/>
        <xdr:cNvGrpSpPr>
          <a:grpSpLocks/>
        </xdr:cNvGrpSpPr>
      </xdr:nvGrpSpPr>
      <xdr:grpSpPr>
        <a:xfrm>
          <a:off x="8334375" y="9525"/>
          <a:ext cx="1047750" cy="390525"/>
          <a:chOff x="769" y="1"/>
          <a:chExt cx="110" cy="41"/>
        </a:xfrm>
        <a:solidFill>
          <a:srgbClr val="FFFFFF"/>
        </a:solidFill>
      </xdr:grpSpPr>
      <xdr:grpSp>
        <xdr:nvGrpSpPr>
          <xdr:cNvPr id="12" name="Group 42"/>
          <xdr:cNvGrpSpPr>
            <a:grpSpLocks/>
          </xdr:cNvGrpSpPr>
        </xdr:nvGrpSpPr>
        <xdr:grpSpPr>
          <a:xfrm>
            <a:off x="846" y="1"/>
            <a:ext cx="0" cy="41"/>
            <a:chOff x="769" y="35"/>
            <a:chExt cx="110" cy="41"/>
          </a:xfrm>
          <a:solidFill>
            <a:srgbClr val="FFFFFF"/>
          </a:solidFill>
        </xdr:grpSpPr>
        <xdr:sp>
          <xdr:nvSpPr>
            <xdr:cNvPr id="13" name="Rectangle 4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 name="Rectangle 4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5" name="Picture 4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6" name="Rectangle 4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7" name="Rectangle 47"/>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48"/>
          <xdr:cNvSpPr>
            <a:spLocks/>
          </xdr:cNvSpPr>
        </xdr:nvSpPr>
        <xdr:spPr>
          <a:xfrm>
            <a:off x="769" y="13"/>
            <a:ext cx="93" cy="2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 name="Picture 49"/>
          <xdr:cNvPicPr preferRelativeResize="1">
            <a:picLocks noChangeAspect="1"/>
          </xdr:cNvPicPr>
        </xdr:nvPicPr>
        <xdr:blipFill>
          <a:blip r:embed="rId1"/>
          <a:stretch>
            <a:fillRect/>
          </a:stretch>
        </xdr:blipFill>
        <xdr:spPr>
          <a:xfrm>
            <a:off x="772" y="1"/>
            <a:ext cx="83" cy="39"/>
          </a:xfrm>
          <a:prstGeom prst="rect">
            <a:avLst/>
          </a:prstGeom>
          <a:noFill/>
          <a:ln w="9525" cmpd="sng">
            <a:noFill/>
          </a:ln>
        </xdr:spPr>
      </xdr:pic>
      <xdr:sp>
        <xdr:nvSpPr>
          <xdr:cNvPr id="20" name="Rectangle 50"/>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1276350</xdr:colOff>
      <xdr:row>36</xdr:row>
      <xdr:rowOff>9525</xdr:rowOff>
    </xdr:from>
    <xdr:to>
      <xdr:col>5</xdr:col>
      <xdr:colOff>0</xdr:colOff>
      <xdr:row>38</xdr:row>
      <xdr:rowOff>0</xdr:rowOff>
    </xdr:to>
    <xdr:grpSp>
      <xdr:nvGrpSpPr>
        <xdr:cNvPr id="21" name="Group 51"/>
        <xdr:cNvGrpSpPr>
          <a:grpSpLocks/>
        </xdr:cNvGrpSpPr>
      </xdr:nvGrpSpPr>
      <xdr:grpSpPr>
        <a:xfrm>
          <a:off x="8334375" y="12887325"/>
          <a:ext cx="1047750" cy="342900"/>
          <a:chOff x="769" y="1"/>
          <a:chExt cx="110" cy="41"/>
        </a:xfrm>
        <a:solidFill>
          <a:srgbClr val="FFFFFF"/>
        </a:solidFill>
      </xdr:grpSpPr>
      <xdr:grpSp>
        <xdr:nvGrpSpPr>
          <xdr:cNvPr id="22" name="Group 52"/>
          <xdr:cNvGrpSpPr>
            <a:grpSpLocks/>
          </xdr:cNvGrpSpPr>
        </xdr:nvGrpSpPr>
        <xdr:grpSpPr>
          <a:xfrm>
            <a:off x="846" y="1"/>
            <a:ext cx="0" cy="41"/>
            <a:chOff x="769" y="35"/>
            <a:chExt cx="110" cy="41"/>
          </a:xfrm>
          <a:solidFill>
            <a:srgbClr val="FFFFFF"/>
          </a:solidFill>
        </xdr:grpSpPr>
        <xdr:sp>
          <xdr:nvSpPr>
            <xdr:cNvPr id="23" name="Rectangle 5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4" name="Rectangle 5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5" name="Picture 5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6" name="Rectangle 5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7" name="Rectangle 57"/>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8" name="Rectangle 58"/>
          <xdr:cNvSpPr>
            <a:spLocks/>
          </xdr:cNvSpPr>
        </xdr:nvSpPr>
        <xdr:spPr>
          <a:xfrm>
            <a:off x="769" y="13"/>
            <a:ext cx="93" cy="2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9" name="Picture 59"/>
          <xdr:cNvPicPr preferRelativeResize="1">
            <a:picLocks noChangeAspect="1"/>
          </xdr:cNvPicPr>
        </xdr:nvPicPr>
        <xdr:blipFill>
          <a:blip r:embed="rId1"/>
          <a:stretch>
            <a:fillRect/>
          </a:stretch>
        </xdr:blipFill>
        <xdr:spPr>
          <a:xfrm>
            <a:off x="772" y="1"/>
            <a:ext cx="83" cy="39"/>
          </a:xfrm>
          <a:prstGeom prst="rect">
            <a:avLst/>
          </a:prstGeom>
          <a:noFill/>
          <a:ln w="9525" cmpd="sng">
            <a:noFill/>
          </a:ln>
        </xdr:spPr>
      </xdr:pic>
      <xdr:sp>
        <xdr:nvSpPr>
          <xdr:cNvPr id="30" name="Rectangle 60"/>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0</xdr:colOff>
      <xdr:row>66</xdr:row>
      <xdr:rowOff>0</xdr:rowOff>
    </xdr:from>
    <xdr:to>
      <xdr:col>4</xdr:col>
      <xdr:colOff>0</xdr:colOff>
      <xdr:row>67</xdr:row>
      <xdr:rowOff>0</xdr:rowOff>
    </xdr:to>
    <xdr:grpSp>
      <xdr:nvGrpSpPr>
        <xdr:cNvPr id="31" name="Group 61"/>
        <xdr:cNvGrpSpPr>
          <a:grpSpLocks/>
        </xdr:cNvGrpSpPr>
      </xdr:nvGrpSpPr>
      <xdr:grpSpPr>
        <a:xfrm>
          <a:off x="9001125" y="18516600"/>
          <a:ext cx="0" cy="200025"/>
          <a:chOff x="769" y="35"/>
          <a:chExt cx="110" cy="41"/>
        </a:xfrm>
        <a:solidFill>
          <a:srgbClr val="FFFFFF"/>
        </a:solidFill>
      </xdr:grpSpPr>
      <xdr:sp>
        <xdr:nvSpPr>
          <xdr:cNvPr id="32" name="Rectangle 6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3" name="Rectangle 6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4" name="Picture 6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5" name="Rectangle 6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1304925</xdr:colOff>
      <xdr:row>53</xdr:row>
      <xdr:rowOff>76200</xdr:rowOff>
    </xdr:from>
    <xdr:to>
      <xdr:col>5</xdr:col>
      <xdr:colOff>19050</xdr:colOff>
      <xdr:row>66</xdr:row>
      <xdr:rowOff>190500</xdr:rowOff>
    </xdr:to>
    <xdr:grpSp>
      <xdr:nvGrpSpPr>
        <xdr:cNvPr id="36" name="Group 76"/>
        <xdr:cNvGrpSpPr>
          <a:grpSpLocks/>
        </xdr:cNvGrpSpPr>
      </xdr:nvGrpSpPr>
      <xdr:grpSpPr>
        <a:xfrm>
          <a:off x="8362950" y="18430875"/>
          <a:ext cx="1038225" cy="276225"/>
          <a:chOff x="769" y="1"/>
          <a:chExt cx="110" cy="41"/>
        </a:xfrm>
        <a:solidFill>
          <a:srgbClr val="FFFFFF"/>
        </a:solidFill>
      </xdr:grpSpPr>
      <xdr:grpSp>
        <xdr:nvGrpSpPr>
          <xdr:cNvPr id="37" name="Group 77"/>
          <xdr:cNvGrpSpPr>
            <a:grpSpLocks/>
          </xdr:cNvGrpSpPr>
        </xdr:nvGrpSpPr>
        <xdr:grpSpPr>
          <a:xfrm>
            <a:off x="846" y="1"/>
            <a:ext cx="0" cy="41"/>
            <a:chOff x="769" y="35"/>
            <a:chExt cx="110" cy="41"/>
          </a:xfrm>
          <a:solidFill>
            <a:srgbClr val="FFFFFF"/>
          </a:solidFill>
        </xdr:grpSpPr>
        <xdr:sp>
          <xdr:nvSpPr>
            <xdr:cNvPr id="38" name="Rectangle 7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9" name="Rectangle 7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0" name="Picture 8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1" name="Rectangle 8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42" name="Rectangle 82"/>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3" name="Rectangle 83"/>
          <xdr:cNvSpPr>
            <a:spLocks/>
          </xdr:cNvSpPr>
        </xdr:nvSpPr>
        <xdr:spPr>
          <a:xfrm>
            <a:off x="769" y="13"/>
            <a:ext cx="93" cy="2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4" name="Picture 84"/>
          <xdr:cNvPicPr preferRelativeResize="1">
            <a:picLocks noChangeAspect="1"/>
          </xdr:cNvPicPr>
        </xdr:nvPicPr>
        <xdr:blipFill>
          <a:blip r:embed="rId1"/>
          <a:stretch>
            <a:fillRect/>
          </a:stretch>
        </xdr:blipFill>
        <xdr:spPr>
          <a:xfrm>
            <a:off x="772" y="1"/>
            <a:ext cx="83" cy="39"/>
          </a:xfrm>
          <a:prstGeom prst="rect">
            <a:avLst/>
          </a:prstGeom>
          <a:noFill/>
          <a:ln w="9525" cmpd="sng">
            <a:noFill/>
          </a:ln>
        </xdr:spPr>
      </xdr:pic>
      <xdr:sp>
        <xdr:nvSpPr>
          <xdr:cNvPr id="45" name="Rectangle 85"/>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1257300</xdr:colOff>
      <xdr:row>22</xdr:row>
      <xdr:rowOff>28575</xdr:rowOff>
    </xdr:from>
    <xdr:to>
      <xdr:col>4</xdr:col>
      <xdr:colOff>361950</xdr:colOff>
      <xdr:row>24</xdr:row>
      <xdr:rowOff>0</xdr:rowOff>
    </xdr:to>
    <xdr:grpSp>
      <xdr:nvGrpSpPr>
        <xdr:cNvPr id="46" name="Group 91"/>
        <xdr:cNvGrpSpPr>
          <a:grpSpLocks/>
        </xdr:cNvGrpSpPr>
      </xdr:nvGrpSpPr>
      <xdr:grpSpPr>
        <a:xfrm>
          <a:off x="8315325" y="6991350"/>
          <a:ext cx="1047750" cy="361950"/>
          <a:chOff x="769" y="1"/>
          <a:chExt cx="110" cy="41"/>
        </a:xfrm>
        <a:solidFill>
          <a:srgbClr val="FFFFFF"/>
        </a:solidFill>
      </xdr:grpSpPr>
      <xdr:grpSp>
        <xdr:nvGrpSpPr>
          <xdr:cNvPr id="47" name="Group 92"/>
          <xdr:cNvGrpSpPr>
            <a:grpSpLocks/>
          </xdr:cNvGrpSpPr>
        </xdr:nvGrpSpPr>
        <xdr:grpSpPr>
          <a:xfrm>
            <a:off x="846" y="1"/>
            <a:ext cx="0" cy="41"/>
            <a:chOff x="769" y="35"/>
            <a:chExt cx="110" cy="41"/>
          </a:xfrm>
          <a:solidFill>
            <a:srgbClr val="FFFFFF"/>
          </a:solidFill>
        </xdr:grpSpPr>
        <xdr:sp>
          <xdr:nvSpPr>
            <xdr:cNvPr id="48" name="Rectangle 9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9" name="Rectangle 9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0" name="Picture 9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1" name="Rectangle 9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52" name="Rectangle 97"/>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3" name="Rectangle 98"/>
          <xdr:cNvSpPr>
            <a:spLocks/>
          </xdr:cNvSpPr>
        </xdr:nvSpPr>
        <xdr:spPr>
          <a:xfrm>
            <a:off x="769" y="13"/>
            <a:ext cx="93" cy="2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4" name="Picture 99"/>
          <xdr:cNvPicPr preferRelativeResize="1">
            <a:picLocks noChangeAspect="1"/>
          </xdr:cNvPicPr>
        </xdr:nvPicPr>
        <xdr:blipFill>
          <a:blip r:embed="rId1"/>
          <a:stretch>
            <a:fillRect/>
          </a:stretch>
        </xdr:blipFill>
        <xdr:spPr>
          <a:xfrm>
            <a:off x="772" y="1"/>
            <a:ext cx="83" cy="39"/>
          </a:xfrm>
          <a:prstGeom prst="rect">
            <a:avLst/>
          </a:prstGeom>
          <a:noFill/>
          <a:ln w="9525" cmpd="sng">
            <a:noFill/>
          </a:ln>
        </xdr:spPr>
      </xdr:pic>
      <xdr:sp>
        <xdr:nvSpPr>
          <xdr:cNvPr id="55" name="Rectangle 100"/>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771525</xdr:colOff>
      <xdr:row>0</xdr:row>
      <xdr:rowOff>9525</xdr:rowOff>
    </xdr:from>
    <xdr:to>
      <xdr:col>9</xdr:col>
      <xdr:colOff>790575</xdr:colOff>
      <xdr:row>2</xdr:row>
      <xdr:rowOff>0</xdr:rowOff>
    </xdr:to>
    <xdr:grpSp>
      <xdr:nvGrpSpPr>
        <xdr:cNvPr id="1" name="Group 2"/>
        <xdr:cNvGrpSpPr>
          <a:grpSpLocks/>
        </xdr:cNvGrpSpPr>
      </xdr:nvGrpSpPr>
      <xdr:grpSpPr>
        <a:xfrm>
          <a:off x="7915275" y="9525"/>
          <a:ext cx="828675" cy="390525"/>
          <a:chOff x="769" y="35"/>
          <a:chExt cx="110" cy="41"/>
        </a:xfrm>
        <a:solidFill>
          <a:srgbClr val="FFFFFF"/>
        </a:solidFill>
      </xdr:grpSpPr>
      <xdr:sp>
        <xdr:nvSpPr>
          <xdr:cNvPr id="2" name="Rectangle 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28575</xdr:colOff>
      <xdr:row>45</xdr:row>
      <xdr:rowOff>571500</xdr:rowOff>
    </xdr:from>
    <xdr:to>
      <xdr:col>10</xdr:col>
      <xdr:colOff>9525</xdr:colOff>
      <xdr:row>46</xdr:row>
      <xdr:rowOff>142875</xdr:rowOff>
    </xdr:to>
    <xdr:grpSp>
      <xdr:nvGrpSpPr>
        <xdr:cNvPr id="6" name="Group 7"/>
        <xdr:cNvGrpSpPr>
          <a:grpSpLocks/>
        </xdr:cNvGrpSpPr>
      </xdr:nvGrpSpPr>
      <xdr:grpSpPr>
        <a:xfrm>
          <a:off x="7981950" y="7610475"/>
          <a:ext cx="790575" cy="180975"/>
          <a:chOff x="769" y="35"/>
          <a:chExt cx="110" cy="41"/>
        </a:xfrm>
        <a:solidFill>
          <a:srgbClr val="FFFFFF"/>
        </a:solidFill>
      </xdr:grpSpPr>
      <xdr:sp>
        <xdr:nvSpPr>
          <xdr:cNvPr id="7" name="Rectangle 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1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1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28575</xdr:rowOff>
    </xdr:from>
    <xdr:to>
      <xdr:col>9</xdr:col>
      <xdr:colOff>619125</xdr:colOff>
      <xdr:row>2</xdr:row>
      <xdr:rowOff>19050</xdr:rowOff>
    </xdr:to>
    <xdr:grpSp>
      <xdr:nvGrpSpPr>
        <xdr:cNvPr id="1" name="Group 1"/>
        <xdr:cNvGrpSpPr>
          <a:grpSpLocks/>
        </xdr:cNvGrpSpPr>
      </xdr:nvGrpSpPr>
      <xdr:grpSpPr>
        <a:xfrm>
          <a:off x="8620125" y="28575"/>
          <a:ext cx="609600" cy="390525"/>
          <a:chOff x="769" y="35"/>
          <a:chExt cx="110" cy="41"/>
        </a:xfrm>
        <a:solidFill>
          <a:srgbClr val="FFFFFF"/>
        </a:solidFill>
      </xdr:grpSpPr>
      <xdr:sp>
        <xdr:nvSpPr>
          <xdr:cNvPr id="2" name="Rectangle 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9525</xdr:colOff>
      <xdr:row>47</xdr:row>
      <xdr:rowOff>28575</xdr:rowOff>
    </xdr:from>
    <xdr:to>
      <xdr:col>9</xdr:col>
      <xdr:colOff>619125</xdr:colOff>
      <xdr:row>49</xdr:row>
      <xdr:rowOff>19050</xdr:rowOff>
    </xdr:to>
    <xdr:grpSp>
      <xdr:nvGrpSpPr>
        <xdr:cNvPr id="6" name="Group 7"/>
        <xdr:cNvGrpSpPr>
          <a:grpSpLocks/>
        </xdr:cNvGrpSpPr>
      </xdr:nvGrpSpPr>
      <xdr:grpSpPr>
        <a:xfrm>
          <a:off x="8620125" y="7296150"/>
          <a:ext cx="609600" cy="342900"/>
          <a:chOff x="769" y="35"/>
          <a:chExt cx="110" cy="41"/>
        </a:xfrm>
        <a:solidFill>
          <a:srgbClr val="FFFFFF"/>
        </a:solidFill>
      </xdr:grpSpPr>
      <xdr:sp>
        <xdr:nvSpPr>
          <xdr:cNvPr id="7" name="Rectangle 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1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1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0</xdr:row>
      <xdr:rowOff>28575</xdr:rowOff>
    </xdr:from>
    <xdr:to>
      <xdr:col>12</xdr:col>
      <xdr:colOff>666750</xdr:colOff>
      <xdr:row>2</xdr:row>
      <xdr:rowOff>19050</xdr:rowOff>
    </xdr:to>
    <xdr:grpSp>
      <xdr:nvGrpSpPr>
        <xdr:cNvPr id="1" name="Group 6"/>
        <xdr:cNvGrpSpPr>
          <a:grpSpLocks/>
        </xdr:cNvGrpSpPr>
      </xdr:nvGrpSpPr>
      <xdr:grpSpPr>
        <a:xfrm>
          <a:off x="10601325" y="28575"/>
          <a:ext cx="638175" cy="390525"/>
          <a:chOff x="769" y="35"/>
          <a:chExt cx="110" cy="41"/>
        </a:xfrm>
        <a:solidFill>
          <a:srgbClr val="FFFFFF"/>
        </a:solidFill>
      </xdr:grpSpPr>
      <xdr:sp>
        <xdr:nvSpPr>
          <xdr:cNvPr id="2" name="Rectangle 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523875</xdr:colOff>
      <xdr:row>0</xdr:row>
      <xdr:rowOff>9525</xdr:rowOff>
    </xdr:from>
    <xdr:to>
      <xdr:col>7</xdr:col>
      <xdr:colOff>476250</xdr:colOff>
      <xdr:row>2</xdr:row>
      <xdr:rowOff>0</xdr:rowOff>
    </xdr:to>
    <xdr:grpSp>
      <xdr:nvGrpSpPr>
        <xdr:cNvPr id="1" name="Group 1"/>
        <xdr:cNvGrpSpPr>
          <a:grpSpLocks/>
        </xdr:cNvGrpSpPr>
      </xdr:nvGrpSpPr>
      <xdr:grpSpPr>
        <a:xfrm>
          <a:off x="8181975" y="9525"/>
          <a:ext cx="933450" cy="342900"/>
          <a:chOff x="769" y="35"/>
          <a:chExt cx="110" cy="41"/>
        </a:xfrm>
        <a:solidFill>
          <a:srgbClr val="FFFFFF"/>
        </a:solidFill>
      </xdr:grpSpPr>
      <xdr:sp>
        <xdr:nvSpPr>
          <xdr:cNvPr id="2" name="Rectangle 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2.xml" /><Relationship Id="rId3"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Blad1"/>
  <dimension ref="A2:U410"/>
  <sheetViews>
    <sheetView zoomScale="95" zoomScaleNormal="95" workbookViewId="0" topLeftCell="A1">
      <selection activeCell="F19" sqref="F19"/>
    </sheetView>
  </sheetViews>
  <sheetFormatPr defaultColWidth="9.140625" defaultRowHeight="12.75"/>
  <cols>
    <col min="1" max="1" width="5.7109375" style="1" customWidth="1"/>
    <col min="2" max="2" width="9.7109375" style="2" customWidth="1"/>
    <col min="3" max="3" width="20.57421875" style="2" customWidth="1"/>
    <col min="4" max="4" width="10.7109375" style="3" customWidth="1"/>
    <col min="5" max="5" width="10.421875" style="2" customWidth="1"/>
    <col min="6" max="6" width="16.421875" style="2" customWidth="1"/>
    <col min="7" max="7" width="18.140625" style="4" customWidth="1"/>
    <col min="8" max="8" width="10.7109375" style="1" customWidth="1"/>
    <col min="9" max="9" width="10.7109375" style="2" customWidth="1"/>
    <col min="10" max="10" width="2.7109375" style="5" customWidth="1"/>
    <col min="11" max="13" width="2.7109375" style="2" customWidth="1"/>
    <col min="14" max="14" width="9.8515625" style="2" customWidth="1"/>
    <col min="15" max="15" width="10.28125" style="93" bestFit="1" customWidth="1"/>
    <col min="16" max="16" width="10.7109375" style="96" bestFit="1" customWidth="1"/>
    <col min="17" max="17" width="9.8515625" style="93" bestFit="1" customWidth="1"/>
    <col min="18" max="21" width="8.7109375" style="93" customWidth="1"/>
    <col min="22" max="16384" width="8.7109375" style="2" customWidth="1"/>
  </cols>
  <sheetData>
    <row r="1" ht="15.75" customHeight="1"/>
    <row r="2" spans="1:21" s="11" customFormat="1" ht="15.75" customHeight="1">
      <c r="A2" s="6" t="e">
        <f>CONCATENATE("Nacalculatie ",#REF!," Psychiatrische Ziekenhuizen en Ribw´s")</f>
        <v>#REF!</v>
      </c>
      <c r="B2" s="7"/>
      <c r="C2" s="8" t="e">
        <f>#REF!</f>
        <v>#REF!</v>
      </c>
      <c r="D2" s="8" t="e">
        <f>#REF!</f>
        <v>#REF!</v>
      </c>
      <c r="E2" s="8" t="e">
        <f>#REF!</f>
        <v>#REF!</v>
      </c>
      <c r="F2" s="8" t="e">
        <f>#REF!</f>
        <v>#REF!</v>
      </c>
      <c r="G2" s="8" t="e">
        <f>#REF!</f>
        <v>#REF!</v>
      </c>
      <c r="H2" s="8" t="e">
        <f>#REF!</f>
        <v>#REF!</v>
      </c>
      <c r="I2" s="8" t="e">
        <f>#REF!</f>
        <v>#REF!</v>
      </c>
      <c r="J2" s="8" t="e">
        <f>#REF!</f>
        <v>#REF!</v>
      </c>
      <c r="K2" s="7"/>
      <c r="L2" s="9"/>
      <c r="M2" s="10">
        <f>instructie!E38+1</f>
        <v>6</v>
      </c>
      <c r="O2" s="12"/>
      <c r="P2" s="13"/>
      <c r="Q2" s="12"/>
      <c r="R2" s="12"/>
      <c r="S2" s="12"/>
      <c r="T2" s="12"/>
      <c r="U2" s="12"/>
    </row>
    <row r="3" ht="12.75">
      <c r="M3" s="5"/>
    </row>
    <row r="4" spans="1:21" ht="12.75" customHeight="1">
      <c r="A4" s="14" t="str">
        <f>CONCATENATE("RUBRIEK 1: WERKELIJKE OPBRENGSTEN")</f>
        <v>RUBRIEK 1: WERKELIJKE OPBRENGSTEN</v>
      </c>
      <c r="B4" s="15"/>
      <c r="C4" s="15"/>
      <c r="D4" s="16"/>
      <c r="E4" s="230" t="str">
        <f>CONCATENATE("(Ribw´s alleen ",A8,", ",A34,", ",E37," en ",A42,")")</f>
        <v>(Ribw´s alleen 1.1 , 1.4, 1.6  en 1.7)</v>
      </c>
      <c r="F4" s="17"/>
      <c r="G4" s="18"/>
      <c r="H4" s="2"/>
      <c r="I4" s="17"/>
      <c r="J4" s="19"/>
      <c r="K4" s="17"/>
      <c r="L4" s="15"/>
      <c r="M4" s="96"/>
      <c r="N4" s="93"/>
      <c r="P4" s="93"/>
      <c r="S4" s="2"/>
      <c r="T4" s="2"/>
      <c r="U4" s="2"/>
    </row>
    <row r="5" spans="2:21" ht="12.75" customHeight="1">
      <c r="B5" s="20"/>
      <c r="C5" s="20"/>
      <c r="D5" s="20"/>
      <c r="E5" s="20"/>
      <c r="F5" s="20"/>
      <c r="G5" s="20"/>
      <c r="H5" s="20"/>
      <c r="I5" s="20"/>
      <c r="J5" s="20"/>
      <c r="K5" s="20"/>
      <c r="L5" s="20"/>
      <c r="M5" s="93"/>
      <c r="N5" s="93"/>
      <c r="P5" s="93"/>
      <c r="S5" s="2"/>
      <c r="T5" s="2"/>
      <c r="U5" s="2"/>
    </row>
    <row r="6" spans="1:6" s="11" customFormat="1" ht="12.75" customHeight="1">
      <c r="A6" s="21"/>
      <c r="B6" s="22" t="s">
        <v>394</v>
      </c>
      <c r="C6" s="23" t="s">
        <v>390</v>
      </c>
      <c r="D6" s="24"/>
      <c r="E6" s="197"/>
      <c r="F6" s="22" t="s">
        <v>394</v>
      </c>
    </row>
    <row r="7" spans="1:21" ht="12.75" customHeight="1">
      <c r="A7" s="20"/>
      <c r="B7" s="3"/>
      <c r="C7" s="20"/>
      <c r="D7" s="20"/>
      <c r="E7" s="20"/>
      <c r="F7" s="20"/>
      <c r="G7" s="93"/>
      <c r="H7" s="93"/>
      <c r="I7" s="93"/>
      <c r="J7" s="93"/>
      <c r="K7" s="93"/>
      <c r="O7" s="2"/>
      <c r="P7" s="2"/>
      <c r="Q7" s="2"/>
      <c r="R7" s="2"/>
      <c r="S7" s="2"/>
      <c r="T7" s="2"/>
      <c r="U7" s="2"/>
    </row>
    <row r="8" spans="1:6" s="90" customFormat="1" ht="12.75" customHeight="1">
      <c r="A8" s="26" t="s">
        <v>385</v>
      </c>
      <c r="B8" s="28"/>
      <c r="C8" s="29"/>
      <c r="D8" s="27"/>
      <c r="E8" s="26" t="s">
        <v>384</v>
      </c>
      <c r="F8" s="29"/>
    </row>
    <row r="9" spans="1:6" s="90" customFormat="1" ht="12.75" customHeight="1">
      <c r="A9" s="31">
        <f>Opbrengsten!A9</f>
        <v>1701</v>
      </c>
      <c r="B9" s="267" t="e">
        <f>Opbrengsten!#REF!</f>
        <v>#REF!</v>
      </c>
      <c r="C9" s="268" t="e">
        <f>Opbrengsten!#REF!</f>
        <v>#REF!</v>
      </c>
      <c r="D9" s="27"/>
      <c r="E9" s="31">
        <f>A38+1</f>
        <v>1725</v>
      </c>
      <c r="F9" s="267">
        <f>Opbrengsten!D28</f>
        <v>0</v>
      </c>
    </row>
    <row r="10" spans="1:6" s="42" customFormat="1" ht="12.75" customHeight="1">
      <c r="A10" s="32">
        <f aca="true" t="shared" si="0" ref="A10:A17">A9+1</f>
        <v>1702</v>
      </c>
      <c r="B10" s="267" t="e">
        <f>Opbrengsten!#REF!</f>
        <v>#REF!</v>
      </c>
      <c r="C10" s="268" t="e">
        <f>Opbrengsten!#REF!</f>
        <v>#REF!</v>
      </c>
      <c r="D10" s="33"/>
      <c r="E10" s="34">
        <f aca="true" t="shared" si="1" ref="E10:E28">E9+1</f>
        <v>1726</v>
      </c>
      <c r="F10" s="267">
        <f>Opbrengsten!C30</f>
        <v>0</v>
      </c>
    </row>
    <row r="11" spans="1:6" s="42" customFormat="1" ht="12.75" customHeight="1">
      <c r="A11" s="34">
        <f t="shared" si="0"/>
        <v>1703</v>
      </c>
      <c r="B11" s="267" t="e">
        <f>Opbrengsten!#REF!</f>
        <v>#REF!</v>
      </c>
      <c r="C11" s="268" t="e">
        <f>Opbrengsten!#REF!</f>
        <v>#REF!</v>
      </c>
      <c r="D11" s="33"/>
      <c r="E11" s="34">
        <f t="shared" si="1"/>
        <v>1727</v>
      </c>
      <c r="F11" s="267">
        <f>Opbrengsten!C31</f>
        <v>0</v>
      </c>
    </row>
    <row r="12" spans="1:6" s="42" customFormat="1" ht="12.75" customHeight="1">
      <c r="A12" s="34">
        <f t="shared" si="0"/>
        <v>1704</v>
      </c>
      <c r="B12" s="267" t="e">
        <f>Opbrengsten!#REF!</f>
        <v>#REF!</v>
      </c>
      <c r="C12" s="268" t="e">
        <f>Opbrengsten!#REF!</f>
        <v>#REF!</v>
      </c>
      <c r="D12" s="33"/>
      <c r="E12" s="34">
        <f t="shared" si="1"/>
        <v>1728</v>
      </c>
      <c r="F12" s="267">
        <f>Opbrengsten!C32</f>
        <v>0</v>
      </c>
    </row>
    <row r="13" spans="1:6" s="42" customFormat="1" ht="12.75" customHeight="1">
      <c r="A13" s="34">
        <f t="shared" si="0"/>
        <v>1705</v>
      </c>
      <c r="B13" s="267" t="e">
        <f>Opbrengsten!#REF!</f>
        <v>#REF!</v>
      </c>
      <c r="C13" s="268" t="e">
        <f>Opbrengsten!#REF!</f>
        <v>#REF!</v>
      </c>
      <c r="D13" s="33"/>
      <c r="E13" s="34">
        <f t="shared" si="1"/>
        <v>1729</v>
      </c>
      <c r="F13" s="267" t="e">
        <f>Opbrengsten!#REF!</f>
        <v>#REF!</v>
      </c>
    </row>
    <row r="14" spans="1:8" s="42" customFormat="1" ht="12.75" customHeight="1">
      <c r="A14" s="34">
        <f t="shared" si="0"/>
        <v>1706</v>
      </c>
      <c r="B14" s="267" t="e">
        <f>Opbrengsten!#REF!</f>
        <v>#REF!</v>
      </c>
      <c r="C14" s="268" t="e">
        <f>Opbrengsten!#REF!</f>
        <v>#REF!</v>
      </c>
      <c r="D14" s="33"/>
      <c r="E14" s="34">
        <f t="shared" si="1"/>
        <v>1730</v>
      </c>
      <c r="F14" s="267" t="e">
        <f>Opbrengsten!#REF!</f>
        <v>#REF!</v>
      </c>
      <c r="H14" s="90"/>
    </row>
    <row r="15" spans="1:8" s="42" customFormat="1" ht="12.75" customHeight="1">
      <c r="A15" s="35">
        <f t="shared" si="0"/>
        <v>1707</v>
      </c>
      <c r="B15" s="267" t="e">
        <f>Opbrengsten!#REF!</f>
        <v>#REF!</v>
      </c>
      <c r="C15" s="269"/>
      <c r="D15" s="33"/>
      <c r="E15" s="34">
        <f t="shared" si="1"/>
        <v>1731</v>
      </c>
      <c r="F15" s="267">
        <f>Opbrengsten!C33</f>
        <v>0</v>
      </c>
      <c r="H15" s="90"/>
    </row>
    <row r="16" spans="1:8" s="42" customFormat="1" ht="12.75" customHeight="1">
      <c r="A16" s="54">
        <f t="shared" si="0"/>
        <v>1708</v>
      </c>
      <c r="B16" s="270" t="e">
        <f>Opbrengsten!#REF!</f>
        <v>#REF!</v>
      </c>
      <c r="C16" s="268" t="e">
        <f>Opbrengsten!#REF!</f>
        <v>#REF!</v>
      </c>
      <c r="D16" s="33"/>
      <c r="E16" s="34">
        <f t="shared" si="1"/>
        <v>1732</v>
      </c>
      <c r="F16" s="267" t="e">
        <f>Opbrengsten!#REF!</f>
        <v>#REF!</v>
      </c>
      <c r="H16" s="90"/>
    </row>
    <row r="17" spans="1:8" s="42" customFormat="1" ht="12.75" customHeight="1">
      <c r="A17" s="37">
        <f t="shared" si="0"/>
        <v>1709</v>
      </c>
      <c r="B17" s="39"/>
      <c r="C17" s="40"/>
      <c r="D17" s="33"/>
      <c r="E17" s="34">
        <f t="shared" si="1"/>
        <v>1733</v>
      </c>
      <c r="F17" s="267">
        <f>Opbrengsten!I9</f>
        <v>0</v>
      </c>
      <c r="H17" s="90"/>
    </row>
    <row r="18" spans="1:8" s="42" customFormat="1" ht="12.75" customHeight="1">
      <c r="A18" s="41"/>
      <c r="B18" s="238"/>
      <c r="D18" s="33"/>
      <c r="E18" s="34">
        <f t="shared" si="1"/>
        <v>1734</v>
      </c>
      <c r="F18" s="267">
        <f>Opbrengsten!I11</f>
        <v>0</v>
      </c>
      <c r="H18" s="90"/>
    </row>
    <row r="19" spans="1:8" s="42" customFormat="1" ht="12.75" customHeight="1">
      <c r="A19" s="26" t="s">
        <v>386</v>
      </c>
      <c r="B19" s="28"/>
      <c r="C19" s="29"/>
      <c r="D19" s="33"/>
      <c r="E19" s="34">
        <f t="shared" si="1"/>
        <v>1735</v>
      </c>
      <c r="F19" s="267" t="str">
        <f>Opbrengsten!H10</f>
        <v>Opbrengst buitenlandse patiënten</v>
      </c>
      <c r="H19" s="90"/>
    </row>
    <row r="20" spans="1:8" s="42" customFormat="1" ht="12.75" customHeight="1">
      <c r="A20" s="31">
        <f>A17+1</f>
        <v>1710</v>
      </c>
      <c r="B20" s="267">
        <f>Opbrengsten!D19</f>
        <v>0</v>
      </c>
      <c r="C20" s="269"/>
      <c r="D20" s="44"/>
      <c r="E20" s="34">
        <f t="shared" si="1"/>
        <v>1736</v>
      </c>
      <c r="F20" s="267" t="e">
        <f>Opbrengsten!#REF!</f>
        <v>#REF!</v>
      </c>
      <c r="H20" s="90"/>
    </row>
    <row r="21" spans="1:8" s="42" customFormat="1" ht="12.75" customHeight="1">
      <c r="A21" s="32">
        <f>A20+1</f>
        <v>1711</v>
      </c>
      <c r="B21" s="267" t="e">
        <f>Opbrengsten!#REF!</f>
        <v>#REF!</v>
      </c>
      <c r="C21" s="269"/>
      <c r="D21" s="45"/>
      <c r="E21" s="34">
        <f t="shared" si="1"/>
        <v>1737</v>
      </c>
      <c r="F21" s="267">
        <f>Opbrengsten!I13</f>
        <v>0</v>
      </c>
      <c r="H21" s="90"/>
    </row>
    <row r="22" spans="1:6" s="90" customFormat="1" ht="12.75" customHeight="1">
      <c r="A22" s="32">
        <f>A21+1</f>
        <v>1712</v>
      </c>
      <c r="B22" s="267" t="e">
        <f>Opbrengsten!#REF!</f>
        <v>#REF!</v>
      </c>
      <c r="C22" s="269"/>
      <c r="D22" s="27"/>
      <c r="E22" s="34">
        <f t="shared" si="1"/>
        <v>1738</v>
      </c>
      <c r="F22" s="267">
        <f>Opbrengsten!I14</f>
        <v>0</v>
      </c>
    </row>
    <row r="23" spans="1:6" s="90" customFormat="1" ht="12.75" customHeight="1">
      <c r="A23" s="32">
        <f>A22+1</f>
        <v>1713</v>
      </c>
      <c r="B23" s="267" t="e">
        <f>Opbrengsten!#REF!</f>
        <v>#REF!</v>
      </c>
      <c r="C23" s="269"/>
      <c r="D23" s="27"/>
      <c r="E23" s="34">
        <f t="shared" si="1"/>
        <v>1739</v>
      </c>
      <c r="F23" s="267" t="str">
        <f>Opbrengsten!H15</f>
        <v>Totaal overige vergoedingen (1720 t/m 1725)</v>
      </c>
    </row>
    <row r="24" spans="1:6" s="42" customFormat="1" ht="12.75" customHeight="1">
      <c r="A24" s="35">
        <f>A23+1</f>
        <v>1714</v>
      </c>
      <c r="B24" s="267" t="e">
        <f>Opbrengsten!#REF!</f>
        <v>#REF!</v>
      </c>
      <c r="C24" s="269"/>
      <c r="D24" s="33"/>
      <c r="E24" s="34">
        <f t="shared" si="1"/>
        <v>1740</v>
      </c>
      <c r="F24" s="267" t="e">
        <f>Opbrengsten!#REF!</f>
        <v>#REF!</v>
      </c>
    </row>
    <row r="25" spans="1:6" s="42" customFormat="1" ht="12.75" customHeight="1">
      <c r="A25" s="37">
        <f>A24+1</f>
        <v>1715</v>
      </c>
      <c r="B25" s="39"/>
      <c r="C25" s="40"/>
      <c r="D25" s="33"/>
      <c r="E25" s="34">
        <f t="shared" si="1"/>
        <v>1741</v>
      </c>
      <c r="F25" s="267" t="e">
        <f>Opbrengsten!#REF!</f>
        <v>#REF!</v>
      </c>
    </row>
    <row r="26" spans="1:6" s="42" customFormat="1" ht="12.75" customHeight="1">
      <c r="A26" s="261"/>
      <c r="B26" s="43"/>
      <c r="D26" s="33"/>
      <c r="E26" s="34">
        <f t="shared" si="1"/>
        <v>1742</v>
      </c>
      <c r="F26" s="267" t="e">
        <f>Opbrengsten!#REF!</f>
        <v>#REF!</v>
      </c>
    </row>
    <row r="27" spans="1:8" s="42" customFormat="1" ht="12.75" customHeight="1">
      <c r="A27" s="26" t="s">
        <v>387</v>
      </c>
      <c r="B27" s="28"/>
      <c r="C27" s="29"/>
      <c r="D27" s="44"/>
      <c r="E27" s="34">
        <f t="shared" si="1"/>
        <v>1743</v>
      </c>
      <c r="F27" s="267" t="e">
        <f>Opbrengsten!#REF!</f>
        <v>#REF!</v>
      </c>
      <c r="H27" s="90"/>
    </row>
    <row r="28" spans="1:8" s="42" customFormat="1" ht="12.75" customHeight="1">
      <c r="A28" s="31">
        <f>A25+1</f>
        <v>1716</v>
      </c>
      <c r="B28" s="267">
        <f>Opbrengsten!D26</f>
        <v>0</v>
      </c>
      <c r="C28" s="268">
        <f>Opbrengsten!E23</f>
        <v>0</v>
      </c>
      <c r="D28" s="45"/>
      <c r="E28" s="34">
        <f t="shared" si="1"/>
        <v>1744</v>
      </c>
      <c r="F28" s="267" t="e">
        <f>Opbrengsten!#REF!</f>
        <v>#REF!</v>
      </c>
      <c r="H28" s="90"/>
    </row>
    <row r="29" spans="1:6" s="90" customFormat="1" ht="12.75" customHeight="1">
      <c r="A29" s="32">
        <f>A28+1</f>
        <v>1717</v>
      </c>
      <c r="B29" s="267">
        <f>Opbrengsten!D24</f>
        <v>0</v>
      </c>
      <c r="C29" s="268">
        <f>Opbrengsten!E25</f>
        <v>0</v>
      </c>
      <c r="D29" s="27"/>
      <c r="E29" s="34">
        <f>E25+1</f>
        <v>1742</v>
      </c>
      <c r="F29" s="267">
        <f>Opbrengsten!I28</f>
        <v>0</v>
      </c>
    </row>
    <row r="30" spans="1:6" s="90" customFormat="1" ht="12.75" customHeight="1">
      <c r="A30" s="34">
        <f>A29+1</f>
        <v>1718</v>
      </c>
      <c r="B30" s="267">
        <f>Opbrengsten!D25</f>
        <v>0</v>
      </c>
      <c r="C30" s="268">
        <f>Opbrengsten!E26</f>
        <v>0</v>
      </c>
      <c r="D30" s="27"/>
      <c r="E30" s="34">
        <f>E29+1</f>
        <v>1743</v>
      </c>
      <c r="F30" s="267">
        <f>Opbrengsten!I31</f>
        <v>0</v>
      </c>
    </row>
    <row r="31" spans="1:6" s="42" customFormat="1" ht="12.75" customHeight="1">
      <c r="A31" s="35">
        <f>A30+1</f>
        <v>1719</v>
      </c>
      <c r="B31" s="267" t="e">
        <f>Opbrengsten!#REF!</f>
        <v>#REF!</v>
      </c>
      <c r="C31" s="268" t="e">
        <f>Opbrengsten!#REF!</f>
        <v>#REF!</v>
      </c>
      <c r="D31" s="33"/>
      <c r="E31" s="34">
        <f>E30+1</f>
        <v>1744</v>
      </c>
      <c r="F31" s="267">
        <f>Opbrengsten!I32</f>
        <v>0</v>
      </c>
    </row>
    <row r="32" spans="1:6" s="42" customFormat="1" ht="12.75" customHeight="1">
      <c r="A32" s="37">
        <f>A31+1</f>
        <v>1720</v>
      </c>
      <c r="B32" s="39"/>
      <c r="C32" s="46"/>
      <c r="D32" s="33"/>
      <c r="E32" s="34">
        <f>E30+1</f>
        <v>1744</v>
      </c>
      <c r="F32" s="267">
        <f>Opbrengsten!I33</f>
        <v>0</v>
      </c>
    </row>
    <row r="33" spans="1:6" s="42" customFormat="1" ht="12.75" customHeight="1">
      <c r="A33" s="41"/>
      <c r="B33" s="43"/>
      <c r="D33" s="33"/>
      <c r="E33" s="34">
        <f>E31+1</f>
        <v>1745</v>
      </c>
      <c r="F33" s="267">
        <f>Opbrengsten!I34</f>
        <v>0</v>
      </c>
    </row>
    <row r="34" spans="1:6" s="42" customFormat="1" ht="12.75" customHeight="1">
      <c r="A34" s="26" t="s">
        <v>487</v>
      </c>
      <c r="B34" s="45"/>
      <c r="D34" s="48"/>
      <c r="E34" s="34">
        <f>E33+1</f>
        <v>1746</v>
      </c>
      <c r="F34" s="267">
        <f>Opbrengsten!I35</f>
        <v>0</v>
      </c>
    </row>
    <row r="35" spans="1:8" s="42" customFormat="1" ht="12.75" customHeight="1">
      <c r="A35" s="31">
        <f>A32+1</f>
        <v>1721</v>
      </c>
      <c r="B35" s="49"/>
      <c r="C35" s="50"/>
      <c r="E35" s="51">
        <f>E34+1</f>
        <v>1747</v>
      </c>
      <c r="F35" s="52"/>
      <c r="H35" s="90"/>
    </row>
    <row r="36" spans="1:21" ht="12.75">
      <c r="A36" s="35">
        <f>A35+1</f>
        <v>1722</v>
      </c>
      <c r="B36" s="49"/>
      <c r="C36" s="50"/>
      <c r="D36" s="4"/>
      <c r="E36" s="53"/>
      <c r="F36" s="5"/>
      <c r="G36" s="93"/>
      <c r="H36" s="96"/>
      <c r="I36" s="93"/>
      <c r="J36" s="93"/>
      <c r="K36" s="93"/>
      <c r="L36" s="93"/>
      <c r="M36" s="93"/>
      <c r="O36" s="2"/>
      <c r="P36" s="2"/>
      <c r="Q36" s="2"/>
      <c r="R36" s="2"/>
      <c r="S36" s="2"/>
      <c r="T36" s="2"/>
      <c r="U36" s="2"/>
    </row>
    <row r="37" spans="1:21" ht="12.75">
      <c r="A37" s="54">
        <f>A36+1</f>
        <v>1723</v>
      </c>
      <c r="B37" s="55"/>
      <c r="C37" s="56"/>
      <c r="D37" s="4"/>
      <c r="E37" s="26" t="s">
        <v>388</v>
      </c>
      <c r="F37" s="57"/>
      <c r="G37" s="93"/>
      <c r="H37" s="96"/>
      <c r="I37" s="93"/>
      <c r="J37" s="93"/>
      <c r="K37" s="93"/>
      <c r="L37" s="93"/>
      <c r="M37" s="93"/>
      <c r="O37" s="2"/>
      <c r="P37" s="2"/>
      <c r="Q37" s="2"/>
      <c r="R37" s="2"/>
      <c r="S37" s="2"/>
      <c r="T37" s="2"/>
      <c r="U37" s="2"/>
    </row>
    <row r="38" spans="1:21" ht="12.75" customHeight="1">
      <c r="A38" s="51">
        <f>A37+1</f>
        <v>1724</v>
      </c>
      <c r="B38" s="38"/>
      <c r="C38" s="52"/>
      <c r="D38" s="4"/>
      <c r="E38" s="37">
        <f>A38+1</f>
        <v>1725</v>
      </c>
      <c r="F38" s="60"/>
      <c r="G38" s="93"/>
      <c r="H38" s="96"/>
      <c r="I38" s="93"/>
      <c r="J38" s="93"/>
      <c r="K38" s="93"/>
      <c r="L38" s="93"/>
      <c r="M38" s="93"/>
      <c r="O38" s="2"/>
      <c r="P38" s="2"/>
      <c r="Q38" s="2"/>
      <c r="R38" s="2"/>
      <c r="S38" s="2"/>
      <c r="T38" s="2"/>
      <c r="U38" s="2"/>
    </row>
    <row r="39" spans="1:6" s="11" customFormat="1" ht="12.75" customHeight="1">
      <c r="A39" s="1"/>
      <c r="B39" s="3"/>
      <c r="C39" s="2"/>
      <c r="D39" s="2"/>
      <c r="E39" s="4"/>
      <c r="F39" s="1"/>
    </row>
    <row r="40" spans="1:21" ht="12.75">
      <c r="A40" s="21"/>
      <c r="B40" s="184"/>
      <c r="C40" s="184"/>
      <c r="D40" s="25" t="s">
        <v>393</v>
      </c>
      <c r="E40" s="24"/>
      <c r="F40" s="21"/>
      <c r="G40" s="62"/>
      <c r="H40" s="62"/>
      <c r="I40" s="63"/>
      <c r="J40" s="2"/>
      <c r="K40" s="93"/>
      <c r="L40" s="96"/>
      <c r="M40" s="93"/>
      <c r="N40" s="93"/>
      <c r="P40" s="93"/>
      <c r="R40" s="2"/>
      <c r="S40" s="2"/>
      <c r="T40" s="2"/>
      <c r="U40" s="2"/>
    </row>
    <row r="41" spans="1:21" ht="12.75">
      <c r="A41" s="64"/>
      <c r="B41" s="66"/>
      <c r="C41" s="66"/>
      <c r="D41" s="67"/>
      <c r="E41" s="65"/>
      <c r="F41" s="64"/>
      <c r="G41" s="68"/>
      <c r="H41" s="68"/>
      <c r="I41" s="69"/>
      <c r="J41" s="69"/>
      <c r="K41" s="70"/>
      <c r="M41" s="93"/>
      <c r="N41" s="96"/>
      <c r="P41" s="93"/>
      <c r="T41" s="2"/>
      <c r="U41" s="2"/>
    </row>
    <row r="42" spans="1:21" ht="12.75">
      <c r="A42" s="26" t="s">
        <v>473</v>
      </c>
      <c r="B42" s="48"/>
      <c r="C42" s="48"/>
      <c r="D42" s="236" t="s">
        <v>533</v>
      </c>
      <c r="E42" s="4"/>
      <c r="F42" s="71"/>
      <c r="G42" s="72"/>
      <c r="H42" s="72"/>
      <c r="I42" s="72"/>
      <c r="J42" s="72"/>
      <c r="K42" s="73"/>
      <c r="M42" s="93"/>
      <c r="N42" s="96"/>
      <c r="P42" s="93"/>
      <c r="T42" s="2"/>
      <c r="U42" s="2"/>
    </row>
    <row r="43" spans="1:21" ht="12.75">
      <c r="A43" s="31" t="e">
        <f>Opbrengsten!#REF!</f>
        <v>#REF!</v>
      </c>
      <c r="B43" s="134"/>
      <c r="C43" s="74"/>
      <c r="D43" s="267" t="e">
        <f>Opbrengsten!#REF!</f>
        <v>#REF!</v>
      </c>
      <c r="E43" s="4"/>
      <c r="F43" s="75"/>
      <c r="G43" s="76"/>
      <c r="H43" s="76"/>
      <c r="I43" s="76"/>
      <c r="J43" s="76"/>
      <c r="K43" s="76"/>
      <c r="M43" s="93"/>
      <c r="N43" s="96"/>
      <c r="P43" s="93"/>
      <c r="T43" s="2"/>
      <c r="U43" s="2"/>
    </row>
    <row r="44" spans="1:21" ht="12.75">
      <c r="A44" s="32" t="e">
        <f>A43+1</f>
        <v>#REF!</v>
      </c>
      <c r="B44" s="134"/>
      <c r="C44" s="77"/>
      <c r="D44" s="291"/>
      <c r="E44" s="4"/>
      <c r="F44" s="1"/>
      <c r="G44" s="2"/>
      <c r="H44" s="5"/>
      <c r="J44" s="2"/>
      <c r="M44" s="93"/>
      <c r="N44" s="96"/>
      <c r="P44" s="93"/>
      <c r="T44" s="2"/>
      <c r="U44" s="2"/>
    </row>
    <row r="45" spans="1:21" ht="12.75">
      <c r="A45" s="35" t="e">
        <f>A44+1</f>
        <v>#REF!</v>
      </c>
      <c r="B45" s="78"/>
      <c r="C45" s="79"/>
      <c r="D45" s="267" t="e">
        <f>Opbrengsten!#REF!</f>
        <v>#REF!</v>
      </c>
      <c r="E45" s="4"/>
      <c r="F45" s="1"/>
      <c r="G45" s="2"/>
      <c r="H45" s="5"/>
      <c r="J45" s="2"/>
      <c r="M45" s="93"/>
      <c r="N45" s="96"/>
      <c r="P45" s="93"/>
      <c r="T45" s="2"/>
      <c r="U45" s="2"/>
    </row>
    <row r="46" spans="1:19" s="87" customFormat="1" ht="12.75">
      <c r="A46" s="37" t="e">
        <f>A45+1</f>
        <v>#REF!</v>
      </c>
      <c r="B46" s="52"/>
      <c r="C46" s="80"/>
      <c r="D46" s="292"/>
      <c r="E46" s="4"/>
      <c r="F46" s="1"/>
      <c r="G46" s="2"/>
      <c r="H46" s="5"/>
      <c r="I46" s="2"/>
      <c r="J46" s="2"/>
      <c r="K46" s="2"/>
      <c r="M46" s="293"/>
      <c r="N46" s="294"/>
      <c r="O46" s="293"/>
      <c r="P46" s="293"/>
      <c r="Q46" s="293"/>
      <c r="R46" s="293"/>
      <c r="S46" s="293"/>
    </row>
    <row r="47" spans="1:21" ht="12.75">
      <c r="A47" s="81" t="e">
        <f>A46+1</f>
        <v>#REF!</v>
      </c>
      <c r="B47" s="271"/>
      <c r="C47" s="82"/>
      <c r="D47" s="267" t="e">
        <f>Opbrengsten!#REF!</f>
        <v>#REF!</v>
      </c>
      <c r="E47" s="4"/>
      <c r="F47" s="1"/>
      <c r="G47" s="2"/>
      <c r="H47" s="5"/>
      <c r="J47" s="2"/>
      <c r="M47" s="93"/>
      <c r="N47" s="96"/>
      <c r="P47" s="93"/>
      <c r="T47" s="2"/>
      <c r="U47" s="2"/>
    </row>
    <row r="48" spans="1:21" ht="12.75">
      <c r="A48" s="37" t="e">
        <f>A47+1</f>
        <v>#REF!</v>
      </c>
      <c r="B48" s="52"/>
      <c r="C48" s="80"/>
      <c r="D48" s="292"/>
      <c r="E48" s="4"/>
      <c r="F48" s="1"/>
      <c r="G48" s="2"/>
      <c r="H48" s="5"/>
      <c r="J48" s="2"/>
      <c r="M48" s="93"/>
      <c r="N48" s="96"/>
      <c r="P48" s="93"/>
      <c r="T48" s="2"/>
      <c r="U48" s="2"/>
    </row>
    <row r="49" spans="1:21" ht="12.75">
      <c r="A49" s="83"/>
      <c r="B49" s="84"/>
      <c r="C49" s="84"/>
      <c r="D49" s="84"/>
      <c r="E49" s="85"/>
      <c r="F49" s="86"/>
      <c r="G49" s="87"/>
      <c r="H49" s="76"/>
      <c r="I49" s="87"/>
      <c r="J49" s="87"/>
      <c r="K49" s="87"/>
      <c r="M49" s="93"/>
      <c r="N49" s="96"/>
      <c r="P49" s="93"/>
      <c r="T49" s="2"/>
      <c r="U49" s="2"/>
    </row>
    <row r="50" spans="1:21" ht="12.75">
      <c r="A50" s="83" t="s">
        <v>530</v>
      </c>
      <c r="B50" s="84"/>
      <c r="C50" s="84"/>
      <c r="D50" s="236" t="s">
        <v>533</v>
      </c>
      <c r="E50" s="85"/>
      <c r="F50" s="86"/>
      <c r="G50" s="87"/>
      <c r="H50" s="76"/>
      <c r="I50" s="87"/>
      <c r="J50" s="87"/>
      <c r="K50" s="87"/>
      <c r="M50" s="93"/>
      <c r="N50" s="96"/>
      <c r="P50" s="93"/>
      <c r="T50" s="2"/>
      <c r="U50" s="2"/>
    </row>
    <row r="51" spans="1:21" ht="12.75">
      <c r="A51" s="31" t="e">
        <f>A48+1</f>
        <v>#REF!</v>
      </c>
      <c r="B51" s="134"/>
      <c r="C51" s="88"/>
      <c r="D51" s="291"/>
      <c r="E51" s="4"/>
      <c r="F51" s="1"/>
      <c r="G51" s="2"/>
      <c r="H51" s="5"/>
      <c r="J51" s="2"/>
      <c r="M51" s="93"/>
      <c r="N51" s="96"/>
      <c r="P51" s="93"/>
      <c r="T51" s="2"/>
      <c r="U51" s="2"/>
    </row>
    <row r="52" spans="1:21" ht="12.75" customHeight="1">
      <c r="A52" s="35" t="e">
        <f>A51+1</f>
        <v>#REF!</v>
      </c>
      <c r="B52" s="237"/>
      <c r="C52" s="36"/>
      <c r="D52" s="295" t="e">
        <f>Opbrengsten!#REF!</f>
        <v>#REF!</v>
      </c>
      <c r="E52" s="4"/>
      <c r="F52" s="1"/>
      <c r="G52" s="2"/>
      <c r="H52" s="5"/>
      <c r="J52" s="2"/>
      <c r="M52" s="93"/>
      <c r="N52" s="96"/>
      <c r="P52" s="93"/>
      <c r="T52" s="2"/>
      <c r="U52" s="2"/>
    </row>
    <row r="53" spans="1:21" ht="12.75">
      <c r="A53" s="81"/>
      <c r="B53" s="296"/>
      <c r="C53" s="297"/>
      <c r="D53" s="298" t="e">
        <f>Opbrengsten!#REF!</f>
        <v>#REF!</v>
      </c>
      <c r="E53" s="4"/>
      <c r="F53" s="1"/>
      <c r="G53" s="2"/>
      <c r="H53" s="5"/>
      <c r="J53" s="2"/>
      <c r="M53" s="93"/>
      <c r="N53" s="96"/>
      <c r="P53" s="93"/>
      <c r="T53" s="2"/>
      <c r="U53" s="2"/>
    </row>
    <row r="54" spans="1:21" ht="12.75">
      <c r="A54" s="37" t="e">
        <f>A52+1</f>
        <v>#REF!</v>
      </c>
      <c r="B54" s="52"/>
      <c r="C54" s="89"/>
      <c r="D54" s="292"/>
      <c r="E54" s="4"/>
      <c r="F54" s="1"/>
      <c r="G54" s="2"/>
      <c r="H54" s="5"/>
      <c r="J54" s="2"/>
      <c r="M54" s="93"/>
      <c r="N54" s="96"/>
      <c r="P54" s="93"/>
      <c r="T54" s="2"/>
      <c r="U54" s="2"/>
    </row>
    <row r="55" spans="1:21" ht="12.75">
      <c r="A55" s="81" t="e">
        <f>A54+1</f>
        <v>#REF!</v>
      </c>
      <c r="B55" s="271"/>
      <c r="C55" s="82"/>
      <c r="D55" s="267" t="e">
        <f>Opbrengsten!#REF!</f>
        <v>#REF!</v>
      </c>
      <c r="E55" s="4"/>
      <c r="F55" s="1"/>
      <c r="G55" s="2"/>
      <c r="H55" s="5"/>
      <c r="J55" s="2"/>
      <c r="M55" s="93"/>
      <c r="N55" s="96"/>
      <c r="P55" s="93"/>
      <c r="T55" s="2"/>
      <c r="U55" s="2"/>
    </row>
    <row r="56" spans="1:21" ht="12.75">
      <c r="A56" s="37" t="e">
        <f>A55+1</f>
        <v>#REF!</v>
      </c>
      <c r="B56" s="52"/>
      <c r="C56" s="80"/>
      <c r="D56" s="292"/>
      <c r="E56" s="4"/>
      <c r="F56" s="1"/>
      <c r="G56" s="2"/>
      <c r="H56" s="5"/>
      <c r="J56" s="2"/>
      <c r="M56" s="93"/>
      <c r="N56" s="96"/>
      <c r="P56" s="93"/>
      <c r="T56" s="2"/>
      <c r="U56" s="2"/>
    </row>
    <row r="58" spans="1:11" ht="12.75">
      <c r="A58" s="14" t="s">
        <v>382</v>
      </c>
      <c r="B58" s="17"/>
      <c r="C58" s="97"/>
      <c r="D58" s="17"/>
      <c r="E58" s="17"/>
      <c r="F58" s="18"/>
      <c r="G58" s="98"/>
      <c r="H58" s="17"/>
      <c r="I58" s="19"/>
      <c r="J58" s="17"/>
      <c r="K58" s="93"/>
    </row>
    <row r="59" spans="1:11" ht="12.75">
      <c r="A59" s="174"/>
      <c r="B59" s="99"/>
      <c r="C59" s="100"/>
      <c r="D59" s="101"/>
      <c r="E59" s="102"/>
      <c r="F59" s="103"/>
      <c r="G59" s="102"/>
      <c r="H59" s="103"/>
      <c r="I59" s="103"/>
      <c r="J59" s="103"/>
      <c r="K59" s="104"/>
    </row>
    <row r="60" spans="1:21" ht="12.75">
      <c r="A60" s="211"/>
      <c r="B60" s="105" t="s">
        <v>376</v>
      </c>
      <c r="C60" s="209" t="s">
        <v>470</v>
      </c>
      <c r="D60" s="299"/>
      <c r="E60" s="300" t="s">
        <v>471</v>
      </c>
      <c r="F60" s="301"/>
      <c r="G60" s="209" t="e">
        <f>CONCATENATE("Jaarrekening ",#REF!)</f>
        <v>#REF!</v>
      </c>
      <c r="H60" s="302"/>
      <c r="I60" s="303"/>
      <c r="J60" s="2"/>
      <c r="M60" s="93"/>
      <c r="N60" s="96"/>
      <c r="P60" s="93"/>
      <c r="T60" s="2"/>
      <c r="U60" s="2"/>
    </row>
    <row r="61" spans="1:21" ht="12.75">
      <c r="A61" s="211"/>
      <c r="B61" s="106" t="e">
        <f>#REF!-1</f>
        <v>#REF!</v>
      </c>
      <c r="C61" s="106" t="e">
        <f>CONCATENATE("Doorw. ",#REF!-1," ")</f>
        <v>#REF!</v>
      </c>
      <c r="D61" s="106" t="e">
        <f>#REF!</f>
        <v>#REF!</v>
      </c>
      <c r="E61" s="106" t="e">
        <f>CONCATENATE("Doorw. ",#REF!-1," ")</f>
        <v>#REF!</v>
      </c>
      <c r="F61" s="107" t="e">
        <f>CONCATENATE(#REF!,"* ")</f>
        <v>#REF!</v>
      </c>
      <c r="G61" s="108" t="s">
        <v>376</v>
      </c>
      <c r="H61" s="109" t="s">
        <v>472</v>
      </c>
      <c r="I61" s="107" t="s">
        <v>375</v>
      </c>
      <c r="J61" s="2"/>
      <c r="M61" s="93"/>
      <c r="N61" s="96"/>
      <c r="P61" s="93"/>
      <c r="T61" s="2"/>
      <c r="U61" s="2"/>
    </row>
    <row r="62" spans="1:11" ht="12.75">
      <c r="A62" s="20"/>
      <c r="B62" s="20"/>
      <c r="C62" s="20"/>
      <c r="D62" s="20"/>
      <c r="E62" s="20"/>
      <c r="F62" s="20"/>
      <c r="G62" s="20"/>
      <c r="H62" s="20"/>
      <c r="I62" s="20"/>
      <c r="J62" s="20"/>
      <c r="K62" s="42"/>
    </row>
    <row r="63" spans="1:11" ht="12.75">
      <c r="A63" s="41" t="s">
        <v>391</v>
      </c>
      <c r="B63" s="44" t="s">
        <v>392</v>
      </c>
      <c r="C63" s="110"/>
      <c r="D63" s="111"/>
      <c r="E63" s="112"/>
      <c r="F63" s="113"/>
      <c r="G63" s="112"/>
      <c r="H63" s="113"/>
      <c r="I63" s="113"/>
      <c r="J63" s="113"/>
      <c r="K63" s="47"/>
    </row>
    <row r="64" spans="1:21" ht="12.75">
      <c r="A64" s="31" t="e">
        <f>#REF!</f>
        <v>#REF!</v>
      </c>
      <c r="B64" s="267" t="e">
        <f>#REF!</f>
        <v>#REF!</v>
      </c>
      <c r="C64" s="304" t="e">
        <f>#REF!</f>
        <v>#REF!</v>
      </c>
      <c r="D64" s="304" t="e">
        <f>#REF!</f>
        <v>#REF!</v>
      </c>
      <c r="E64" s="267" t="e">
        <f>#REF!</f>
        <v>#REF!</v>
      </c>
      <c r="F64" s="267" t="e">
        <f>#REF!</f>
        <v>#REF!</v>
      </c>
      <c r="G64" s="305"/>
      <c r="H64" s="267" t="e">
        <f>#REF!</f>
        <v>#REF!</v>
      </c>
      <c r="I64" s="267" t="e">
        <f>#REF!</f>
        <v>#REF!</v>
      </c>
      <c r="J64" s="2"/>
      <c r="M64" s="93"/>
      <c r="N64" s="96"/>
      <c r="P64" s="93"/>
      <c r="T64" s="2"/>
      <c r="U64" s="2"/>
    </row>
    <row r="65" spans="1:21" ht="12.75">
      <c r="A65" s="34" t="e">
        <f aca="true" t="shared" si="2" ref="A65:A76">A64+1</f>
        <v>#REF!</v>
      </c>
      <c r="B65" s="267" t="e">
        <f>#REF!</f>
        <v>#REF!</v>
      </c>
      <c r="C65" s="304" t="e">
        <f>#REF!</f>
        <v>#REF!</v>
      </c>
      <c r="D65" s="304" t="e">
        <f>#REF!</f>
        <v>#REF!</v>
      </c>
      <c r="E65" s="267" t="e">
        <f>#REF!</f>
        <v>#REF!</v>
      </c>
      <c r="F65" s="267" t="e">
        <f>#REF!</f>
        <v>#REF!</v>
      </c>
      <c r="G65" s="305"/>
      <c r="H65" s="267" t="e">
        <f>#REF!</f>
        <v>#REF!</v>
      </c>
      <c r="I65" s="267" t="e">
        <f>#REF!</f>
        <v>#REF!</v>
      </c>
      <c r="J65" s="2"/>
      <c r="M65" s="93"/>
      <c r="N65" s="96"/>
      <c r="P65" s="93"/>
      <c r="T65" s="2"/>
      <c r="U65" s="2"/>
    </row>
    <row r="66" spans="1:21" ht="12.75">
      <c r="A66" s="34" t="e">
        <f t="shared" si="2"/>
        <v>#REF!</v>
      </c>
      <c r="B66" s="267" t="e">
        <f>#REF!</f>
        <v>#REF!</v>
      </c>
      <c r="C66" s="304" t="e">
        <f>#REF!</f>
        <v>#REF!</v>
      </c>
      <c r="D66" s="304" t="e">
        <f>#REF!</f>
        <v>#REF!</v>
      </c>
      <c r="E66" s="267" t="e">
        <f>#REF!</f>
        <v>#REF!</v>
      </c>
      <c r="F66" s="267" t="e">
        <f>#REF!</f>
        <v>#REF!</v>
      </c>
      <c r="G66" s="305"/>
      <c r="H66" s="267" t="e">
        <f>#REF!</f>
        <v>#REF!</v>
      </c>
      <c r="I66" s="267" t="e">
        <f>#REF!</f>
        <v>#REF!</v>
      </c>
      <c r="J66" s="2"/>
      <c r="M66" s="93"/>
      <c r="N66" s="96"/>
      <c r="P66" s="93"/>
      <c r="T66" s="2"/>
      <c r="U66" s="2"/>
    </row>
    <row r="67" spans="1:21" ht="12.75">
      <c r="A67" s="34" t="e">
        <f t="shared" si="2"/>
        <v>#REF!</v>
      </c>
      <c r="B67" s="267" t="e">
        <f>#REF!</f>
        <v>#REF!</v>
      </c>
      <c r="C67" s="304" t="e">
        <f>#REF!</f>
        <v>#REF!</v>
      </c>
      <c r="D67" s="304" t="e">
        <f>#REF!</f>
        <v>#REF!</v>
      </c>
      <c r="E67" s="267" t="e">
        <f>#REF!</f>
        <v>#REF!</v>
      </c>
      <c r="F67" s="267" t="e">
        <f>#REF!</f>
        <v>#REF!</v>
      </c>
      <c r="G67" s="305"/>
      <c r="H67" s="267" t="e">
        <f>#REF!</f>
        <v>#REF!</v>
      </c>
      <c r="I67" s="267" t="e">
        <f>#REF!</f>
        <v>#REF!</v>
      </c>
      <c r="J67" s="2"/>
      <c r="M67" s="93"/>
      <c r="N67" s="96"/>
      <c r="P67" s="93"/>
      <c r="T67" s="2"/>
      <c r="U67" s="2"/>
    </row>
    <row r="68" spans="1:21" ht="12.75">
      <c r="A68" s="34" t="e">
        <f t="shared" si="2"/>
        <v>#REF!</v>
      </c>
      <c r="B68" s="267" t="e">
        <f>#REF!</f>
        <v>#REF!</v>
      </c>
      <c r="C68" s="304" t="e">
        <f>#REF!</f>
        <v>#REF!</v>
      </c>
      <c r="D68" s="304" t="e">
        <f>#REF!</f>
        <v>#REF!</v>
      </c>
      <c r="E68" s="267" t="e">
        <f>#REF!</f>
        <v>#REF!</v>
      </c>
      <c r="F68" s="267" t="e">
        <f>#REF!</f>
        <v>#REF!</v>
      </c>
      <c r="G68" s="305"/>
      <c r="H68" s="267" t="e">
        <f>#REF!</f>
        <v>#REF!</v>
      </c>
      <c r="I68" s="267" t="e">
        <f>#REF!</f>
        <v>#REF!</v>
      </c>
      <c r="J68" s="2"/>
      <c r="M68" s="93"/>
      <c r="N68" s="96"/>
      <c r="P68" s="93"/>
      <c r="T68" s="2"/>
      <c r="U68" s="2"/>
    </row>
    <row r="69" spans="1:21" ht="12.75">
      <c r="A69" s="34" t="e">
        <f t="shared" si="2"/>
        <v>#REF!</v>
      </c>
      <c r="B69" s="267" t="e">
        <f>#REF!</f>
        <v>#REF!</v>
      </c>
      <c r="C69" s="304" t="e">
        <f>#REF!</f>
        <v>#REF!</v>
      </c>
      <c r="D69" s="304" t="e">
        <f>#REF!</f>
        <v>#REF!</v>
      </c>
      <c r="E69" s="267" t="e">
        <f>#REF!</f>
        <v>#REF!</v>
      </c>
      <c r="F69" s="267" t="e">
        <f>#REF!</f>
        <v>#REF!</v>
      </c>
      <c r="G69" s="305"/>
      <c r="H69" s="267" t="e">
        <f>#REF!</f>
        <v>#REF!</v>
      </c>
      <c r="I69" s="267" t="e">
        <f>#REF!</f>
        <v>#REF!</v>
      </c>
      <c r="J69" s="2"/>
      <c r="M69" s="93"/>
      <c r="N69" s="96"/>
      <c r="P69" s="93"/>
      <c r="T69" s="2"/>
      <c r="U69" s="2"/>
    </row>
    <row r="70" spans="1:21" ht="12.75">
      <c r="A70" s="34" t="e">
        <f t="shared" si="2"/>
        <v>#REF!</v>
      </c>
      <c r="B70" s="267" t="e">
        <f>#REF!</f>
        <v>#REF!</v>
      </c>
      <c r="C70" s="304" t="e">
        <f>#REF!</f>
        <v>#REF!</v>
      </c>
      <c r="D70" s="304" t="e">
        <f>#REF!</f>
        <v>#REF!</v>
      </c>
      <c r="E70" s="267" t="e">
        <f>#REF!</f>
        <v>#REF!</v>
      </c>
      <c r="F70" s="267" t="e">
        <f>#REF!</f>
        <v>#REF!</v>
      </c>
      <c r="G70" s="305"/>
      <c r="H70" s="267" t="e">
        <f>#REF!</f>
        <v>#REF!</v>
      </c>
      <c r="I70" s="267" t="e">
        <f>#REF!</f>
        <v>#REF!</v>
      </c>
      <c r="J70" s="2"/>
      <c r="M70" s="93"/>
      <c r="N70" s="96"/>
      <c r="P70" s="93"/>
      <c r="T70" s="2"/>
      <c r="U70" s="2"/>
    </row>
    <row r="71" spans="1:21" ht="12.75">
      <c r="A71" s="34" t="e">
        <f t="shared" si="2"/>
        <v>#REF!</v>
      </c>
      <c r="B71" s="267" t="e">
        <f>#REF!</f>
        <v>#REF!</v>
      </c>
      <c r="C71" s="304" t="e">
        <f>#REF!</f>
        <v>#REF!</v>
      </c>
      <c r="D71" s="304" t="e">
        <f>#REF!</f>
        <v>#REF!</v>
      </c>
      <c r="E71" s="267" t="e">
        <f>#REF!</f>
        <v>#REF!</v>
      </c>
      <c r="F71" s="267" t="e">
        <f>#REF!</f>
        <v>#REF!</v>
      </c>
      <c r="G71" s="305"/>
      <c r="H71" s="267" t="e">
        <f>#REF!</f>
        <v>#REF!</v>
      </c>
      <c r="I71" s="267" t="e">
        <f>#REF!</f>
        <v>#REF!</v>
      </c>
      <c r="J71" s="2"/>
      <c r="M71" s="93"/>
      <c r="N71" s="96"/>
      <c r="P71" s="93"/>
      <c r="T71" s="2"/>
      <c r="U71" s="2"/>
    </row>
    <row r="72" spans="1:21" ht="12.75">
      <c r="A72" s="34" t="e">
        <f t="shared" si="2"/>
        <v>#REF!</v>
      </c>
      <c r="B72" s="267" t="e">
        <f>#REF!</f>
        <v>#REF!</v>
      </c>
      <c r="C72" s="304" t="e">
        <f>#REF!</f>
        <v>#REF!</v>
      </c>
      <c r="D72" s="304" t="e">
        <f>#REF!</f>
        <v>#REF!</v>
      </c>
      <c r="E72" s="267" t="e">
        <f>#REF!</f>
        <v>#REF!</v>
      </c>
      <c r="F72" s="267" t="e">
        <f>#REF!</f>
        <v>#REF!</v>
      </c>
      <c r="G72" s="305"/>
      <c r="H72" s="267" t="e">
        <f>#REF!</f>
        <v>#REF!</v>
      </c>
      <c r="I72" s="267" t="e">
        <f>#REF!</f>
        <v>#REF!</v>
      </c>
      <c r="J72" s="2"/>
      <c r="M72" s="93"/>
      <c r="N72" s="96"/>
      <c r="P72" s="93"/>
      <c r="T72" s="2"/>
      <c r="U72" s="2"/>
    </row>
    <row r="73" spans="1:21" ht="12.75">
      <c r="A73" s="54" t="e">
        <f t="shared" si="2"/>
        <v>#REF!</v>
      </c>
      <c r="B73" s="267" t="e">
        <f>#REF!</f>
        <v>#REF!</v>
      </c>
      <c r="C73" s="306" t="e">
        <f>#REF!</f>
        <v>#REF!</v>
      </c>
      <c r="D73" s="306" t="e">
        <f>#REF!</f>
        <v>#REF!</v>
      </c>
      <c r="E73" s="267" t="e">
        <f>#REF!</f>
        <v>#REF!</v>
      </c>
      <c r="F73" s="267" t="e">
        <f>#REF!</f>
        <v>#REF!</v>
      </c>
      <c r="G73" s="305"/>
      <c r="H73" s="267" t="e">
        <f>#REF!</f>
        <v>#REF!</v>
      </c>
      <c r="I73" s="267" t="e">
        <f>#REF!</f>
        <v>#REF!</v>
      </c>
      <c r="J73" s="2"/>
      <c r="M73" s="93"/>
      <c r="N73" s="96"/>
      <c r="P73" s="93"/>
      <c r="T73" s="2"/>
      <c r="U73" s="2"/>
    </row>
    <row r="74" spans="1:21" ht="12.75">
      <c r="A74" s="37" t="e">
        <f t="shared" si="2"/>
        <v>#REF!</v>
      </c>
      <c r="B74" s="307"/>
      <c r="C74" s="308"/>
      <c r="D74" s="308"/>
      <c r="E74" s="307"/>
      <c r="F74" s="307"/>
      <c r="G74" s="292"/>
      <c r="H74" s="292"/>
      <c r="I74" s="292"/>
      <c r="J74" s="2"/>
      <c r="M74" s="93"/>
      <c r="N74" s="96"/>
      <c r="P74" s="93"/>
      <c r="T74" s="2"/>
      <c r="U74" s="2"/>
    </row>
    <row r="75" spans="1:21" ht="12.75">
      <c r="A75" s="81" t="e">
        <f t="shared" si="2"/>
        <v>#REF!</v>
      </c>
      <c r="B75" s="309"/>
      <c r="C75" s="309"/>
      <c r="D75" s="310"/>
      <c r="E75" s="309"/>
      <c r="F75" s="309"/>
      <c r="G75" s="267" t="e">
        <f>#REF!</f>
        <v>#REF!</v>
      </c>
      <c r="H75" s="267" t="e">
        <f>#REF!</f>
        <v>#REF!</v>
      </c>
      <c r="I75" s="267" t="e">
        <f>#REF!</f>
        <v>#REF!</v>
      </c>
      <c r="J75" s="2"/>
      <c r="M75" s="93"/>
      <c r="N75" s="96"/>
      <c r="P75" s="93"/>
      <c r="T75" s="2"/>
      <c r="U75" s="2"/>
    </row>
    <row r="76" spans="1:21" ht="12.75">
      <c r="A76" s="37" t="e">
        <f t="shared" si="2"/>
        <v>#REF!</v>
      </c>
      <c r="B76" s="311"/>
      <c r="C76" s="311"/>
      <c r="D76" s="311"/>
      <c r="E76" s="311"/>
      <c r="F76" s="311"/>
      <c r="G76" s="292" t="e">
        <f>G74-G75</f>
        <v>#REF!</v>
      </c>
      <c r="H76" s="292" t="e">
        <f>H74-H75</f>
        <v>#REF!</v>
      </c>
      <c r="I76" s="292" t="e">
        <f>I74-I75</f>
        <v>#REF!</v>
      </c>
      <c r="J76" s="2"/>
      <c r="M76" s="93"/>
      <c r="N76" s="96"/>
      <c r="P76" s="93"/>
      <c r="T76" s="2"/>
      <c r="U76" s="2"/>
    </row>
    <row r="77" spans="1:11" ht="12.75">
      <c r="A77" s="114" t="e">
        <f>CONCATENATE("* zie ",Uitvoer!#REF!," ",Uitvoer!#REF!," op volgende pagina.")</f>
        <v>#REF!</v>
      </c>
      <c r="B77" s="115"/>
      <c r="C77" s="100"/>
      <c r="D77" s="101"/>
      <c r="E77" s="101"/>
      <c r="F77" s="103"/>
      <c r="G77" s="103"/>
      <c r="H77" s="103"/>
      <c r="I77" s="116"/>
      <c r="J77" s="117"/>
      <c r="K77" s="118"/>
    </row>
    <row r="78" spans="1:11" ht="12.75">
      <c r="A78" s="312"/>
      <c r="B78" s="115"/>
      <c r="C78" s="100"/>
      <c r="D78" s="101"/>
      <c r="E78" s="101"/>
      <c r="F78" s="103"/>
      <c r="G78" s="103"/>
      <c r="H78" s="103"/>
      <c r="I78" s="116"/>
      <c r="J78" s="117"/>
      <c r="K78" s="118"/>
    </row>
    <row r="79" spans="1:11" ht="12.75">
      <c r="A79" s="41" t="s">
        <v>395</v>
      </c>
      <c r="B79" s="45" t="s">
        <v>397</v>
      </c>
      <c r="C79" s="110"/>
      <c r="D79" s="119"/>
      <c r="E79" s="112"/>
      <c r="F79" s="90"/>
      <c r="G79" s="113"/>
      <c r="H79" s="120"/>
      <c r="I79" s="90"/>
      <c r="J79" s="84"/>
      <c r="K79" s="90"/>
    </row>
    <row r="80" spans="1:21" ht="12.75">
      <c r="A80" s="262" t="e">
        <f>A76+1</f>
        <v>#REF!</v>
      </c>
      <c r="B80" s="267" t="e">
        <f>#REF!</f>
        <v>#REF!</v>
      </c>
      <c r="C80" s="304" t="e">
        <f>#REF!</f>
        <v>#REF!</v>
      </c>
      <c r="D80" s="304" t="e">
        <f>#REF!</f>
        <v>#REF!</v>
      </c>
      <c r="E80" s="267" t="e">
        <f>#REF!</f>
        <v>#REF!</v>
      </c>
      <c r="F80" s="267" t="e">
        <f>#REF!</f>
        <v>#REF!</v>
      </c>
      <c r="G80" s="305" t="e">
        <f aca="true" t="shared" si="3" ref="G80:G85">B80+F80</f>
        <v>#REF!</v>
      </c>
      <c r="H80" s="267" t="e">
        <f>#REF!</f>
        <v>#REF!</v>
      </c>
      <c r="I80" s="267" t="e">
        <f>#REF!</f>
        <v>#REF!</v>
      </c>
      <c r="J80" s="2"/>
      <c r="M80" s="93"/>
      <c r="N80" s="96"/>
      <c r="P80" s="93"/>
      <c r="T80" s="2"/>
      <c r="U80" s="2"/>
    </row>
    <row r="81" spans="1:21" ht="12.75">
      <c r="A81" s="34" t="e">
        <f aca="true" t="shared" si="4" ref="A81:A86">A80+1</f>
        <v>#REF!</v>
      </c>
      <c r="B81" s="267" t="e">
        <f>#REF!</f>
        <v>#REF!</v>
      </c>
      <c r="C81" s="304" t="e">
        <f>#REF!</f>
        <v>#REF!</v>
      </c>
      <c r="D81" s="304" t="e">
        <f>#REF!</f>
        <v>#REF!</v>
      </c>
      <c r="E81" s="267" t="e">
        <f>#REF!</f>
        <v>#REF!</v>
      </c>
      <c r="F81" s="267" t="e">
        <f>#REF!</f>
        <v>#REF!</v>
      </c>
      <c r="G81" s="305" t="e">
        <f t="shared" si="3"/>
        <v>#REF!</v>
      </c>
      <c r="H81" s="267" t="e">
        <f>#REF!</f>
        <v>#REF!</v>
      </c>
      <c r="I81" s="267" t="e">
        <f>#REF!</f>
        <v>#REF!</v>
      </c>
      <c r="J81" s="2"/>
      <c r="M81" s="93"/>
      <c r="N81" s="96"/>
      <c r="P81" s="93"/>
      <c r="T81" s="2"/>
      <c r="U81" s="2"/>
    </row>
    <row r="82" spans="1:21" ht="12.75">
      <c r="A82" s="34" t="e">
        <f t="shared" si="4"/>
        <v>#REF!</v>
      </c>
      <c r="B82" s="267" t="e">
        <f>#REF!</f>
        <v>#REF!</v>
      </c>
      <c r="C82" s="304" t="e">
        <f>#REF!</f>
        <v>#REF!</v>
      </c>
      <c r="D82" s="304" t="e">
        <f>#REF!</f>
        <v>#REF!</v>
      </c>
      <c r="E82" s="267" t="e">
        <f>#REF!</f>
        <v>#REF!</v>
      </c>
      <c r="F82" s="267" t="e">
        <f>#REF!</f>
        <v>#REF!</v>
      </c>
      <c r="G82" s="305" t="e">
        <f t="shared" si="3"/>
        <v>#REF!</v>
      </c>
      <c r="H82" s="267" t="e">
        <f>#REF!</f>
        <v>#REF!</v>
      </c>
      <c r="I82" s="267" t="e">
        <f>#REF!</f>
        <v>#REF!</v>
      </c>
      <c r="J82" s="2"/>
      <c r="M82" s="93"/>
      <c r="N82" s="96"/>
      <c r="P82" s="93"/>
      <c r="T82" s="2"/>
      <c r="U82" s="2"/>
    </row>
    <row r="83" spans="1:21" ht="12.75">
      <c r="A83" s="34" t="e">
        <f t="shared" si="4"/>
        <v>#REF!</v>
      </c>
      <c r="B83" s="267" t="e">
        <f>#REF!</f>
        <v>#REF!</v>
      </c>
      <c r="C83" s="304" t="e">
        <f>#REF!</f>
        <v>#REF!</v>
      </c>
      <c r="D83" s="304" t="e">
        <f>#REF!</f>
        <v>#REF!</v>
      </c>
      <c r="E83" s="267" t="e">
        <f>#REF!</f>
        <v>#REF!</v>
      </c>
      <c r="F83" s="267" t="e">
        <f>#REF!</f>
        <v>#REF!</v>
      </c>
      <c r="G83" s="305" t="e">
        <f t="shared" si="3"/>
        <v>#REF!</v>
      </c>
      <c r="H83" s="267" t="e">
        <f>#REF!</f>
        <v>#REF!</v>
      </c>
      <c r="I83" s="267" t="e">
        <f>#REF!</f>
        <v>#REF!</v>
      </c>
      <c r="J83" s="2"/>
      <c r="M83" s="93"/>
      <c r="N83" s="96"/>
      <c r="P83" s="93"/>
      <c r="T83" s="2"/>
      <c r="U83" s="2"/>
    </row>
    <row r="84" spans="1:21" ht="12.75">
      <c r="A84" s="34" t="e">
        <f t="shared" si="4"/>
        <v>#REF!</v>
      </c>
      <c r="B84" s="267" t="e">
        <f>#REF!</f>
        <v>#REF!</v>
      </c>
      <c r="C84" s="304" t="e">
        <f>#REF!</f>
        <v>#REF!</v>
      </c>
      <c r="D84" s="304" t="e">
        <f>#REF!</f>
        <v>#REF!</v>
      </c>
      <c r="E84" s="267" t="e">
        <f>#REF!</f>
        <v>#REF!</v>
      </c>
      <c r="F84" s="267" t="e">
        <f>#REF!</f>
        <v>#REF!</v>
      </c>
      <c r="G84" s="305" t="e">
        <f t="shared" si="3"/>
        <v>#REF!</v>
      </c>
      <c r="H84" s="267" t="e">
        <f>#REF!</f>
        <v>#REF!</v>
      </c>
      <c r="I84" s="267" t="e">
        <f>#REF!</f>
        <v>#REF!</v>
      </c>
      <c r="J84" s="2"/>
      <c r="M84" s="93"/>
      <c r="N84" s="96"/>
      <c r="P84" s="93"/>
      <c r="T84" s="2"/>
      <c r="U84" s="2"/>
    </row>
    <row r="85" spans="1:21" ht="12.75">
      <c r="A85" s="54" t="e">
        <f t="shared" si="4"/>
        <v>#REF!</v>
      </c>
      <c r="B85" s="267" t="e">
        <f>#REF!</f>
        <v>#REF!</v>
      </c>
      <c r="C85" s="306" t="e">
        <f>#REF!</f>
        <v>#REF!</v>
      </c>
      <c r="D85" s="306" t="e">
        <f>#REF!</f>
        <v>#REF!</v>
      </c>
      <c r="E85" s="267" t="e">
        <f>#REF!</f>
        <v>#REF!</v>
      </c>
      <c r="F85" s="267" t="e">
        <f>#REF!</f>
        <v>#REF!</v>
      </c>
      <c r="G85" s="305" t="e">
        <f t="shared" si="3"/>
        <v>#REF!</v>
      </c>
      <c r="H85" s="267" t="e">
        <f>#REF!</f>
        <v>#REF!</v>
      </c>
      <c r="I85" s="267" t="e">
        <f>#REF!</f>
        <v>#REF!</v>
      </c>
      <c r="J85" s="2"/>
      <c r="M85" s="93"/>
      <c r="N85" s="96"/>
      <c r="P85" s="93"/>
      <c r="T85" s="2"/>
      <c r="U85" s="2"/>
    </row>
    <row r="86" spans="1:21" ht="12.75">
      <c r="A86" s="37" t="e">
        <f t="shared" si="4"/>
        <v>#REF!</v>
      </c>
      <c r="B86" s="307"/>
      <c r="C86" s="308"/>
      <c r="D86" s="308"/>
      <c r="E86" s="307"/>
      <c r="F86" s="307"/>
      <c r="G86" s="307"/>
      <c r="H86" s="307"/>
      <c r="I86" s="307"/>
      <c r="J86" s="2"/>
      <c r="M86" s="93"/>
      <c r="N86" s="96"/>
      <c r="P86" s="93"/>
      <c r="T86" s="2"/>
      <c r="U86" s="2"/>
    </row>
    <row r="87" spans="3:10" ht="12.75">
      <c r="C87" s="122"/>
      <c r="D87" s="2"/>
      <c r="G87" s="2"/>
      <c r="H87" s="2"/>
      <c r="J87" s="2"/>
    </row>
    <row r="89" spans="1:21" ht="12.75">
      <c r="A89" s="21"/>
      <c r="B89" s="199"/>
      <c r="C89" s="25" t="s">
        <v>400</v>
      </c>
      <c r="D89" s="25" t="s">
        <v>401</v>
      </c>
      <c r="E89" s="62"/>
      <c r="F89" s="24"/>
      <c r="G89" s="21"/>
      <c r="H89" s="25" t="s">
        <v>393</v>
      </c>
      <c r="J89" s="2"/>
      <c r="M89" s="93"/>
      <c r="N89" s="96"/>
      <c r="P89" s="93"/>
      <c r="T89" s="2"/>
      <c r="U89" s="2"/>
    </row>
    <row r="90" spans="1:21" ht="12.75">
      <c r="A90" s="26"/>
      <c r="B90" s="27"/>
      <c r="C90" s="28"/>
      <c r="D90" s="29"/>
      <c r="E90" s="30"/>
      <c r="F90" s="27"/>
      <c r="G90" s="90"/>
      <c r="H90" s="29"/>
      <c r="J90" s="2"/>
      <c r="M90" s="93"/>
      <c r="N90" s="96"/>
      <c r="P90" s="93"/>
      <c r="T90" s="2"/>
      <c r="U90" s="2"/>
    </row>
    <row r="91" spans="1:21" ht="12.75">
      <c r="A91" s="124" t="s">
        <v>403</v>
      </c>
      <c r="B91" s="45" t="s">
        <v>398</v>
      </c>
      <c r="C91" s="313"/>
      <c r="D91" s="314"/>
      <c r="E91" s="314"/>
      <c r="F91" s="41" t="s">
        <v>524</v>
      </c>
      <c r="G91" s="315" t="s">
        <v>402</v>
      </c>
      <c r="H91" s="314"/>
      <c r="J91" s="2"/>
      <c r="M91" s="93"/>
      <c r="N91" s="96"/>
      <c r="P91" s="93"/>
      <c r="T91" s="2"/>
      <c r="U91" s="2"/>
    </row>
    <row r="92" spans="1:21" ht="12.75">
      <c r="A92" s="125" t="e">
        <f>#REF!</f>
        <v>#REF!</v>
      </c>
      <c r="B92" s="316"/>
      <c r="C92" s="317" t="e">
        <f>#REF!</f>
        <v>#REF!</v>
      </c>
      <c r="D92" s="267" t="e">
        <f>#REF!</f>
        <v>#REF!</v>
      </c>
      <c r="E92" s="318"/>
      <c r="F92" s="133" t="e">
        <f>#REF!</f>
        <v>#REF!</v>
      </c>
      <c r="G92" s="264" t="e">
        <f>#REF!</f>
        <v>#REF!</v>
      </c>
      <c r="H92" s="267" t="e">
        <f>#REF!</f>
        <v>#REF!</v>
      </c>
      <c r="J92" s="2"/>
      <c r="M92" s="93"/>
      <c r="N92" s="96"/>
      <c r="P92" s="93"/>
      <c r="T92" s="2"/>
      <c r="U92" s="2"/>
    </row>
    <row r="93" spans="1:21" ht="12.75">
      <c r="A93" s="126" t="e">
        <f aca="true" t="shared" si="5" ref="A93:A98">A92+1</f>
        <v>#REF!</v>
      </c>
      <c r="B93" s="316"/>
      <c r="C93" s="304" t="e">
        <f>#REF!</f>
        <v>#REF!</v>
      </c>
      <c r="D93" s="319" t="e">
        <f>#REF!</f>
        <v>#REF!</v>
      </c>
      <c r="E93" s="318"/>
      <c r="F93" s="135" t="e">
        <f aca="true" t="shared" si="6" ref="F93:F115">F92+1</f>
        <v>#REF!</v>
      </c>
      <c r="G93" s="264" t="e">
        <f>#REF!</f>
        <v>#REF!</v>
      </c>
      <c r="H93" s="267" t="e">
        <f>#REF!</f>
        <v>#REF!</v>
      </c>
      <c r="J93" s="2"/>
      <c r="M93" s="93"/>
      <c r="N93" s="96"/>
      <c r="P93" s="93"/>
      <c r="T93" s="2"/>
      <c r="U93" s="2"/>
    </row>
    <row r="94" spans="1:21" ht="12.75">
      <c r="A94" s="126" t="e">
        <f t="shared" si="5"/>
        <v>#REF!</v>
      </c>
      <c r="B94" s="316"/>
      <c r="C94" s="267" t="e">
        <f>#REF!</f>
        <v>#REF!</v>
      </c>
      <c r="D94" s="267" t="e">
        <f>#REF!</f>
        <v>#REF!</v>
      </c>
      <c r="E94" s="127"/>
      <c r="F94" s="135" t="e">
        <f t="shared" si="6"/>
        <v>#REF!</v>
      </c>
      <c r="G94" s="264" t="e">
        <f>#REF!</f>
        <v>#REF!</v>
      </c>
      <c r="H94" s="267" t="e">
        <f>#REF!</f>
        <v>#REF!</v>
      </c>
      <c r="J94" s="2"/>
      <c r="M94" s="93"/>
      <c r="N94" s="96"/>
      <c r="P94" s="93"/>
      <c r="T94" s="2"/>
      <c r="U94" s="2"/>
    </row>
    <row r="95" spans="1:21" ht="12.75">
      <c r="A95" s="128" t="e">
        <f t="shared" si="5"/>
        <v>#REF!</v>
      </c>
      <c r="B95" s="320"/>
      <c r="C95" s="321"/>
      <c r="D95" s="319" t="e">
        <f>#REF!</f>
        <v>#REF!</v>
      </c>
      <c r="E95" s="318"/>
      <c r="F95" s="135" t="e">
        <f t="shared" si="6"/>
        <v>#REF!</v>
      </c>
      <c r="G95" s="264" t="e">
        <f>#REF!</f>
        <v>#REF!</v>
      </c>
      <c r="H95" s="267" t="e">
        <f>#REF!</f>
        <v>#REF!</v>
      </c>
      <c r="J95" s="2"/>
      <c r="M95" s="93"/>
      <c r="N95" s="96"/>
      <c r="P95" s="93"/>
      <c r="T95" s="2"/>
      <c r="U95" s="2"/>
    </row>
    <row r="96" spans="1:21" ht="12.75">
      <c r="A96" s="129" t="e">
        <f t="shared" si="5"/>
        <v>#REF!</v>
      </c>
      <c r="B96" s="292"/>
      <c r="C96" s="292"/>
      <c r="D96" s="292"/>
      <c r="E96" s="318"/>
      <c r="F96" s="135" t="e">
        <f t="shared" si="6"/>
        <v>#REF!</v>
      </c>
      <c r="G96" s="264" t="e">
        <f>#REF!</f>
        <v>#REF!</v>
      </c>
      <c r="H96" s="267" t="e">
        <f>#REF!</f>
        <v>#REF!</v>
      </c>
      <c r="J96" s="2"/>
      <c r="M96" s="93"/>
      <c r="N96" s="96"/>
      <c r="P96" s="93"/>
      <c r="T96" s="2"/>
      <c r="U96" s="2"/>
    </row>
    <row r="97" spans="1:21" ht="12.75">
      <c r="A97" s="129" t="e">
        <f t="shared" si="5"/>
        <v>#REF!</v>
      </c>
      <c r="B97" s="320"/>
      <c r="C97" s="305"/>
      <c r="D97" s="322"/>
      <c r="E97" s="318"/>
      <c r="F97" s="135" t="e">
        <f t="shared" si="6"/>
        <v>#REF!</v>
      </c>
      <c r="G97" s="264" t="e">
        <f>#REF!</f>
        <v>#REF!</v>
      </c>
      <c r="H97" s="267" t="e">
        <f>#REF!</f>
        <v>#REF!</v>
      </c>
      <c r="J97" s="2"/>
      <c r="M97" s="93"/>
      <c r="N97" s="96"/>
      <c r="P97" s="93"/>
      <c r="T97" s="2"/>
      <c r="U97" s="2"/>
    </row>
    <row r="98" spans="1:21" ht="12.75">
      <c r="A98" s="129" t="e">
        <f t="shared" si="5"/>
        <v>#REF!</v>
      </c>
      <c r="B98" s="323"/>
      <c r="C98" s="307"/>
      <c r="D98" s="292"/>
      <c r="E98" s="318"/>
      <c r="F98" s="135" t="e">
        <f t="shared" si="6"/>
        <v>#REF!</v>
      </c>
      <c r="G98" s="264" t="e">
        <f>#REF!</f>
        <v>#REF!</v>
      </c>
      <c r="H98" s="267" t="e">
        <f>#REF!</f>
        <v>#REF!</v>
      </c>
      <c r="J98" s="2"/>
      <c r="M98" s="93"/>
      <c r="N98" s="96"/>
      <c r="P98" s="93"/>
      <c r="T98" s="2"/>
      <c r="U98" s="2"/>
    </row>
    <row r="99" spans="1:21" ht="12.75">
      <c r="A99" s="131"/>
      <c r="B99" s="314"/>
      <c r="C99" s="314"/>
      <c r="D99" s="314"/>
      <c r="E99" s="318"/>
      <c r="F99" s="135" t="e">
        <f t="shared" si="6"/>
        <v>#REF!</v>
      </c>
      <c r="G99" s="264" t="e">
        <f>#REF!</f>
        <v>#REF!</v>
      </c>
      <c r="H99" s="267" t="e">
        <f>#REF!</f>
        <v>#REF!</v>
      </c>
      <c r="J99" s="2"/>
      <c r="M99" s="93"/>
      <c r="N99" s="96"/>
      <c r="P99" s="93"/>
      <c r="T99" s="2"/>
      <c r="U99" s="2"/>
    </row>
    <row r="100" spans="1:21" ht="12.75">
      <c r="A100" s="83"/>
      <c r="B100" s="132"/>
      <c r="C100" s="132"/>
      <c r="D100" s="119"/>
      <c r="E100" s="314"/>
      <c r="F100" s="135" t="e">
        <f t="shared" si="6"/>
        <v>#REF!</v>
      </c>
      <c r="G100" s="264" t="e">
        <f>#REF!</f>
        <v>#REF!</v>
      </c>
      <c r="H100" s="267" t="e">
        <f>#REF!</f>
        <v>#REF!</v>
      </c>
      <c r="J100" s="2"/>
      <c r="M100" s="93"/>
      <c r="N100" s="96"/>
      <c r="P100" s="93"/>
      <c r="T100" s="2"/>
      <c r="U100" s="2"/>
    </row>
    <row r="101" spans="1:21" ht="12.75">
      <c r="A101" s="284"/>
      <c r="B101" s="324"/>
      <c r="C101" s="324"/>
      <c r="D101" s="324"/>
      <c r="E101" s="314"/>
      <c r="F101" s="135" t="e">
        <f t="shared" si="6"/>
        <v>#REF!</v>
      </c>
      <c r="G101" s="264" t="e">
        <f>#REF!</f>
        <v>#REF!</v>
      </c>
      <c r="H101" s="267" t="e">
        <f>#REF!</f>
        <v>#REF!</v>
      </c>
      <c r="J101" s="2"/>
      <c r="M101" s="93"/>
      <c r="N101" s="96"/>
      <c r="P101" s="93"/>
      <c r="T101" s="2"/>
      <c r="U101" s="2"/>
    </row>
    <row r="102" spans="1:21" ht="12.75">
      <c r="A102" s="83"/>
      <c r="B102" s="132"/>
      <c r="C102" s="325"/>
      <c r="D102" s="285"/>
      <c r="E102" s="119"/>
      <c r="F102" s="135" t="e">
        <f t="shared" si="6"/>
        <v>#REF!</v>
      </c>
      <c r="G102" s="264" t="e">
        <f>#REF!</f>
        <v>#REF!</v>
      </c>
      <c r="H102" s="267" t="e">
        <f>#REF!</f>
        <v>#REF!</v>
      </c>
      <c r="J102" s="2"/>
      <c r="M102" s="93"/>
      <c r="N102" s="96"/>
      <c r="P102" s="93"/>
      <c r="T102" s="2"/>
      <c r="U102" s="2"/>
    </row>
    <row r="103" spans="1:21" ht="12.75">
      <c r="A103" s="286"/>
      <c r="B103" s="84"/>
      <c r="C103" s="282"/>
      <c r="D103" s="326"/>
      <c r="E103" s="314"/>
      <c r="F103" s="135" t="e">
        <f t="shared" si="6"/>
        <v>#REF!</v>
      </c>
      <c r="G103" s="264" t="e">
        <f>#REF!</f>
        <v>#REF!</v>
      </c>
      <c r="H103" s="267" t="e">
        <f>#REF!</f>
        <v>#REF!</v>
      </c>
      <c r="J103" s="2"/>
      <c r="M103" s="93"/>
      <c r="N103" s="96"/>
      <c r="P103" s="93"/>
      <c r="T103" s="2"/>
      <c r="U103" s="2"/>
    </row>
    <row r="104" spans="1:21" ht="12.75">
      <c r="A104" s="286"/>
      <c r="B104" s="84"/>
      <c r="C104" s="84"/>
      <c r="D104" s="326"/>
      <c r="E104" s="314"/>
      <c r="F104" s="135" t="e">
        <f t="shared" si="6"/>
        <v>#REF!</v>
      </c>
      <c r="G104" s="264" t="e">
        <f>#REF!</f>
        <v>#REF!</v>
      </c>
      <c r="H104" s="267" t="e">
        <f>#REF!</f>
        <v>#REF!</v>
      </c>
      <c r="J104" s="2"/>
      <c r="M104" s="93"/>
      <c r="N104" s="96"/>
      <c r="P104" s="93"/>
      <c r="T104" s="2"/>
      <c r="U104" s="2"/>
    </row>
    <row r="105" spans="1:21" ht="12.75">
      <c r="A105" s="286"/>
      <c r="B105" s="84"/>
      <c r="C105" s="84"/>
      <c r="D105" s="326"/>
      <c r="E105" s="314"/>
      <c r="F105" s="135" t="e">
        <f t="shared" si="6"/>
        <v>#REF!</v>
      </c>
      <c r="G105" s="264" t="e">
        <f>#REF!</f>
        <v>#REF!</v>
      </c>
      <c r="H105" s="267" t="e">
        <f>#REF!</f>
        <v>#REF!</v>
      </c>
      <c r="J105" s="2"/>
      <c r="M105" s="93"/>
      <c r="N105" s="96"/>
      <c r="P105" s="93"/>
      <c r="T105" s="2"/>
      <c r="U105" s="2"/>
    </row>
    <row r="106" spans="1:21" ht="12.75">
      <c r="A106" s="286"/>
      <c r="B106" s="84"/>
      <c r="C106" s="84"/>
      <c r="D106" s="326"/>
      <c r="E106" s="314"/>
      <c r="F106" s="135" t="e">
        <f t="shared" si="6"/>
        <v>#REF!</v>
      </c>
      <c r="G106" s="264" t="e">
        <f>#REF!</f>
        <v>#REF!</v>
      </c>
      <c r="H106" s="267" t="e">
        <f>#REF!</f>
        <v>#REF!</v>
      </c>
      <c r="J106" s="2"/>
      <c r="M106" s="93"/>
      <c r="N106" s="96"/>
      <c r="P106" s="93"/>
      <c r="T106" s="2"/>
      <c r="U106" s="2"/>
    </row>
    <row r="107" spans="1:21" ht="12.75">
      <c r="A107" s="286"/>
      <c r="B107" s="84"/>
      <c r="C107" s="84"/>
      <c r="D107" s="326"/>
      <c r="E107" s="314"/>
      <c r="F107" s="135" t="e">
        <f t="shared" si="6"/>
        <v>#REF!</v>
      </c>
      <c r="G107" s="264" t="e">
        <f>#REF!</f>
        <v>#REF!</v>
      </c>
      <c r="H107" s="267" t="e">
        <f>#REF!</f>
        <v>#REF!</v>
      </c>
      <c r="J107" s="2"/>
      <c r="M107" s="93"/>
      <c r="N107" s="96"/>
      <c r="P107" s="93"/>
      <c r="T107" s="2"/>
      <c r="U107" s="2"/>
    </row>
    <row r="108" spans="1:21" ht="12.75">
      <c r="A108" s="286"/>
      <c r="B108" s="84"/>
      <c r="C108" s="309"/>
      <c r="D108" s="326"/>
      <c r="E108" s="314"/>
      <c r="F108" s="135" t="e">
        <f t="shared" si="6"/>
        <v>#REF!</v>
      </c>
      <c r="G108" s="264" t="e">
        <f>#REF!</f>
        <v>#REF!</v>
      </c>
      <c r="H108" s="267" t="e">
        <f>#REF!</f>
        <v>#REF!</v>
      </c>
      <c r="J108" s="2"/>
      <c r="M108" s="93"/>
      <c r="N108" s="96"/>
      <c r="P108" s="93"/>
      <c r="T108" s="2"/>
      <c r="U108" s="2"/>
    </row>
    <row r="109" spans="1:21" ht="12.75">
      <c r="A109" s="286"/>
      <c r="B109" s="327"/>
      <c r="C109" s="132"/>
      <c r="D109" s="328"/>
      <c r="E109" s="314"/>
      <c r="F109" s="135" t="e">
        <f t="shared" si="6"/>
        <v>#REF!</v>
      </c>
      <c r="G109" s="264" t="e">
        <f>#REF!</f>
        <v>#REF!</v>
      </c>
      <c r="H109" s="267" t="e">
        <f>#REF!</f>
        <v>#REF!</v>
      </c>
      <c r="J109" s="2"/>
      <c r="M109" s="93"/>
      <c r="N109" s="96"/>
      <c r="P109" s="93"/>
      <c r="T109" s="2"/>
      <c r="U109" s="2"/>
    </row>
    <row r="110" spans="1:21" ht="12.75">
      <c r="A110" s="287"/>
      <c r="B110" s="84"/>
      <c r="C110" s="325"/>
      <c r="D110" s="325"/>
      <c r="E110" s="314"/>
      <c r="F110" s="135" t="e">
        <f t="shared" si="6"/>
        <v>#REF!</v>
      </c>
      <c r="G110" s="264" t="e">
        <f>#REF!</f>
        <v>#REF!</v>
      </c>
      <c r="H110" s="267" t="e">
        <f>#REF!</f>
        <v>#REF!</v>
      </c>
      <c r="J110" s="2"/>
      <c r="M110" s="93"/>
      <c r="N110" s="96"/>
      <c r="P110" s="93"/>
      <c r="T110" s="2"/>
      <c r="U110" s="2"/>
    </row>
    <row r="111" spans="1:21" ht="12.75">
      <c r="A111" s="99"/>
      <c r="B111" s="84"/>
      <c r="C111" s="282"/>
      <c r="D111" s="326"/>
      <c r="E111" s="314"/>
      <c r="F111" s="135" t="e">
        <f t="shared" si="6"/>
        <v>#REF!</v>
      </c>
      <c r="G111" s="264" t="e">
        <f>#REF!</f>
        <v>#REF!</v>
      </c>
      <c r="H111" s="267" t="e">
        <f>#REF!</f>
        <v>#REF!</v>
      </c>
      <c r="J111" s="2"/>
      <c r="M111" s="93"/>
      <c r="N111" s="96"/>
      <c r="P111" s="93"/>
      <c r="T111" s="2"/>
      <c r="U111" s="2"/>
    </row>
    <row r="112" spans="1:21" ht="12.75">
      <c r="A112" s="286"/>
      <c r="B112" s="84"/>
      <c r="C112" s="84"/>
      <c r="D112" s="326"/>
      <c r="E112" s="314"/>
      <c r="F112" s="135" t="e">
        <f t="shared" si="6"/>
        <v>#REF!</v>
      </c>
      <c r="G112" s="264" t="e">
        <f>#REF!</f>
        <v>#REF!</v>
      </c>
      <c r="H112" s="267" t="e">
        <f>#REF!</f>
        <v>#REF!</v>
      </c>
      <c r="J112" s="2"/>
      <c r="M112" s="93"/>
      <c r="N112" s="96"/>
      <c r="P112" s="93"/>
      <c r="T112" s="2"/>
      <c r="U112" s="2"/>
    </row>
    <row r="113" spans="1:21" ht="12.75">
      <c r="A113" s="286"/>
      <c r="B113" s="327"/>
      <c r="C113" s="132"/>
      <c r="D113" s="328"/>
      <c r="E113" s="314"/>
      <c r="F113" s="130" t="e">
        <f t="shared" si="6"/>
        <v>#REF!</v>
      </c>
      <c r="G113" s="323"/>
      <c r="H113" s="292"/>
      <c r="J113" s="2"/>
      <c r="M113" s="93"/>
      <c r="N113" s="96"/>
      <c r="P113" s="93"/>
      <c r="T113" s="2"/>
      <c r="U113" s="2"/>
    </row>
    <row r="114" spans="1:21" ht="12.75">
      <c r="A114" s="84"/>
      <c r="B114" s="84"/>
      <c r="C114" s="325"/>
      <c r="D114" s="325"/>
      <c r="E114" s="42"/>
      <c r="F114" s="135" t="e">
        <f t="shared" si="6"/>
        <v>#REF!</v>
      </c>
      <c r="G114" s="226"/>
      <c r="H114" s="270" t="e">
        <f>#REF!</f>
        <v>#REF!</v>
      </c>
      <c r="J114" s="2"/>
      <c r="M114" s="93"/>
      <c r="N114" s="96"/>
      <c r="P114" s="93"/>
      <c r="T114" s="2"/>
      <c r="U114" s="2"/>
    </row>
    <row r="115" spans="1:21" ht="12.75">
      <c r="A115" s="286"/>
      <c r="B115" s="225"/>
      <c r="C115" s="132"/>
      <c r="D115" s="328"/>
      <c r="E115" s="42"/>
      <c r="F115" s="130" t="e">
        <f t="shared" si="6"/>
        <v>#REF!</v>
      </c>
      <c r="G115" s="323"/>
      <c r="H115" s="329"/>
      <c r="J115" s="2"/>
      <c r="M115" s="93"/>
      <c r="N115" s="96"/>
      <c r="P115" s="93"/>
      <c r="T115" s="2"/>
      <c r="U115" s="2"/>
    </row>
    <row r="116" spans="1:21" ht="12.75">
      <c r="A116" s="286"/>
      <c r="B116" s="330"/>
      <c r="C116" s="84"/>
      <c r="D116" s="326"/>
      <c r="E116" s="42"/>
      <c r="F116" s="318"/>
      <c r="G116" s="318"/>
      <c r="H116" s="318"/>
      <c r="J116" s="2"/>
      <c r="M116" s="93"/>
      <c r="N116" s="96"/>
      <c r="P116" s="93"/>
      <c r="T116" s="2"/>
      <c r="U116" s="2"/>
    </row>
    <row r="117" spans="1:21" ht="12.75">
      <c r="A117" s="287"/>
      <c r="B117" s="84"/>
      <c r="C117" s="325"/>
      <c r="D117" s="325"/>
      <c r="E117" s="42"/>
      <c r="F117" s="41" t="s">
        <v>408</v>
      </c>
      <c r="G117" s="315" t="s">
        <v>409</v>
      </c>
      <c r="H117" s="314"/>
      <c r="J117" s="2"/>
      <c r="M117" s="93"/>
      <c r="N117" s="96"/>
      <c r="P117" s="93"/>
      <c r="T117" s="2"/>
      <c r="U117" s="2"/>
    </row>
    <row r="118" spans="1:21" ht="12.75">
      <c r="A118" s="286"/>
      <c r="B118" s="84"/>
      <c r="C118" s="282"/>
      <c r="D118" s="326"/>
      <c r="E118" s="42"/>
      <c r="F118" s="133" t="e">
        <f>F115+1</f>
        <v>#REF!</v>
      </c>
      <c r="G118" s="264" t="e">
        <f>#REF!</f>
        <v>#REF!</v>
      </c>
      <c r="H118" s="267" t="e">
        <f>#REF!</f>
        <v>#REF!</v>
      </c>
      <c r="J118" s="2"/>
      <c r="M118" s="93"/>
      <c r="N118" s="96"/>
      <c r="P118" s="93"/>
      <c r="T118" s="2"/>
      <c r="U118" s="2"/>
    </row>
    <row r="119" spans="1:21" ht="12.75">
      <c r="A119" s="286"/>
      <c r="B119" s="84"/>
      <c r="C119" s="84"/>
      <c r="D119" s="326"/>
      <c r="E119" s="42"/>
      <c r="F119" s="133" t="e">
        <f>F118+1</f>
        <v>#REF!</v>
      </c>
      <c r="G119" s="264" t="e">
        <f>#REF!</f>
        <v>#REF!</v>
      </c>
      <c r="H119" s="267" t="e">
        <f>#REF!</f>
        <v>#REF!</v>
      </c>
      <c r="J119" s="2"/>
      <c r="M119" s="93"/>
      <c r="N119" s="96"/>
      <c r="P119" s="93"/>
      <c r="T119" s="2"/>
      <c r="U119" s="2"/>
    </row>
    <row r="120" spans="1:21" ht="12.75">
      <c r="A120" s="286"/>
      <c r="B120" s="327"/>
      <c r="C120" s="132"/>
      <c r="D120" s="328"/>
      <c r="E120" s="42"/>
      <c r="F120" s="133" t="e">
        <f>F119+1</f>
        <v>#REF!</v>
      </c>
      <c r="G120" s="264" t="e">
        <f>#REF!</f>
        <v>#REF!</v>
      </c>
      <c r="H120" s="267" t="e">
        <f>#REF!</f>
        <v>#REF!</v>
      </c>
      <c r="J120" s="2"/>
      <c r="M120" s="93"/>
      <c r="N120" s="96"/>
      <c r="P120" s="93"/>
      <c r="T120" s="2"/>
      <c r="U120" s="2"/>
    </row>
    <row r="121" spans="1:21" ht="12.75">
      <c r="A121" s="286"/>
      <c r="B121" s="330"/>
      <c r="C121" s="84"/>
      <c r="D121" s="331"/>
      <c r="E121" s="42"/>
      <c r="F121" s="133" t="e">
        <f>F120+1</f>
        <v>#REF!</v>
      </c>
      <c r="G121" s="264" t="e">
        <f>#REF!</f>
        <v>#REF!</v>
      </c>
      <c r="H121" s="267" t="e">
        <f>#REF!</f>
        <v>#REF!</v>
      </c>
      <c r="J121" s="2"/>
      <c r="M121" s="93"/>
      <c r="N121" s="96"/>
      <c r="P121" s="93"/>
      <c r="T121" s="2"/>
      <c r="U121" s="2"/>
    </row>
    <row r="122" spans="1:21" ht="12.75">
      <c r="A122" s="286"/>
      <c r="B122" s="84"/>
      <c r="C122" s="283"/>
      <c r="D122" s="331"/>
      <c r="E122" s="42"/>
      <c r="F122" s="135" t="e">
        <f>F121+1</f>
        <v>#REF!</v>
      </c>
      <c r="G122" s="264" t="e">
        <f>#REF!</f>
        <v>#REF!</v>
      </c>
      <c r="H122" s="267" t="e">
        <f>#REF!</f>
        <v>#REF!</v>
      </c>
      <c r="J122" s="2"/>
      <c r="M122" s="93"/>
      <c r="N122" s="96"/>
      <c r="P122" s="93"/>
      <c r="T122" s="2"/>
      <c r="U122" s="2"/>
    </row>
    <row r="123" spans="1:21" ht="12.75">
      <c r="A123" s="286"/>
      <c r="B123" s="327"/>
      <c r="C123" s="132"/>
      <c r="D123" s="328"/>
      <c r="E123" s="42"/>
      <c r="F123" s="130" t="e">
        <f>F122+1</f>
        <v>#REF!</v>
      </c>
      <c r="G123" s="323"/>
      <c r="H123" s="292"/>
      <c r="J123" s="2"/>
      <c r="M123" s="93"/>
      <c r="N123" s="96"/>
      <c r="P123" s="93"/>
      <c r="T123" s="2"/>
      <c r="U123" s="2"/>
    </row>
    <row r="124" spans="1:10" ht="12.75">
      <c r="A124" s="41"/>
      <c r="B124" s="42"/>
      <c r="C124" s="43"/>
      <c r="D124" s="42"/>
      <c r="E124" s="42"/>
      <c r="F124" s="45"/>
      <c r="G124" s="41"/>
      <c r="H124" s="42"/>
      <c r="I124" s="42"/>
      <c r="J124" s="42"/>
    </row>
    <row r="125" spans="1:21" ht="12.75">
      <c r="A125" s="21"/>
      <c r="B125" s="105" t="s">
        <v>417</v>
      </c>
      <c r="D125" s="2"/>
      <c r="G125" s="93"/>
      <c r="H125" s="96"/>
      <c r="I125" s="93"/>
      <c r="J125" s="93"/>
      <c r="K125" s="93"/>
      <c r="L125" s="93"/>
      <c r="M125" s="93"/>
      <c r="O125" s="2"/>
      <c r="P125" s="2"/>
      <c r="Q125" s="2"/>
      <c r="R125" s="2"/>
      <c r="S125" s="2"/>
      <c r="T125" s="2"/>
      <c r="U125" s="2"/>
    </row>
    <row r="126" spans="1:21" ht="12.75">
      <c r="A126" s="21"/>
      <c r="B126" s="106" t="e">
        <f>#REF!</f>
        <v>#REF!</v>
      </c>
      <c r="D126" s="2"/>
      <c r="G126" s="93"/>
      <c r="H126" s="96"/>
      <c r="I126" s="93"/>
      <c r="J126" s="93"/>
      <c r="K126" s="93"/>
      <c r="L126" s="93"/>
      <c r="M126" s="93"/>
      <c r="O126" s="2"/>
      <c r="P126" s="2"/>
      <c r="Q126" s="2"/>
      <c r="R126" s="2"/>
      <c r="S126" s="2"/>
      <c r="T126" s="2"/>
      <c r="U126" s="2"/>
    </row>
    <row r="127" spans="1:21" ht="12.75">
      <c r="A127" s="26"/>
      <c r="B127" s="29"/>
      <c r="D127" s="2"/>
      <c r="G127" s="93"/>
      <c r="H127" s="96"/>
      <c r="I127" s="93"/>
      <c r="J127" s="93"/>
      <c r="K127" s="93"/>
      <c r="L127" s="93"/>
      <c r="M127" s="93"/>
      <c r="O127" s="2"/>
      <c r="P127" s="2"/>
      <c r="Q127" s="2"/>
      <c r="R127" s="2"/>
      <c r="S127" s="2"/>
      <c r="T127" s="2"/>
      <c r="U127" s="2"/>
    </row>
    <row r="128" spans="1:21" ht="12.75">
      <c r="A128" s="159" t="s">
        <v>525</v>
      </c>
      <c r="B128" s="95"/>
      <c r="D128" s="2"/>
      <c r="G128" s="93"/>
      <c r="H128" s="96"/>
      <c r="I128" s="93"/>
      <c r="J128" s="93"/>
      <c r="K128" s="93"/>
      <c r="L128" s="93"/>
      <c r="M128" s="93"/>
      <c r="O128" s="2"/>
      <c r="P128" s="2"/>
      <c r="Q128" s="2"/>
      <c r="R128" s="2"/>
      <c r="S128" s="2"/>
      <c r="T128" s="2"/>
      <c r="U128" s="2"/>
    </row>
    <row r="129" spans="1:21" ht="12.75">
      <c r="A129" s="31">
        <f>Instandhouding!A10</f>
        <v>2001</v>
      </c>
      <c r="B129" s="332" t="e">
        <f>Instandhouding!#REF!</f>
        <v>#REF!</v>
      </c>
      <c r="D129" s="2"/>
      <c r="G129" s="93"/>
      <c r="H129" s="96"/>
      <c r="I129" s="93"/>
      <c r="J129" s="93"/>
      <c r="K129" s="93"/>
      <c r="L129" s="93"/>
      <c r="M129" s="93"/>
      <c r="O129" s="2"/>
      <c r="P129" s="2"/>
      <c r="Q129" s="2"/>
      <c r="R129" s="2"/>
      <c r="S129" s="2"/>
      <c r="T129" s="2"/>
      <c r="U129" s="2"/>
    </row>
    <row r="130" spans="1:21" ht="12.75">
      <c r="A130" s="34">
        <f aca="true" t="shared" si="7" ref="A130:A149">A129+1</f>
        <v>2002</v>
      </c>
      <c r="B130" s="332" t="e">
        <f>Instandhouding!#REF!</f>
        <v>#REF!</v>
      </c>
      <c r="D130" s="2"/>
      <c r="G130" s="93"/>
      <c r="H130" s="96"/>
      <c r="I130" s="93"/>
      <c r="J130" s="93"/>
      <c r="K130" s="93"/>
      <c r="L130" s="93"/>
      <c r="M130" s="93"/>
      <c r="O130" s="2"/>
      <c r="P130" s="2"/>
      <c r="Q130" s="2"/>
      <c r="R130" s="2"/>
      <c r="S130" s="2"/>
      <c r="T130" s="2"/>
      <c r="U130" s="2"/>
    </row>
    <row r="131" spans="1:21" ht="12.75">
      <c r="A131" s="34">
        <f t="shared" si="7"/>
        <v>2003</v>
      </c>
      <c r="B131" s="332" t="e">
        <f>Instandhouding!#REF!</f>
        <v>#REF!</v>
      </c>
      <c r="D131" s="2"/>
      <c r="G131" s="93"/>
      <c r="H131" s="96"/>
      <c r="I131" s="93"/>
      <c r="J131" s="93"/>
      <c r="K131" s="93"/>
      <c r="L131" s="93"/>
      <c r="M131" s="93"/>
      <c r="O131" s="2"/>
      <c r="P131" s="2"/>
      <c r="Q131" s="2"/>
      <c r="R131" s="2"/>
      <c r="S131" s="2"/>
      <c r="T131" s="2"/>
      <c r="U131" s="2"/>
    </row>
    <row r="132" spans="1:21" ht="12.75">
      <c r="A132" s="34">
        <f t="shared" si="7"/>
        <v>2004</v>
      </c>
      <c r="B132" s="332" t="e">
        <f>Instandhouding!#REF!</f>
        <v>#REF!</v>
      </c>
      <c r="D132" s="2"/>
      <c r="G132" s="93"/>
      <c r="H132" s="96"/>
      <c r="I132" s="93"/>
      <c r="J132" s="93"/>
      <c r="K132" s="93"/>
      <c r="L132" s="93"/>
      <c r="M132" s="93"/>
      <c r="O132" s="2"/>
      <c r="P132" s="2"/>
      <c r="Q132" s="2"/>
      <c r="R132" s="2"/>
      <c r="S132" s="2"/>
      <c r="T132" s="2"/>
      <c r="U132" s="2"/>
    </row>
    <row r="133" spans="1:21" ht="12.75">
      <c r="A133" s="34">
        <f t="shared" si="7"/>
        <v>2005</v>
      </c>
      <c r="B133" s="332" t="e">
        <f>Instandhouding!#REF!</f>
        <v>#REF!</v>
      </c>
      <c r="D133" s="2"/>
      <c r="G133" s="93"/>
      <c r="H133" s="96"/>
      <c r="I133" s="93"/>
      <c r="J133" s="93"/>
      <c r="K133" s="93"/>
      <c r="L133" s="93"/>
      <c r="M133" s="93"/>
      <c r="O133" s="2"/>
      <c r="P133" s="2"/>
      <c r="Q133" s="2"/>
      <c r="R133" s="2"/>
      <c r="S133" s="2"/>
      <c r="T133" s="2"/>
      <c r="U133" s="2"/>
    </row>
    <row r="134" spans="1:21" ht="12.75">
      <c r="A134" s="34">
        <f t="shared" si="7"/>
        <v>2006</v>
      </c>
      <c r="B134" s="332" t="e">
        <f>Instandhouding!#REF!</f>
        <v>#REF!</v>
      </c>
      <c r="D134" s="2"/>
      <c r="G134" s="93"/>
      <c r="H134" s="96"/>
      <c r="I134" s="93"/>
      <c r="J134" s="93"/>
      <c r="K134" s="93"/>
      <c r="L134" s="93"/>
      <c r="M134" s="93"/>
      <c r="O134" s="2"/>
      <c r="P134" s="2"/>
      <c r="Q134" s="2"/>
      <c r="R134" s="2"/>
      <c r="S134" s="2"/>
      <c r="T134" s="2"/>
      <c r="U134" s="2"/>
    </row>
    <row r="135" spans="1:21" ht="12.75">
      <c r="A135" s="34">
        <f t="shared" si="7"/>
        <v>2007</v>
      </c>
      <c r="B135" s="332" t="e">
        <f>Instandhouding!#REF!</f>
        <v>#REF!</v>
      </c>
      <c r="D135" s="2"/>
      <c r="G135" s="93"/>
      <c r="H135" s="96"/>
      <c r="I135" s="93"/>
      <c r="J135" s="93"/>
      <c r="K135" s="93"/>
      <c r="L135" s="93"/>
      <c r="M135" s="93"/>
      <c r="O135" s="2"/>
      <c r="P135" s="2"/>
      <c r="Q135" s="2"/>
      <c r="R135" s="2"/>
      <c r="S135" s="2"/>
      <c r="T135" s="2"/>
      <c r="U135" s="2"/>
    </row>
    <row r="136" spans="1:21" ht="12.75">
      <c r="A136" s="34">
        <f t="shared" si="7"/>
        <v>2008</v>
      </c>
      <c r="B136" s="332" t="e">
        <f>Instandhouding!#REF!</f>
        <v>#REF!</v>
      </c>
      <c r="D136" s="2"/>
      <c r="G136" s="93"/>
      <c r="H136" s="96"/>
      <c r="I136" s="93"/>
      <c r="J136" s="93"/>
      <c r="K136" s="93"/>
      <c r="L136" s="93"/>
      <c r="M136" s="93"/>
      <c r="O136" s="2"/>
      <c r="P136" s="2"/>
      <c r="Q136" s="2"/>
      <c r="R136" s="2"/>
      <c r="S136" s="2"/>
      <c r="T136" s="2"/>
      <c r="U136" s="2"/>
    </row>
    <row r="137" spans="1:21" ht="12.75">
      <c r="A137" s="34">
        <f t="shared" si="7"/>
        <v>2009</v>
      </c>
      <c r="B137" s="332" t="e">
        <f>Instandhouding!#REF!</f>
        <v>#REF!</v>
      </c>
      <c r="D137" s="2"/>
      <c r="G137" s="93"/>
      <c r="H137" s="96"/>
      <c r="I137" s="93"/>
      <c r="J137" s="93"/>
      <c r="K137" s="93"/>
      <c r="L137" s="93"/>
      <c r="M137" s="93"/>
      <c r="O137" s="2"/>
      <c r="P137" s="2"/>
      <c r="Q137" s="2"/>
      <c r="R137" s="2"/>
      <c r="S137" s="2"/>
      <c r="T137" s="2"/>
      <c r="U137" s="2"/>
    </row>
    <row r="138" spans="1:21" ht="12.75">
      <c r="A138" s="34">
        <f t="shared" si="7"/>
        <v>2010</v>
      </c>
      <c r="B138" s="332" t="e">
        <f>Instandhouding!#REF!</f>
        <v>#REF!</v>
      </c>
      <c r="D138" s="2"/>
      <c r="G138" s="93"/>
      <c r="H138" s="96"/>
      <c r="I138" s="93"/>
      <c r="J138" s="93"/>
      <c r="K138" s="93"/>
      <c r="L138" s="93"/>
      <c r="M138" s="93"/>
      <c r="O138" s="2"/>
      <c r="P138" s="2"/>
      <c r="Q138" s="2"/>
      <c r="R138" s="2"/>
      <c r="S138" s="2"/>
      <c r="T138" s="2"/>
      <c r="U138" s="2"/>
    </row>
    <row r="139" spans="1:21" ht="12.75">
      <c r="A139" s="34">
        <f t="shared" si="7"/>
        <v>2011</v>
      </c>
      <c r="B139" s="332" t="e">
        <f>Instandhouding!#REF!</f>
        <v>#REF!</v>
      </c>
      <c r="D139" s="2"/>
      <c r="G139" s="93"/>
      <c r="H139" s="96"/>
      <c r="I139" s="93"/>
      <c r="J139" s="93"/>
      <c r="K139" s="93"/>
      <c r="L139" s="93"/>
      <c r="M139" s="93"/>
      <c r="O139" s="2"/>
      <c r="P139" s="2"/>
      <c r="Q139" s="2"/>
      <c r="R139" s="2"/>
      <c r="S139" s="2"/>
      <c r="T139" s="2"/>
      <c r="U139" s="2"/>
    </row>
    <row r="140" spans="1:21" ht="12.75">
      <c r="A140" s="34">
        <f t="shared" si="7"/>
        <v>2012</v>
      </c>
      <c r="B140" s="332" t="e">
        <f>Instandhouding!#REF!</f>
        <v>#REF!</v>
      </c>
      <c r="D140" s="2"/>
      <c r="G140" s="93"/>
      <c r="H140" s="96"/>
      <c r="I140" s="93"/>
      <c r="J140" s="93"/>
      <c r="K140" s="93"/>
      <c r="L140" s="93"/>
      <c r="M140" s="93"/>
      <c r="O140" s="2"/>
      <c r="P140" s="2"/>
      <c r="Q140" s="2"/>
      <c r="R140" s="2"/>
      <c r="S140" s="2"/>
      <c r="T140" s="2"/>
      <c r="U140" s="2"/>
    </row>
    <row r="141" spans="1:21" ht="12.75">
      <c r="A141" s="34">
        <f t="shared" si="7"/>
        <v>2013</v>
      </c>
      <c r="B141" s="332" t="e">
        <f>Instandhouding!#REF!</f>
        <v>#REF!</v>
      </c>
      <c r="D141" s="2"/>
      <c r="G141" s="93"/>
      <c r="H141" s="96"/>
      <c r="I141" s="93"/>
      <c r="J141" s="93"/>
      <c r="K141" s="93"/>
      <c r="L141" s="93"/>
      <c r="M141" s="93"/>
      <c r="O141" s="2"/>
      <c r="P141" s="2"/>
      <c r="Q141" s="2"/>
      <c r="R141" s="2"/>
      <c r="S141" s="2"/>
      <c r="T141" s="2"/>
      <c r="U141" s="2"/>
    </row>
    <row r="142" spans="1:21" ht="12.75">
      <c r="A142" s="34">
        <f t="shared" si="7"/>
        <v>2014</v>
      </c>
      <c r="B142" s="332" t="e">
        <f>Instandhouding!#REF!</f>
        <v>#REF!</v>
      </c>
      <c r="D142" s="2"/>
      <c r="G142" s="93"/>
      <c r="H142" s="96"/>
      <c r="I142" s="93"/>
      <c r="J142" s="93"/>
      <c r="K142" s="93"/>
      <c r="L142" s="93"/>
      <c r="M142" s="93"/>
      <c r="O142" s="2"/>
      <c r="P142" s="2"/>
      <c r="Q142" s="2"/>
      <c r="R142" s="2"/>
      <c r="S142" s="2"/>
      <c r="T142" s="2"/>
      <c r="U142" s="2"/>
    </row>
    <row r="143" spans="1:21" ht="12.75">
      <c r="A143" s="34">
        <f t="shared" si="7"/>
        <v>2015</v>
      </c>
      <c r="B143" s="332" t="e">
        <f>Instandhouding!#REF!</f>
        <v>#REF!</v>
      </c>
      <c r="D143" s="2"/>
      <c r="G143" s="93"/>
      <c r="H143" s="96"/>
      <c r="I143" s="93"/>
      <c r="J143" s="93"/>
      <c r="K143" s="93"/>
      <c r="L143" s="93"/>
      <c r="M143" s="93"/>
      <c r="O143" s="2"/>
      <c r="P143" s="2"/>
      <c r="Q143" s="2"/>
      <c r="R143" s="2"/>
      <c r="S143" s="2"/>
      <c r="T143" s="2"/>
      <c r="U143" s="2"/>
    </row>
    <row r="144" spans="1:21" ht="12.75">
      <c r="A144" s="34">
        <f t="shared" si="7"/>
        <v>2016</v>
      </c>
      <c r="B144" s="332" t="e">
        <f>Instandhouding!#REF!</f>
        <v>#REF!</v>
      </c>
      <c r="D144" s="2"/>
      <c r="G144" s="93"/>
      <c r="H144" s="96"/>
      <c r="I144" s="93"/>
      <c r="J144" s="93"/>
      <c r="K144" s="93"/>
      <c r="L144" s="93"/>
      <c r="M144" s="93"/>
      <c r="O144" s="2"/>
      <c r="P144" s="2"/>
      <c r="Q144" s="2"/>
      <c r="R144" s="2"/>
      <c r="S144" s="2"/>
      <c r="T144" s="2"/>
      <c r="U144" s="2"/>
    </row>
    <row r="145" spans="1:21" ht="12.75">
      <c r="A145" s="34">
        <f t="shared" si="7"/>
        <v>2017</v>
      </c>
      <c r="B145" s="332" t="e">
        <f>Instandhouding!#REF!</f>
        <v>#REF!</v>
      </c>
      <c r="D145" s="2"/>
      <c r="G145" s="93"/>
      <c r="H145" s="96"/>
      <c r="I145" s="93"/>
      <c r="J145" s="93"/>
      <c r="K145" s="93"/>
      <c r="L145" s="93"/>
      <c r="M145" s="93"/>
      <c r="O145" s="2"/>
      <c r="P145" s="2"/>
      <c r="Q145" s="2"/>
      <c r="R145" s="2"/>
      <c r="S145" s="2"/>
      <c r="T145" s="2"/>
      <c r="U145" s="2"/>
    </row>
    <row r="146" spans="1:21" ht="12.75">
      <c r="A146" s="34">
        <f t="shared" si="7"/>
        <v>2018</v>
      </c>
      <c r="B146" s="332" t="e">
        <f>Instandhouding!#REF!</f>
        <v>#REF!</v>
      </c>
      <c r="D146" s="2"/>
      <c r="G146" s="93"/>
      <c r="H146" s="96"/>
      <c r="I146" s="93"/>
      <c r="J146" s="93"/>
      <c r="K146" s="93"/>
      <c r="L146" s="93"/>
      <c r="M146" s="93"/>
      <c r="O146" s="2"/>
      <c r="P146" s="2"/>
      <c r="Q146" s="2"/>
      <c r="R146" s="2"/>
      <c r="S146" s="2"/>
      <c r="T146" s="2"/>
      <c r="U146" s="2"/>
    </row>
    <row r="147" spans="1:21" ht="12.75">
      <c r="A147" s="34">
        <f t="shared" si="7"/>
        <v>2019</v>
      </c>
      <c r="B147" s="332" t="e">
        <f>Instandhouding!#REF!</f>
        <v>#REF!</v>
      </c>
      <c r="D147" s="2"/>
      <c r="G147" s="93"/>
      <c r="H147" s="96"/>
      <c r="I147" s="93"/>
      <c r="J147" s="93"/>
      <c r="K147" s="93"/>
      <c r="L147" s="93"/>
      <c r="M147" s="93"/>
      <c r="O147" s="2"/>
      <c r="P147" s="2"/>
      <c r="Q147" s="2"/>
      <c r="R147" s="2"/>
      <c r="S147" s="2"/>
      <c r="T147" s="2"/>
      <c r="U147" s="2"/>
    </row>
    <row r="148" spans="1:21" ht="12.75">
      <c r="A148" s="54">
        <f t="shared" si="7"/>
        <v>2020</v>
      </c>
      <c r="B148" s="332" t="e">
        <f>Instandhouding!#REF!</f>
        <v>#REF!</v>
      </c>
      <c r="D148" s="2"/>
      <c r="G148" s="93"/>
      <c r="H148" s="96"/>
      <c r="I148" s="93"/>
      <c r="J148" s="93"/>
      <c r="K148" s="93"/>
      <c r="L148" s="93"/>
      <c r="M148" s="93"/>
      <c r="O148" s="2"/>
      <c r="P148" s="2"/>
      <c r="Q148" s="2"/>
      <c r="R148" s="2"/>
      <c r="S148" s="2"/>
      <c r="T148" s="2"/>
      <c r="U148" s="2"/>
    </row>
    <row r="149" spans="1:21" ht="12.75">
      <c r="A149" s="37">
        <f t="shared" si="7"/>
        <v>2021</v>
      </c>
      <c r="B149" s="292"/>
      <c r="D149" s="2"/>
      <c r="G149" s="93"/>
      <c r="H149" s="96"/>
      <c r="I149" s="93"/>
      <c r="J149" s="93"/>
      <c r="K149" s="93"/>
      <c r="L149" s="93"/>
      <c r="M149" s="93"/>
      <c r="O149" s="2"/>
      <c r="P149" s="2"/>
      <c r="Q149" s="2"/>
      <c r="R149" s="2"/>
      <c r="S149" s="2"/>
      <c r="T149" s="2"/>
      <c r="U149" s="2"/>
    </row>
    <row r="150" spans="1:10" ht="12.75">
      <c r="A150" s="41"/>
      <c r="B150" s="42"/>
      <c r="C150" s="42"/>
      <c r="D150" s="42"/>
      <c r="E150" s="42"/>
      <c r="F150" s="42"/>
      <c r="G150" s="42"/>
      <c r="H150" s="42"/>
      <c r="I150" s="42"/>
      <c r="J150" s="42"/>
    </row>
    <row r="151" spans="1:10" ht="12.75">
      <c r="A151" s="14" t="s">
        <v>488</v>
      </c>
      <c r="B151" s="15"/>
      <c r="C151" s="137"/>
      <c r="D151" s="15"/>
      <c r="E151" s="5"/>
      <c r="F151" s="138"/>
      <c r="G151" s="15"/>
      <c r="H151" s="15"/>
      <c r="J151" s="2"/>
    </row>
    <row r="152" spans="2:8" ht="12.75">
      <c r="B152" s="15"/>
      <c r="C152" s="15"/>
      <c r="D152" s="15"/>
      <c r="E152" s="139"/>
      <c r="F152" s="140"/>
      <c r="G152" s="139"/>
      <c r="H152" s="139"/>
    </row>
    <row r="153" spans="1:8" ht="12.75">
      <c r="A153" s="200"/>
      <c r="B153" s="201"/>
      <c r="C153" s="202" t="s">
        <v>406</v>
      </c>
      <c r="D153" s="276" t="s">
        <v>343</v>
      </c>
      <c r="E153" s="277"/>
      <c r="F153" s="198" t="s">
        <v>410</v>
      </c>
      <c r="G153" s="203"/>
      <c r="H153" s="200"/>
    </row>
    <row r="154" spans="1:8" ht="12.75">
      <c r="A154" s="201"/>
      <c r="B154" s="204"/>
      <c r="C154" s="205" t="s">
        <v>407</v>
      </c>
      <c r="D154" s="206" t="s">
        <v>335</v>
      </c>
      <c r="E154" s="108" t="s">
        <v>363</v>
      </c>
      <c r="F154" s="109"/>
      <c r="G154" s="203"/>
      <c r="H154" s="203"/>
    </row>
    <row r="155" spans="1:8" ht="12.75">
      <c r="A155" s="64"/>
      <c r="B155" s="65"/>
      <c r="C155" s="66"/>
      <c r="D155" s="162" t="s">
        <v>356</v>
      </c>
      <c r="E155" s="67"/>
      <c r="F155" s="65"/>
      <c r="G155" s="64"/>
      <c r="H155" s="68"/>
    </row>
    <row r="156" spans="1:8" ht="12.75">
      <c r="A156" s="47" t="s">
        <v>534</v>
      </c>
      <c r="B156" s="14" t="s">
        <v>355</v>
      </c>
      <c r="C156" s="90"/>
      <c r="D156" s="333"/>
      <c r="E156" s="146"/>
      <c r="F156" s="84"/>
      <c r="G156" s="84"/>
      <c r="H156" s="45"/>
    </row>
    <row r="157" spans="1:8" ht="12.75">
      <c r="A157" s="31" t="e">
        <f>#REF!</f>
        <v>#REF!</v>
      </c>
      <c r="B157" s="334"/>
      <c r="C157" s="335"/>
      <c r="D157" s="141"/>
      <c r="E157" s="332" t="e">
        <f>#REF!</f>
        <v>#REF!</v>
      </c>
      <c r="F157" s="336"/>
      <c r="G157" s="58"/>
      <c r="H157" s="337" t="s">
        <v>329</v>
      </c>
    </row>
    <row r="158" spans="1:8" ht="12.75">
      <c r="A158" s="34" t="e">
        <f aca="true" t="shared" si="8" ref="A158:A171">A157+1</f>
        <v>#REF!</v>
      </c>
      <c r="B158" s="334"/>
      <c r="C158" s="335"/>
      <c r="D158" s="143"/>
      <c r="E158" s="338"/>
      <c r="F158" s="336"/>
      <c r="G158" s="58"/>
      <c r="H158" s="225"/>
    </row>
    <row r="159" spans="1:8" ht="12.75">
      <c r="A159" s="81" t="e">
        <f t="shared" si="8"/>
        <v>#REF!</v>
      </c>
      <c r="B159" s="334"/>
      <c r="C159" s="336"/>
      <c r="D159" s="141"/>
      <c r="E159" s="267" t="e">
        <f>#REF!</f>
        <v>#REF!</v>
      </c>
      <c r="F159" s="336"/>
      <c r="G159" s="309"/>
      <c r="H159" s="337" t="s">
        <v>330</v>
      </c>
    </row>
    <row r="160" spans="1:8" ht="12.75">
      <c r="A160" s="34" t="e">
        <f t="shared" si="8"/>
        <v>#REF!</v>
      </c>
      <c r="B160" s="339"/>
      <c r="C160" s="239"/>
      <c r="D160" s="141"/>
      <c r="E160" s="340" t="e">
        <f>#REF!</f>
        <v>#REF!</v>
      </c>
      <c r="F160" s="341"/>
      <c r="G160" s="58"/>
      <c r="H160" s="337" t="s">
        <v>331</v>
      </c>
    </row>
    <row r="161" spans="1:8" ht="12.75">
      <c r="A161" s="34" t="e">
        <f t="shared" si="8"/>
        <v>#REF!</v>
      </c>
      <c r="B161" s="334"/>
      <c r="C161" s="335"/>
      <c r="D161" s="142"/>
      <c r="E161" s="332" t="e">
        <f>#REF!</f>
        <v>#REF!</v>
      </c>
      <c r="F161" s="336"/>
      <c r="G161" s="58"/>
      <c r="H161" s="337" t="s">
        <v>332</v>
      </c>
    </row>
    <row r="162" spans="1:8" ht="12.75">
      <c r="A162" s="35" t="e">
        <f t="shared" si="8"/>
        <v>#REF!</v>
      </c>
      <c r="B162" s="342"/>
      <c r="C162" s="239"/>
      <c r="D162" s="142"/>
      <c r="E162" s="340" t="e">
        <f>#REF!</f>
        <v>#REF!</v>
      </c>
      <c r="F162" s="341"/>
      <c r="G162" s="58"/>
      <c r="H162" s="337" t="s">
        <v>528</v>
      </c>
    </row>
    <row r="163" spans="1:8" ht="12.75">
      <c r="A163" s="34" t="e">
        <f t="shared" si="8"/>
        <v>#REF!</v>
      </c>
      <c r="B163" s="334"/>
      <c r="C163" s="343" t="e">
        <f>#REF!</f>
        <v>#REF!</v>
      </c>
      <c r="D163" s="143"/>
      <c r="E163" s="338"/>
      <c r="F163" s="336"/>
      <c r="G163" s="58"/>
      <c r="H163" s="337" t="s">
        <v>333</v>
      </c>
    </row>
    <row r="164" spans="1:8" ht="12.75">
      <c r="A164" s="34" t="e">
        <f t="shared" si="8"/>
        <v>#REF!</v>
      </c>
      <c r="B164" s="334"/>
      <c r="C164" s="343" t="e">
        <f>#REF!</f>
        <v>#REF!</v>
      </c>
      <c r="D164" s="142"/>
      <c r="E164" s="332" t="e">
        <f>#REF!</f>
        <v>#REF!</v>
      </c>
      <c r="F164" s="336"/>
      <c r="G164" s="58"/>
      <c r="H164" s="337" t="s">
        <v>340</v>
      </c>
    </row>
    <row r="165" spans="1:8" ht="12.75">
      <c r="A165" s="34" t="e">
        <f t="shared" si="8"/>
        <v>#REF!</v>
      </c>
      <c r="B165" s="334"/>
      <c r="C165" s="343" t="e">
        <f>#REF!</f>
        <v>#REF!</v>
      </c>
      <c r="D165" s="141"/>
      <c r="E165" s="332" t="e">
        <f>#REF!</f>
        <v>#REF!</v>
      </c>
      <c r="F165" s="336"/>
      <c r="G165" s="58"/>
      <c r="H165" s="337" t="s">
        <v>334</v>
      </c>
    </row>
    <row r="166" spans="1:8" ht="12.75">
      <c r="A166" s="35" t="e">
        <f t="shared" si="8"/>
        <v>#REF!</v>
      </c>
      <c r="B166" s="177"/>
      <c r="C166" s="343" t="e">
        <f>#REF!</f>
        <v>#REF!</v>
      </c>
      <c r="D166" s="144"/>
      <c r="E166" s="338"/>
      <c r="F166" s="336"/>
      <c r="G166" s="58"/>
      <c r="H166" s="45"/>
    </row>
    <row r="167" spans="1:8" ht="12.75">
      <c r="A167" s="37" t="e">
        <f t="shared" si="8"/>
        <v>#REF!</v>
      </c>
      <c r="B167" s="61"/>
      <c r="C167" s="344"/>
      <c r="D167" s="186"/>
      <c r="E167" s="344"/>
      <c r="F167" s="344"/>
      <c r="G167" s="345"/>
      <c r="H167" s="45"/>
    </row>
    <row r="168" spans="1:8" ht="12.75">
      <c r="A168" s="188" t="e">
        <f t="shared" si="8"/>
        <v>#REF!</v>
      </c>
      <c r="B168" s="84"/>
      <c r="C168" s="346"/>
      <c r="D168" s="187"/>
      <c r="E168" s="280" t="e">
        <f>#REF!</f>
        <v>#REF!</v>
      </c>
      <c r="F168" s="281" t="e">
        <f>#REF!</f>
        <v>#REF!</v>
      </c>
      <c r="G168" s="345"/>
      <c r="H168" s="45"/>
    </row>
    <row r="169" spans="1:8" ht="12.75">
      <c r="A169" s="37" t="e">
        <f t="shared" si="8"/>
        <v>#REF!</v>
      </c>
      <c r="B169" s="60"/>
      <c r="C169" s="347"/>
      <c r="D169" s="145"/>
      <c r="E169" s="347"/>
      <c r="F169" s="348"/>
      <c r="G169" s="345"/>
      <c r="H169" s="45"/>
    </row>
    <row r="170" spans="1:8" ht="12.75">
      <c r="A170" s="188" t="e">
        <f t="shared" si="8"/>
        <v>#REF!</v>
      </c>
      <c r="B170" s="134"/>
      <c r="C170" s="349"/>
      <c r="D170" s="189"/>
      <c r="E170" s="350"/>
      <c r="F170" s="336"/>
      <c r="G170" s="345"/>
      <c r="H170" s="45"/>
    </row>
    <row r="171" spans="1:8" ht="12.75">
      <c r="A171" s="188" t="e">
        <f t="shared" si="8"/>
        <v>#REF!</v>
      </c>
      <c r="B171" s="134"/>
      <c r="C171" s="349"/>
      <c r="D171" s="189"/>
      <c r="E171" s="350"/>
      <c r="F171" s="341"/>
      <c r="G171" s="345"/>
      <c r="H171" s="337" t="s">
        <v>532</v>
      </c>
    </row>
    <row r="172" spans="1:8" ht="12.75">
      <c r="A172" s="90"/>
      <c r="B172" s="90"/>
      <c r="C172" s="146"/>
      <c r="D172" s="147"/>
      <c r="E172" s="163"/>
      <c r="F172" s="163"/>
      <c r="G172" s="90"/>
      <c r="H172" s="45"/>
    </row>
    <row r="173" spans="1:8" s="11" customFormat="1" ht="12.75" customHeight="1">
      <c r="A173" s="260"/>
      <c r="B173" s="232"/>
      <c r="C173" s="233" t="s">
        <v>412</v>
      </c>
      <c r="D173" s="278" t="s">
        <v>413</v>
      </c>
      <c r="E173" s="279"/>
      <c r="F173" s="108" t="s">
        <v>410</v>
      </c>
      <c r="G173" s="234"/>
      <c r="H173" s="235"/>
    </row>
    <row r="174" spans="1:8" s="42" customFormat="1" ht="12.75" customHeight="1">
      <c r="A174" s="21"/>
      <c r="B174" s="232"/>
      <c r="C174" s="241"/>
      <c r="D174" s="242"/>
      <c r="E174" s="242"/>
      <c r="F174" s="243"/>
      <c r="G174" s="234"/>
      <c r="H174" s="235"/>
    </row>
    <row r="175" spans="1:8" s="42" customFormat="1" ht="12.75" customHeight="1">
      <c r="A175" s="47" t="s">
        <v>535</v>
      </c>
      <c r="B175" s="14" t="s">
        <v>359</v>
      </c>
      <c r="C175" s="90"/>
      <c r="D175" s="147"/>
      <c r="E175" s="90"/>
      <c r="F175" s="90"/>
      <c r="G175" s="90"/>
      <c r="H175" s="45"/>
    </row>
    <row r="176" spans="1:8" s="42" customFormat="1" ht="12.75" customHeight="1">
      <c r="A176" s="31" t="e">
        <f>A171+1</f>
        <v>#REF!</v>
      </c>
      <c r="B176" s="121"/>
      <c r="C176" s="239"/>
      <c r="D176" s="351"/>
      <c r="E176" s="352"/>
      <c r="F176" s="341"/>
      <c r="G176" s="84"/>
      <c r="H176" s="337" t="e">
        <f>CONCATENATE("IJ",RIGHT(#REF!,2))</f>
        <v>#REF!</v>
      </c>
    </row>
    <row r="177" spans="1:8" s="42" customFormat="1" ht="12.75" customHeight="1">
      <c r="A177" s="34" t="e">
        <f>A176+1</f>
        <v>#REF!</v>
      </c>
      <c r="B177" s="121"/>
      <c r="C177" s="148"/>
      <c r="D177" s="149"/>
      <c r="E177" s="353"/>
      <c r="F177" s="354"/>
      <c r="G177" s="84"/>
      <c r="H177" s="337" t="e">
        <f>CONCATENATE("IV",RIGHT(#REF!,2))</f>
        <v>#REF!</v>
      </c>
    </row>
    <row r="178" spans="1:8" s="42" customFormat="1" ht="12.75" customHeight="1">
      <c r="A178" s="54" t="e">
        <f>A177+1</f>
        <v>#REF!</v>
      </c>
      <c r="B178" s="121"/>
      <c r="C178" s="239"/>
      <c r="D178" s="351"/>
      <c r="E178" s="239"/>
      <c r="F178" s="341"/>
      <c r="G178" s="84"/>
      <c r="H178" s="337" t="e">
        <f>CONCATENATE("IT",RIGHT(#REF!,2))</f>
        <v>#REF!</v>
      </c>
    </row>
    <row r="179" spans="1:8" s="42" customFormat="1" ht="12.75" customHeight="1">
      <c r="A179" s="14"/>
      <c r="B179" s="90"/>
      <c r="C179" s="150"/>
      <c r="D179" s="151"/>
      <c r="E179" s="355"/>
      <c r="F179" s="355"/>
      <c r="G179" s="84"/>
      <c r="H179" s="225"/>
    </row>
    <row r="180" spans="1:8" ht="12.75">
      <c r="A180" s="47" t="s">
        <v>536</v>
      </c>
      <c r="B180" s="41" t="s">
        <v>467</v>
      </c>
      <c r="C180" s="157"/>
      <c r="D180" s="42"/>
      <c r="E180" s="42"/>
      <c r="F180" s="356"/>
      <c r="G180" s="356"/>
      <c r="H180" s="47"/>
    </row>
    <row r="181" spans="1:8" ht="12.75">
      <c r="A181" s="31" t="e">
        <f>A178+1</f>
        <v>#REF!</v>
      </c>
      <c r="B181" s="357"/>
      <c r="C181" s="152"/>
      <c r="D181" s="358"/>
      <c r="E181" s="359"/>
      <c r="F181" s="332" t="e">
        <f>#REF!</f>
        <v>#REF!</v>
      </c>
      <c r="G181" s="84"/>
      <c r="H181" s="337" t="s">
        <v>358</v>
      </c>
    </row>
    <row r="182" spans="1:8" ht="12.75">
      <c r="A182" s="35" t="e">
        <f>A181+1</f>
        <v>#REF!</v>
      </c>
      <c r="B182" s="357"/>
      <c r="C182" s="153"/>
      <c r="D182" s="360"/>
      <c r="E182" s="361"/>
      <c r="F182" s="336"/>
      <c r="G182" s="84"/>
      <c r="H182" s="337" t="s">
        <v>358</v>
      </c>
    </row>
    <row r="183" spans="1:8" ht="12.75">
      <c r="A183" s="37" t="e">
        <f>A182+1</f>
        <v>#REF!</v>
      </c>
      <c r="B183" s="362"/>
      <c r="C183" s="154"/>
      <c r="D183" s="363"/>
      <c r="E183" s="364"/>
      <c r="F183" s="365"/>
      <c r="G183" s="225"/>
      <c r="H183" s="225"/>
    </row>
    <row r="184" spans="1:8" ht="12.75">
      <c r="A184" s="41"/>
      <c r="B184" s="42"/>
      <c r="C184" s="147"/>
      <c r="D184" s="42"/>
      <c r="E184" s="42"/>
      <c r="F184" s="42"/>
      <c r="G184" s="42"/>
      <c r="H184" s="47"/>
    </row>
    <row r="185" spans="1:8" ht="12.75">
      <c r="A185" s="37" t="e">
        <f>A183+1</f>
        <v>#REF!</v>
      </c>
      <c r="B185" s="362"/>
      <c r="C185" s="154"/>
      <c r="D185" s="363"/>
      <c r="E185" s="364"/>
      <c r="F185" s="365">
        <f>F167-F171+F183</f>
        <v>0</v>
      </c>
      <c r="G185" s="42"/>
      <c r="H185" s="47"/>
    </row>
    <row r="186" spans="1:8" ht="12.75">
      <c r="A186" s="41"/>
      <c r="B186" s="42"/>
      <c r="C186" s="42"/>
      <c r="D186" s="147"/>
      <c r="E186" s="42"/>
      <c r="F186" s="42"/>
      <c r="G186" s="42"/>
      <c r="H186" s="47"/>
    </row>
    <row r="187" spans="1:8" ht="12.75">
      <c r="A187" s="41"/>
      <c r="B187" s="42"/>
      <c r="C187" s="42"/>
      <c r="D187" s="147"/>
      <c r="E187" s="42"/>
      <c r="F187" s="42"/>
      <c r="G187" s="42"/>
      <c r="H187" s="47"/>
    </row>
    <row r="188" spans="1:8" ht="12.75">
      <c r="A188" s="14" t="s">
        <v>521</v>
      </c>
      <c r="B188" s="15"/>
      <c r="C188" s="15"/>
      <c r="D188" s="137"/>
      <c r="E188" s="5"/>
      <c r="F188" s="138"/>
      <c r="G188" s="42"/>
      <c r="H188" s="47"/>
    </row>
    <row r="189" spans="2:6" ht="12.75">
      <c r="B189" s="15"/>
      <c r="C189" s="15"/>
      <c r="D189" s="15"/>
      <c r="E189" s="139"/>
      <c r="F189" s="140"/>
    </row>
    <row r="190" spans="1:6" ht="12.75">
      <c r="A190" s="64"/>
      <c r="B190" s="366"/>
      <c r="C190" s="118"/>
      <c r="D190" s="207" t="e">
        <f>CONCATENATE("Jaarrekening ",#REF!-1," ")</f>
        <v>#REF!</v>
      </c>
      <c r="E190" s="207" t="e">
        <f>CONCATENATE("Jaarrekening ",#REF!," ")</f>
        <v>#REF!</v>
      </c>
      <c r="F190" s="207" t="s">
        <v>410</v>
      </c>
    </row>
    <row r="191" spans="1:6" ht="12.75">
      <c r="A191" s="83"/>
      <c r="B191" s="325"/>
      <c r="C191" s="156"/>
      <c r="D191" s="111"/>
      <c r="E191" s="156"/>
      <c r="F191" s="113"/>
    </row>
    <row r="192" spans="1:6" ht="12.75">
      <c r="A192" s="47" t="s">
        <v>411</v>
      </c>
      <c r="B192" s="14" t="s">
        <v>357</v>
      </c>
      <c r="C192" s="147"/>
      <c r="D192" s="90"/>
      <c r="E192" s="90"/>
      <c r="F192" s="90"/>
    </row>
    <row r="193" spans="1:6" ht="12.75">
      <c r="A193" s="31" t="e">
        <f>'Rentecalc.'!#REF!</f>
        <v>#REF!</v>
      </c>
      <c r="B193" s="357"/>
      <c r="C193" s="158"/>
      <c r="D193" s="358"/>
      <c r="E193" s="359"/>
      <c r="F193" s="367">
        <f>Uitvoer!F169</f>
        <v>0</v>
      </c>
    </row>
    <row r="194" spans="1:6" ht="12.75">
      <c r="A194" s="34" t="e">
        <f>A193+1</f>
        <v>#REF!</v>
      </c>
      <c r="B194" s="368"/>
      <c r="C194" s="158"/>
      <c r="D194" s="358"/>
      <c r="E194" s="267" t="e">
        <f>'Rentecalc.'!#REF!</f>
        <v>#REF!</v>
      </c>
      <c r="F194" s="369"/>
    </row>
    <row r="195" spans="1:6" ht="12.75">
      <c r="A195" s="34" t="e">
        <f>A194+1</f>
        <v>#REF!</v>
      </c>
      <c r="B195" s="368"/>
      <c r="C195" s="158"/>
      <c r="D195" s="358"/>
      <c r="E195" s="336"/>
      <c r="F195" s="369"/>
    </row>
    <row r="196" spans="1:6" ht="12.75">
      <c r="A196" s="35" t="e">
        <f>A195+1</f>
        <v>#REF!</v>
      </c>
      <c r="B196" s="370"/>
      <c r="C196" s="224"/>
      <c r="D196" s="371"/>
      <c r="E196" s="372"/>
      <c r="F196" s="244"/>
    </row>
    <row r="197" spans="1:6" ht="12.75">
      <c r="A197" s="37" t="e">
        <f>A196+1</f>
        <v>#REF!</v>
      </c>
      <c r="B197" s="362"/>
      <c r="C197" s="154"/>
      <c r="D197" s="373"/>
      <c r="E197" s="374"/>
      <c r="F197" s="292"/>
    </row>
    <row r="198" spans="1:6" ht="12.75">
      <c r="A198" s="41"/>
      <c r="B198" s="42"/>
      <c r="C198" s="147"/>
      <c r="D198" s="42"/>
      <c r="E198" s="42"/>
      <c r="F198" s="42"/>
    </row>
    <row r="199" spans="1:6" ht="12.75">
      <c r="A199" s="47" t="s">
        <v>465</v>
      </c>
      <c r="B199" s="14"/>
      <c r="C199" s="147"/>
      <c r="D199" s="42"/>
      <c r="E199" s="42"/>
      <c r="F199" s="42"/>
    </row>
    <row r="200" spans="1:6" ht="12.75">
      <c r="A200" s="31" t="e">
        <f>A197+1</f>
        <v>#REF!</v>
      </c>
      <c r="B200" s="357"/>
      <c r="C200" s="375"/>
      <c r="D200" s="270" t="e">
        <f>'Rentecalc.'!#REF!</f>
        <v>#REF!</v>
      </c>
      <c r="E200" s="270" t="e">
        <f>'Rentecalc.'!#REF!</f>
        <v>#REF!</v>
      </c>
      <c r="F200" s="367"/>
    </row>
    <row r="201" spans="1:6" ht="12.75">
      <c r="A201" s="34" t="e">
        <f aca="true" t="shared" si="9" ref="A201:A208">A200+1</f>
        <v>#REF!</v>
      </c>
      <c r="B201" s="357"/>
      <c r="C201" s="375"/>
      <c r="D201" s="270" t="e">
        <f>'Rentecalc.'!#REF!</f>
        <v>#REF!</v>
      </c>
      <c r="E201" s="270" t="e">
        <f>'Rentecalc.'!#REF!</f>
        <v>#REF!</v>
      </c>
      <c r="F201" s="367"/>
    </row>
    <row r="202" spans="1:6" ht="12.75">
      <c r="A202" s="34" t="e">
        <f t="shared" si="9"/>
        <v>#REF!</v>
      </c>
      <c r="B202" s="357"/>
      <c r="C202" s="375"/>
      <c r="D202" s="270" t="e">
        <f>'Rentecalc.'!#REF!</f>
        <v>#REF!</v>
      </c>
      <c r="E202" s="270" t="e">
        <f>'Rentecalc.'!#REF!</f>
        <v>#REF!</v>
      </c>
      <c r="F202" s="367"/>
    </row>
    <row r="203" spans="1:6" ht="12.75">
      <c r="A203" s="34" t="e">
        <f t="shared" si="9"/>
        <v>#REF!</v>
      </c>
      <c r="B203" s="357"/>
      <c r="C203" s="375"/>
      <c r="D203" s="270" t="e">
        <f>'Rentecalc.'!#REF!</f>
        <v>#REF!</v>
      </c>
      <c r="E203" s="270" t="e">
        <f>'Rentecalc.'!#REF!</f>
        <v>#REF!</v>
      </c>
      <c r="F203" s="367"/>
    </row>
    <row r="204" spans="1:6" ht="12.75">
      <c r="A204" s="35" t="e">
        <f t="shared" si="9"/>
        <v>#REF!</v>
      </c>
      <c r="B204" s="240"/>
      <c r="C204" s="265"/>
      <c r="D204" s="270" t="e">
        <f>'Rentecalc.'!#REF!</f>
        <v>#REF!</v>
      </c>
      <c r="E204" s="270" t="e">
        <f>'Rentecalc.'!#REF!</f>
        <v>#REF!</v>
      </c>
      <c r="F204" s="367"/>
    </row>
    <row r="205" spans="1:6" ht="12.75">
      <c r="A205" s="37" t="e">
        <f t="shared" si="9"/>
        <v>#REF!</v>
      </c>
      <c r="B205" s="362"/>
      <c r="C205" s="154"/>
      <c r="D205" s="373"/>
      <c r="E205" s="374"/>
      <c r="F205" s="365"/>
    </row>
    <row r="206" spans="1:6" ht="12.75">
      <c r="A206" s="34" t="e">
        <f t="shared" si="9"/>
        <v>#REF!</v>
      </c>
      <c r="B206" s="357"/>
      <c r="C206" s="376"/>
      <c r="D206" s="377"/>
      <c r="E206" s="378"/>
      <c r="F206" s="367"/>
    </row>
    <row r="207" spans="1:6" ht="12.75">
      <c r="A207" s="35" t="e">
        <f t="shared" si="9"/>
        <v>#REF!</v>
      </c>
      <c r="B207" s="240"/>
      <c r="C207" s="265"/>
      <c r="D207" s="379"/>
      <c r="E207" s="380"/>
      <c r="F207" s="270" t="e">
        <f>'Rentecalc.'!#REF!</f>
        <v>#REF!</v>
      </c>
    </row>
    <row r="208" spans="1:6" ht="12.75">
      <c r="A208" s="37" t="e">
        <f t="shared" si="9"/>
        <v>#REF!</v>
      </c>
      <c r="B208" s="362"/>
      <c r="C208" s="154"/>
      <c r="D208" s="373"/>
      <c r="E208" s="374"/>
      <c r="F208" s="365">
        <f>F197</f>
        <v>0</v>
      </c>
    </row>
    <row r="209" spans="2:6" ht="12.75">
      <c r="B209" s="93"/>
      <c r="C209" s="155"/>
      <c r="D209" s="93"/>
      <c r="E209" s="93"/>
      <c r="F209" s="93"/>
    </row>
    <row r="210" spans="1:6" ht="12.75">
      <c r="A210" s="47" t="s">
        <v>466</v>
      </c>
      <c r="B210" s="231" t="s">
        <v>531</v>
      </c>
      <c r="C210" s="147"/>
      <c r="D210" s="90"/>
      <c r="E210" s="90"/>
      <c r="F210" s="90"/>
    </row>
    <row r="211" spans="1:6" ht="12.75">
      <c r="A211" s="31" t="e">
        <f>A208+1</f>
        <v>#REF!</v>
      </c>
      <c r="B211" s="381"/>
      <c r="C211" s="158"/>
      <c r="D211" s="270" t="e">
        <f>'Rentecalc.'!#REF!</f>
        <v>#REF!</v>
      </c>
      <c r="E211" s="270" t="e">
        <f>'Rentecalc.'!#REF!</f>
        <v>#REF!</v>
      </c>
      <c r="F211" s="336"/>
    </row>
    <row r="212" spans="1:6" ht="12.75">
      <c r="A212" s="34" t="e">
        <f>A211+1</f>
        <v>#REF!</v>
      </c>
      <c r="B212" s="382"/>
      <c r="C212" s="158"/>
      <c r="D212" s="267" t="e">
        <f>'Rentecalc.'!#REF!</f>
        <v>#REF!</v>
      </c>
      <c r="E212" s="383"/>
      <c r="F212" s="42"/>
    </row>
    <row r="213" spans="1:6" ht="12.75">
      <c r="A213" s="81" t="e">
        <f>A212+1</f>
        <v>#REF!</v>
      </c>
      <c r="B213" s="382"/>
      <c r="C213" s="228"/>
      <c r="D213" s="384"/>
      <c r="E213" s="90"/>
      <c r="F213" s="42"/>
    </row>
    <row r="214" spans="1:6" ht="12.75">
      <c r="A214" s="37" t="e">
        <f>A213+1</f>
        <v>#REF!</v>
      </c>
      <c r="B214" s="385"/>
      <c r="C214" s="154"/>
      <c r="D214" s="229"/>
      <c r="E214" s="386"/>
      <c r="F214" s="263"/>
    </row>
    <row r="215" spans="1:6" ht="12.75">
      <c r="A215" s="227"/>
      <c r="B215" s="93"/>
      <c r="C215" s="155"/>
      <c r="D215" s="93"/>
      <c r="E215" s="93"/>
      <c r="F215" s="93"/>
    </row>
    <row r="216" spans="2:6" ht="12.75">
      <c r="B216" s="93"/>
      <c r="C216" s="155"/>
      <c r="D216" s="93"/>
      <c r="E216" s="93"/>
      <c r="F216" s="93"/>
    </row>
    <row r="217" spans="1:8" ht="12.75">
      <c r="A217" s="14" t="s">
        <v>537</v>
      </c>
      <c r="B217" s="42"/>
      <c r="C217" s="42"/>
      <c r="D217" s="42"/>
      <c r="E217" s="42"/>
      <c r="F217" s="42"/>
      <c r="G217" s="42"/>
      <c r="H217" s="42"/>
    </row>
    <row r="218" spans="1:8" ht="12.75">
      <c r="A218" s="41"/>
      <c r="B218" s="42"/>
      <c r="C218" s="42"/>
      <c r="D218" s="42"/>
      <c r="E218" s="42"/>
      <c r="F218" s="42"/>
      <c r="G218" s="42"/>
      <c r="H218" s="42"/>
    </row>
    <row r="219" spans="1:21" ht="12.75" customHeight="1">
      <c r="A219" s="21"/>
      <c r="B219" s="208"/>
      <c r="C219" s="105" t="s">
        <v>414</v>
      </c>
      <c r="D219" s="209" t="s">
        <v>415</v>
      </c>
      <c r="E219" s="299"/>
      <c r="G219" s="5"/>
      <c r="H219" s="2"/>
      <c r="J219" s="2"/>
      <c r="L219" s="93"/>
      <c r="M219" s="96"/>
      <c r="N219" s="93"/>
      <c r="P219" s="93"/>
      <c r="S219" s="2"/>
      <c r="T219" s="2"/>
      <c r="U219" s="2"/>
    </row>
    <row r="220" spans="1:21" ht="12.75">
      <c r="A220" s="21"/>
      <c r="B220" s="208"/>
      <c r="C220" s="109"/>
      <c r="D220" s="109" t="e">
        <f>CONCATENATE(#REF!-1,"* ")</f>
        <v>#REF!</v>
      </c>
      <c r="E220" s="109" t="e">
        <f>CONCATENATE("Mutaties ",#REF!," ")</f>
        <v>#REF!</v>
      </c>
      <c r="G220" s="5"/>
      <c r="H220" s="2"/>
      <c r="J220" s="2"/>
      <c r="L220" s="93"/>
      <c r="M220" s="96"/>
      <c r="N220" s="93"/>
      <c r="P220" s="93"/>
      <c r="S220" s="2"/>
      <c r="T220" s="2"/>
      <c r="U220" s="2"/>
    </row>
    <row r="221" spans="1:21" ht="12.75">
      <c r="A221" s="26"/>
      <c r="B221" s="27"/>
      <c r="C221" s="29"/>
      <c r="D221" s="29"/>
      <c r="E221" s="29"/>
      <c r="G221" s="5"/>
      <c r="H221" s="2"/>
      <c r="J221" s="2"/>
      <c r="L221" s="93"/>
      <c r="M221" s="96"/>
      <c r="N221" s="93"/>
      <c r="P221" s="93"/>
      <c r="S221" s="2"/>
      <c r="T221" s="2"/>
      <c r="U221" s="2"/>
    </row>
    <row r="222" spans="1:21" ht="12.75">
      <c r="A222" s="159" t="s">
        <v>419</v>
      </c>
      <c r="B222" s="94" t="s">
        <v>469</v>
      </c>
      <c r="C222" s="387"/>
      <c r="D222" s="95"/>
      <c r="E222" s="95"/>
      <c r="G222" s="5"/>
      <c r="H222" s="2"/>
      <c r="J222" s="2"/>
      <c r="L222" s="93"/>
      <c r="M222" s="96"/>
      <c r="N222" s="93"/>
      <c r="P222" s="93"/>
      <c r="S222" s="2"/>
      <c r="T222" s="2"/>
      <c r="U222" s="2"/>
    </row>
    <row r="223" spans="1:21" ht="12.75">
      <c r="A223" s="31">
        <f>'A-G'!A9</f>
        <v>2401</v>
      </c>
      <c r="B223" s="388"/>
      <c r="C223" s="389">
        <f>'A-G'!C9</f>
        <v>0</v>
      </c>
      <c r="D223" s="390" t="e">
        <f>'A-G'!#REF!</f>
        <v>#REF!</v>
      </c>
      <c r="E223" s="391"/>
      <c r="G223" s="5"/>
      <c r="H223" s="2"/>
      <c r="J223" s="2"/>
      <c r="L223" s="93"/>
      <c r="M223" s="96"/>
      <c r="N223" s="93"/>
      <c r="P223" s="93"/>
      <c r="S223" s="2"/>
      <c r="T223" s="2"/>
      <c r="U223" s="2"/>
    </row>
    <row r="224" spans="1:21" ht="12.75">
      <c r="A224" s="34">
        <f aca="true" t="shared" si="10" ref="A224:A236">A223+1</f>
        <v>2402</v>
      </c>
      <c r="B224" s="388"/>
      <c r="C224" s="389">
        <f>'A-G'!C10</f>
        <v>0</v>
      </c>
      <c r="D224" s="239"/>
      <c r="E224" s="392">
        <f>'A-G'!D10</f>
        <v>0</v>
      </c>
      <c r="G224" s="5"/>
      <c r="H224" s="2"/>
      <c r="J224" s="2"/>
      <c r="L224" s="93"/>
      <c r="M224" s="96"/>
      <c r="N224" s="93"/>
      <c r="P224" s="93"/>
      <c r="S224" s="2"/>
      <c r="T224" s="2"/>
      <c r="U224" s="2"/>
    </row>
    <row r="225" spans="1:21" ht="12.75">
      <c r="A225" s="34">
        <f t="shared" si="10"/>
        <v>2403</v>
      </c>
      <c r="B225" s="388"/>
      <c r="C225" s="389" t="e">
        <f>'A-G'!#REF!</f>
        <v>#REF!</v>
      </c>
      <c r="D225" s="239"/>
      <c r="E225" s="392" t="e">
        <f>'A-G'!#REF!</f>
        <v>#REF!</v>
      </c>
      <c r="G225" s="5"/>
      <c r="H225" s="2"/>
      <c r="J225" s="2"/>
      <c r="L225" s="93"/>
      <c r="M225" s="96"/>
      <c r="N225" s="93"/>
      <c r="P225" s="93"/>
      <c r="S225" s="2"/>
      <c r="T225" s="2"/>
      <c r="U225" s="2"/>
    </row>
    <row r="226" spans="1:21" ht="12.75">
      <c r="A226" s="34">
        <f t="shared" si="10"/>
        <v>2404</v>
      </c>
      <c r="B226" s="388"/>
      <c r="C226" s="389" t="e">
        <f>'A-G'!#REF!</f>
        <v>#REF!</v>
      </c>
      <c r="D226" s="239"/>
      <c r="E226" s="392" t="e">
        <f>'A-G'!#REF!</f>
        <v>#REF!</v>
      </c>
      <c r="G226" s="5"/>
      <c r="H226" s="2"/>
      <c r="J226" s="2"/>
      <c r="L226" s="93"/>
      <c r="M226" s="96"/>
      <c r="N226" s="93"/>
      <c r="P226" s="93"/>
      <c r="S226" s="2"/>
      <c r="T226" s="2"/>
      <c r="U226" s="2"/>
    </row>
    <row r="227" spans="1:21" ht="12.75">
      <c r="A227" s="34">
        <f t="shared" si="10"/>
        <v>2405</v>
      </c>
      <c r="B227" s="388"/>
      <c r="C227" s="389" t="e">
        <f>'A-G'!#REF!</f>
        <v>#REF!</v>
      </c>
      <c r="D227" s="239"/>
      <c r="E227" s="392" t="e">
        <f>'A-G'!#REF!</f>
        <v>#REF!</v>
      </c>
      <c r="G227" s="5"/>
      <c r="H227" s="2"/>
      <c r="J227" s="2"/>
      <c r="L227" s="93"/>
      <c r="M227" s="96"/>
      <c r="N227" s="93"/>
      <c r="P227" s="93"/>
      <c r="S227" s="2"/>
      <c r="T227" s="2"/>
      <c r="U227" s="2"/>
    </row>
    <row r="228" spans="1:21" ht="12.75">
      <c r="A228" s="34">
        <f t="shared" si="10"/>
        <v>2406</v>
      </c>
      <c r="B228" s="388"/>
      <c r="C228" s="389" t="e">
        <f>'A-G'!#REF!</f>
        <v>#REF!</v>
      </c>
      <c r="D228" s="239"/>
      <c r="E228" s="392" t="e">
        <f>'A-G'!#REF!</f>
        <v>#REF!</v>
      </c>
      <c r="G228" s="5"/>
      <c r="H228" s="2"/>
      <c r="J228" s="2"/>
      <c r="L228" s="93"/>
      <c r="M228" s="96"/>
      <c r="N228" s="93"/>
      <c r="P228" s="93"/>
      <c r="S228" s="2"/>
      <c r="T228" s="2"/>
      <c r="U228" s="2"/>
    </row>
    <row r="229" spans="1:21" ht="12.75">
      <c r="A229" s="34">
        <f t="shared" si="10"/>
        <v>2407</v>
      </c>
      <c r="B229" s="388"/>
      <c r="C229" s="389" t="e">
        <f>'A-G'!#REF!</f>
        <v>#REF!</v>
      </c>
      <c r="D229" s="239"/>
      <c r="E229" s="392" t="e">
        <f>'A-G'!#REF!</f>
        <v>#REF!</v>
      </c>
      <c r="G229" s="5"/>
      <c r="H229" s="2"/>
      <c r="J229" s="2"/>
      <c r="L229" s="93"/>
      <c r="M229" s="96"/>
      <c r="N229" s="93"/>
      <c r="P229" s="93"/>
      <c r="S229" s="2"/>
      <c r="T229" s="2"/>
      <c r="U229" s="2"/>
    </row>
    <row r="230" spans="1:21" ht="12.75">
      <c r="A230" s="34">
        <f t="shared" si="10"/>
        <v>2408</v>
      </c>
      <c r="B230" s="388"/>
      <c r="C230" s="389" t="e">
        <f>'A-G'!#REF!</f>
        <v>#REF!</v>
      </c>
      <c r="D230" s="239"/>
      <c r="E230" s="392" t="e">
        <f>'A-G'!#REF!</f>
        <v>#REF!</v>
      </c>
      <c r="G230" s="5"/>
      <c r="H230" s="2"/>
      <c r="J230" s="2"/>
      <c r="L230" s="93"/>
      <c r="M230" s="96"/>
      <c r="N230" s="93"/>
      <c r="P230" s="93"/>
      <c r="S230" s="2"/>
      <c r="T230" s="2"/>
      <c r="U230" s="2"/>
    </row>
    <row r="231" spans="1:21" ht="12.75">
      <c r="A231" s="34">
        <f t="shared" si="10"/>
        <v>2409</v>
      </c>
      <c r="B231" s="388"/>
      <c r="C231" s="389" t="e">
        <f>'A-G'!#REF!</f>
        <v>#REF!</v>
      </c>
      <c r="D231" s="239"/>
      <c r="E231" s="392" t="e">
        <f>'A-G'!#REF!</f>
        <v>#REF!</v>
      </c>
      <c r="G231" s="5"/>
      <c r="H231" s="2"/>
      <c r="J231" s="2"/>
      <c r="L231" s="93"/>
      <c r="M231" s="96"/>
      <c r="N231" s="93"/>
      <c r="P231" s="93"/>
      <c r="S231" s="2"/>
      <c r="T231" s="2"/>
      <c r="U231" s="2"/>
    </row>
    <row r="232" spans="1:21" ht="12.75">
      <c r="A232" s="34">
        <f t="shared" si="10"/>
        <v>2410</v>
      </c>
      <c r="B232" s="388"/>
      <c r="C232" s="389" t="e">
        <f>'A-G'!#REF!</f>
        <v>#REF!</v>
      </c>
      <c r="D232" s="239"/>
      <c r="E232" s="392" t="e">
        <f>'A-G'!#REF!</f>
        <v>#REF!</v>
      </c>
      <c r="G232" s="5"/>
      <c r="H232" s="2"/>
      <c r="J232" s="2"/>
      <c r="L232" s="93"/>
      <c r="M232" s="96"/>
      <c r="N232" s="93"/>
      <c r="P232" s="93"/>
      <c r="S232" s="2"/>
      <c r="T232" s="2"/>
      <c r="U232" s="2"/>
    </row>
    <row r="233" spans="1:21" ht="12.75">
      <c r="A233" s="34">
        <f t="shared" si="10"/>
        <v>2411</v>
      </c>
      <c r="B233" s="388"/>
      <c r="C233" s="389" t="e">
        <f>'A-G'!#REF!</f>
        <v>#REF!</v>
      </c>
      <c r="D233" s="239"/>
      <c r="E233" s="392" t="e">
        <f>'A-G'!#REF!</f>
        <v>#REF!</v>
      </c>
      <c r="G233" s="5"/>
      <c r="H233" s="2"/>
      <c r="J233" s="2"/>
      <c r="L233" s="93"/>
      <c r="M233" s="96"/>
      <c r="N233" s="93"/>
      <c r="P233" s="93"/>
      <c r="S233" s="2"/>
      <c r="T233" s="2"/>
      <c r="U233" s="2"/>
    </row>
    <row r="234" spans="1:21" ht="12.75">
      <c r="A234" s="34">
        <f t="shared" si="10"/>
        <v>2412</v>
      </c>
      <c r="B234" s="388"/>
      <c r="C234" s="389" t="e">
        <f>'A-G'!#REF!</f>
        <v>#REF!</v>
      </c>
      <c r="D234" s="239"/>
      <c r="E234" s="392" t="e">
        <f>'A-G'!#REF!</f>
        <v>#REF!</v>
      </c>
      <c r="G234" s="5"/>
      <c r="H234" s="2"/>
      <c r="J234" s="2"/>
      <c r="L234" s="93"/>
      <c r="M234" s="96"/>
      <c r="N234" s="93"/>
      <c r="P234" s="93"/>
      <c r="S234" s="2"/>
      <c r="T234" s="2"/>
      <c r="U234" s="2"/>
    </row>
    <row r="235" spans="1:21" ht="12.75">
      <c r="A235" s="54">
        <f t="shared" si="10"/>
        <v>2413</v>
      </c>
      <c r="B235" s="393"/>
      <c r="C235" s="389" t="e">
        <f>'A-G'!#REF!</f>
        <v>#REF!</v>
      </c>
      <c r="D235" s="239"/>
      <c r="E235" s="392" t="e">
        <f>'A-G'!#REF!</f>
        <v>#REF!</v>
      </c>
      <c r="G235" s="5"/>
      <c r="H235" s="2"/>
      <c r="J235" s="2"/>
      <c r="L235" s="93"/>
      <c r="M235" s="96"/>
      <c r="N235" s="93"/>
      <c r="P235" s="93"/>
      <c r="S235" s="2"/>
      <c r="T235" s="2"/>
      <c r="U235" s="2"/>
    </row>
    <row r="236" spans="1:21" ht="12.75">
      <c r="A236" s="37">
        <f t="shared" si="10"/>
        <v>2414</v>
      </c>
      <c r="B236" s="38"/>
      <c r="C236" s="394"/>
      <c r="D236" s="395"/>
      <c r="E236" s="396"/>
      <c r="F236" s="5"/>
      <c r="G236" s="5"/>
      <c r="H236" s="5"/>
      <c r="J236" s="2"/>
      <c r="L236" s="93"/>
      <c r="M236" s="96"/>
      <c r="N236" s="93"/>
      <c r="P236" s="93"/>
      <c r="S236" s="2"/>
      <c r="T236" s="2"/>
      <c r="U236" s="2"/>
    </row>
    <row r="237" spans="1:8" ht="12.75">
      <c r="A237" s="118" t="e">
        <f>CONCATENATE("* mutaties ",#REF!-1," (regel ",Uitvoer!A74,") exlusief niet-nacalculeerbare afschrijvingen (regel ",Uitvoer!A75,")")</f>
        <v>#REF!</v>
      </c>
      <c r="B237" s="42"/>
      <c r="C237" s="42"/>
      <c r="D237" s="185"/>
      <c r="E237" s="42"/>
      <c r="F237" s="160"/>
      <c r="G237" s="90"/>
      <c r="H237" s="119"/>
    </row>
    <row r="238" spans="1:8" ht="12.75">
      <c r="A238" s="118" t="str">
        <f>CONCATENATE("** regel ",A223," t/m ",A235,)</f>
        <v>** regel 2401 t/m 2413</v>
      </c>
      <c r="B238" s="42"/>
      <c r="C238" s="42"/>
      <c r="D238" s="185"/>
      <c r="E238" s="42"/>
      <c r="F238" s="160"/>
      <c r="G238" s="42"/>
      <c r="H238" s="119"/>
    </row>
    <row r="239" spans="1:8" ht="12.75">
      <c r="A239" s="118"/>
      <c r="B239" s="42"/>
      <c r="C239" s="42"/>
      <c r="D239" s="185"/>
      <c r="E239" s="42"/>
      <c r="F239" s="160"/>
      <c r="G239" s="42"/>
      <c r="H239" s="119"/>
    </row>
    <row r="240" spans="1:21" ht="12.75" customHeight="1">
      <c r="A240" s="21"/>
      <c r="B240" s="208"/>
      <c r="C240" s="105" t="s">
        <v>372</v>
      </c>
      <c r="D240" s="105" t="s">
        <v>380</v>
      </c>
      <c r="E240" s="1"/>
      <c r="G240" s="5"/>
      <c r="H240" s="2"/>
      <c r="J240" s="2"/>
      <c r="L240" s="93"/>
      <c r="M240" s="96"/>
      <c r="N240" s="93"/>
      <c r="P240" s="93"/>
      <c r="S240" s="2"/>
      <c r="T240" s="2"/>
      <c r="U240" s="2"/>
    </row>
    <row r="241" spans="1:21" ht="12.75">
      <c r="A241" s="21"/>
      <c r="B241" s="208"/>
      <c r="C241" s="210" t="s">
        <v>379</v>
      </c>
      <c r="D241" s="210" t="s">
        <v>373</v>
      </c>
      <c r="E241" s="1"/>
      <c r="G241" s="5"/>
      <c r="H241" s="2"/>
      <c r="J241" s="2"/>
      <c r="L241" s="93"/>
      <c r="M241" s="96"/>
      <c r="N241" s="93"/>
      <c r="P241" s="93"/>
      <c r="S241" s="2"/>
      <c r="T241" s="2"/>
      <c r="U241" s="2"/>
    </row>
    <row r="242" spans="1:21" ht="12.75">
      <c r="A242" s="21"/>
      <c r="B242" s="208"/>
      <c r="C242" s="109" t="s">
        <v>374</v>
      </c>
      <c r="D242" s="109" t="s">
        <v>378</v>
      </c>
      <c r="E242" s="1"/>
      <c r="G242" s="5"/>
      <c r="H242" s="2"/>
      <c r="J242" s="2"/>
      <c r="L242" s="93"/>
      <c r="M242" s="96"/>
      <c r="N242" s="93"/>
      <c r="P242" s="93"/>
      <c r="S242" s="2"/>
      <c r="T242" s="2"/>
      <c r="U242" s="2"/>
    </row>
    <row r="243" spans="1:21" ht="12.75">
      <c r="A243" s="26"/>
      <c r="B243" s="27"/>
      <c r="C243" s="29"/>
      <c r="D243" s="29"/>
      <c r="E243" s="1"/>
      <c r="G243" s="5"/>
      <c r="H243" s="2"/>
      <c r="J243" s="2"/>
      <c r="L243" s="93"/>
      <c r="M243" s="96"/>
      <c r="N243" s="93"/>
      <c r="P243" s="93"/>
      <c r="S243" s="2"/>
      <c r="T243" s="2"/>
      <c r="U243" s="2"/>
    </row>
    <row r="244" spans="1:21" ht="12.75">
      <c r="A244" s="14" t="s">
        <v>420</v>
      </c>
      <c r="B244" s="27" t="s">
        <v>418</v>
      </c>
      <c r="C244" s="387"/>
      <c r="D244" s="95"/>
      <c r="E244" s="1"/>
      <c r="G244" s="5"/>
      <c r="H244" s="2"/>
      <c r="J244" s="2"/>
      <c r="L244" s="93"/>
      <c r="M244" s="96"/>
      <c r="N244" s="93"/>
      <c r="P244" s="93"/>
      <c r="S244" s="2"/>
      <c r="T244" s="2"/>
      <c r="U244" s="2"/>
    </row>
    <row r="245" spans="1:21" ht="12.75">
      <c r="A245" s="31">
        <f>'A-G'!A32</f>
        <v>2418</v>
      </c>
      <c r="B245" s="388"/>
      <c r="C245" s="389">
        <f>'A-G'!C32</f>
        <v>0</v>
      </c>
      <c r="D245" s="397"/>
      <c r="E245" s="1"/>
      <c r="G245" s="5"/>
      <c r="H245" s="2"/>
      <c r="J245" s="2"/>
      <c r="L245" s="93"/>
      <c r="M245" s="96"/>
      <c r="N245" s="93"/>
      <c r="P245" s="93"/>
      <c r="S245" s="2"/>
      <c r="T245" s="2"/>
      <c r="U245" s="2"/>
    </row>
    <row r="246" spans="1:21" ht="12.75">
      <c r="A246" s="34">
        <f aca="true" t="shared" si="11" ref="A246:A260">A245+1</f>
        <v>2419</v>
      </c>
      <c r="B246" s="388"/>
      <c r="C246" s="390" t="e">
        <f>'A-G'!#REF!</f>
        <v>#REF!</v>
      </c>
      <c r="D246" s="398"/>
      <c r="E246" s="1"/>
      <c r="G246" s="5"/>
      <c r="H246" s="2"/>
      <c r="J246" s="2"/>
      <c r="L246" s="93"/>
      <c r="M246" s="96"/>
      <c r="N246" s="93"/>
      <c r="P246" s="93"/>
      <c r="S246" s="2"/>
      <c r="T246" s="2"/>
      <c r="U246" s="2"/>
    </row>
    <row r="247" spans="1:21" ht="12.75">
      <c r="A247" s="34">
        <f t="shared" si="11"/>
        <v>2420</v>
      </c>
      <c r="B247" s="388"/>
      <c r="C247" s="389" t="e">
        <f>'A-G'!#REF!</f>
        <v>#REF!</v>
      </c>
      <c r="D247" s="390" t="e">
        <f>'A-G'!#REF!</f>
        <v>#REF!</v>
      </c>
      <c r="E247" s="1"/>
      <c r="G247" s="5"/>
      <c r="H247" s="2"/>
      <c r="J247" s="2"/>
      <c r="L247" s="93"/>
      <c r="M247" s="96"/>
      <c r="N247" s="93"/>
      <c r="P247" s="93"/>
      <c r="S247" s="2"/>
      <c r="T247" s="2"/>
      <c r="U247" s="2"/>
    </row>
    <row r="248" spans="1:21" ht="12.75">
      <c r="A248" s="34">
        <f t="shared" si="11"/>
        <v>2421</v>
      </c>
      <c r="B248" s="388"/>
      <c r="C248" s="389" t="e">
        <f>'A-G'!#REF!</f>
        <v>#REF!</v>
      </c>
      <c r="D248" s="390" t="e">
        <f>'A-G'!#REF!</f>
        <v>#REF!</v>
      </c>
      <c r="E248" s="1"/>
      <c r="G248" s="5"/>
      <c r="H248" s="2"/>
      <c r="J248" s="2"/>
      <c r="L248" s="93"/>
      <c r="M248" s="96"/>
      <c r="N248" s="93"/>
      <c r="P248" s="93"/>
      <c r="S248" s="2"/>
      <c r="T248" s="2"/>
      <c r="U248" s="2"/>
    </row>
    <row r="249" spans="1:21" ht="12.75">
      <c r="A249" s="34">
        <f t="shared" si="11"/>
        <v>2422</v>
      </c>
      <c r="B249" s="388"/>
      <c r="C249" s="389" t="e">
        <f>'A-G'!#REF!</f>
        <v>#REF!</v>
      </c>
      <c r="D249" s="390" t="e">
        <f>'A-G'!#REF!</f>
        <v>#REF!</v>
      </c>
      <c r="E249" s="1"/>
      <c r="G249" s="5"/>
      <c r="H249" s="2"/>
      <c r="J249" s="2"/>
      <c r="L249" s="93"/>
      <c r="M249" s="96"/>
      <c r="N249" s="93"/>
      <c r="P249" s="93"/>
      <c r="S249" s="2"/>
      <c r="T249" s="2"/>
      <c r="U249" s="2"/>
    </row>
    <row r="250" spans="1:21" ht="12.75">
      <c r="A250" s="34">
        <f t="shared" si="11"/>
        <v>2423</v>
      </c>
      <c r="B250" s="388"/>
      <c r="C250" s="389" t="e">
        <f>'A-G'!#REF!</f>
        <v>#REF!</v>
      </c>
      <c r="D250" s="390" t="e">
        <f>'A-G'!#REF!</f>
        <v>#REF!</v>
      </c>
      <c r="E250" s="1"/>
      <c r="G250" s="5"/>
      <c r="H250" s="2"/>
      <c r="J250" s="2"/>
      <c r="L250" s="93"/>
      <c r="M250" s="96"/>
      <c r="N250" s="93"/>
      <c r="P250" s="93"/>
      <c r="S250" s="2"/>
      <c r="T250" s="2"/>
      <c r="U250" s="2"/>
    </row>
    <row r="251" spans="1:21" ht="12.75">
      <c r="A251" s="34">
        <f t="shared" si="11"/>
        <v>2424</v>
      </c>
      <c r="B251" s="388"/>
      <c r="C251" s="389" t="e">
        <f>'A-G'!#REF!</f>
        <v>#REF!</v>
      </c>
      <c r="D251" s="390" t="e">
        <f>'A-G'!#REF!</f>
        <v>#REF!</v>
      </c>
      <c r="E251" s="1"/>
      <c r="G251" s="5"/>
      <c r="H251" s="2"/>
      <c r="J251" s="2"/>
      <c r="L251" s="93"/>
      <c r="M251" s="96"/>
      <c r="N251" s="93"/>
      <c r="P251" s="93"/>
      <c r="S251" s="2"/>
      <c r="T251" s="2"/>
      <c r="U251" s="2"/>
    </row>
    <row r="252" spans="1:21" ht="12.75">
      <c r="A252" s="34">
        <f t="shared" si="11"/>
        <v>2425</v>
      </c>
      <c r="B252" s="388"/>
      <c r="C252" s="389" t="e">
        <f>'A-G'!#REF!</f>
        <v>#REF!</v>
      </c>
      <c r="D252" s="390" t="e">
        <f>'A-G'!#REF!</f>
        <v>#REF!</v>
      </c>
      <c r="E252" s="1"/>
      <c r="G252" s="5"/>
      <c r="H252" s="2"/>
      <c r="J252" s="2"/>
      <c r="L252" s="93"/>
      <c r="M252" s="96"/>
      <c r="N252" s="93"/>
      <c r="P252" s="93"/>
      <c r="S252" s="2"/>
      <c r="T252" s="2"/>
      <c r="U252" s="2"/>
    </row>
    <row r="253" spans="1:21" ht="12.75">
      <c r="A253" s="34">
        <f t="shared" si="11"/>
        <v>2426</v>
      </c>
      <c r="B253" s="388"/>
      <c r="C253" s="389" t="e">
        <f>'A-G'!#REF!</f>
        <v>#REF!</v>
      </c>
      <c r="D253" s="390" t="e">
        <f>'A-G'!#REF!</f>
        <v>#REF!</v>
      </c>
      <c r="E253" s="1"/>
      <c r="G253" s="5"/>
      <c r="H253" s="2"/>
      <c r="J253" s="2"/>
      <c r="L253" s="93"/>
      <c r="M253" s="96"/>
      <c r="N253" s="93"/>
      <c r="P253" s="93"/>
      <c r="S253" s="2"/>
      <c r="T253" s="2"/>
      <c r="U253" s="2"/>
    </row>
    <row r="254" spans="1:21" ht="12.75">
      <c r="A254" s="34">
        <f t="shared" si="11"/>
        <v>2427</v>
      </c>
      <c r="B254" s="388"/>
      <c r="C254" s="389" t="e">
        <f>'A-G'!#REF!</f>
        <v>#REF!</v>
      </c>
      <c r="D254" s="390" t="e">
        <f>'A-G'!#REF!</f>
        <v>#REF!</v>
      </c>
      <c r="E254" s="1"/>
      <c r="G254" s="5"/>
      <c r="H254" s="2"/>
      <c r="J254" s="2"/>
      <c r="L254" s="93"/>
      <c r="M254" s="96"/>
      <c r="N254" s="93"/>
      <c r="P254" s="93"/>
      <c r="S254" s="2"/>
      <c r="T254" s="2"/>
      <c r="U254" s="2"/>
    </row>
    <row r="255" spans="1:21" ht="12.75">
      <c r="A255" s="34">
        <f t="shared" si="11"/>
        <v>2428</v>
      </c>
      <c r="B255" s="388"/>
      <c r="C255" s="389" t="e">
        <f>'A-G'!#REF!</f>
        <v>#REF!</v>
      </c>
      <c r="D255" s="390" t="e">
        <f>'A-G'!#REF!</f>
        <v>#REF!</v>
      </c>
      <c r="E255" s="1"/>
      <c r="G255" s="5"/>
      <c r="H255" s="2"/>
      <c r="J255" s="2"/>
      <c r="L255" s="93"/>
      <c r="M255" s="96"/>
      <c r="N255" s="93"/>
      <c r="P255" s="93"/>
      <c r="S255" s="2"/>
      <c r="T255" s="2"/>
      <c r="U255" s="2"/>
    </row>
    <row r="256" spans="1:21" ht="12.75">
      <c r="A256" s="34">
        <f t="shared" si="11"/>
        <v>2429</v>
      </c>
      <c r="B256" s="388"/>
      <c r="C256" s="389" t="e">
        <f>'A-G'!#REF!</f>
        <v>#REF!</v>
      </c>
      <c r="D256" s="390" t="e">
        <f>'A-G'!#REF!</f>
        <v>#REF!</v>
      </c>
      <c r="E256" s="1"/>
      <c r="G256" s="5"/>
      <c r="H256" s="2"/>
      <c r="J256" s="2"/>
      <c r="L256" s="93"/>
      <c r="M256" s="96"/>
      <c r="N256" s="93"/>
      <c r="P256" s="93"/>
      <c r="S256" s="2"/>
      <c r="T256" s="2"/>
      <c r="U256" s="2"/>
    </row>
    <row r="257" spans="1:21" ht="12.75">
      <c r="A257" s="34">
        <f t="shared" si="11"/>
        <v>2430</v>
      </c>
      <c r="B257" s="388"/>
      <c r="C257" s="389" t="e">
        <f>'A-G'!#REF!</f>
        <v>#REF!</v>
      </c>
      <c r="D257" s="390" t="e">
        <f>'A-G'!#REF!</f>
        <v>#REF!</v>
      </c>
      <c r="E257" s="1"/>
      <c r="G257" s="5"/>
      <c r="H257" s="2"/>
      <c r="J257" s="2"/>
      <c r="L257" s="93"/>
      <c r="M257" s="96"/>
      <c r="N257" s="93"/>
      <c r="P257" s="93"/>
      <c r="S257" s="2"/>
      <c r="T257" s="2"/>
      <c r="U257" s="2"/>
    </row>
    <row r="258" spans="1:21" ht="12.75">
      <c r="A258" s="34">
        <f t="shared" si="11"/>
        <v>2431</v>
      </c>
      <c r="B258" s="388"/>
      <c r="C258" s="389" t="e">
        <f>'A-G'!#REF!</f>
        <v>#REF!</v>
      </c>
      <c r="D258" s="390" t="e">
        <f>'A-G'!#REF!</f>
        <v>#REF!</v>
      </c>
      <c r="E258" s="1"/>
      <c r="G258" s="5"/>
      <c r="H258" s="2"/>
      <c r="J258" s="2"/>
      <c r="L258" s="93"/>
      <c r="M258" s="96"/>
      <c r="N258" s="93"/>
      <c r="P258" s="93"/>
      <c r="S258" s="2"/>
      <c r="T258" s="2"/>
      <c r="U258" s="2"/>
    </row>
    <row r="259" spans="1:21" ht="12.75">
      <c r="A259" s="35">
        <f t="shared" si="11"/>
        <v>2432</v>
      </c>
      <c r="B259" s="388"/>
      <c r="C259" s="389" t="e">
        <f>'A-G'!#REF!</f>
        <v>#REF!</v>
      </c>
      <c r="D259" s="398"/>
      <c r="E259" s="1"/>
      <c r="G259" s="5"/>
      <c r="H259" s="2"/>
      <c r="J259" s="2"/>
      <c r="L259" s="93"/>
      <c r="M259" s="96"/>
      <c r="N259" s="93"/>
      <c r="P259" s="93"/>
      <c r="S259" s="2"/>
      <c r="T259" s="2"/>
      <c r="U259" s="2"/>
    </row>
    <row r="260" spans="1:21" ht="12.75">
      <c r="A260" s="37">
        <f t="shared" si="11"/>
        <v>2433</v>
      </c>
      <c r="B260" s="38"/>
      <c r="C260" s="292" t="e">
        <f>C245-C246+SUM(C247:C259)</f>
        <v>#REF!</v>
      </c>
      <c r="D260" s="308" t="e">
        <f>SUM(D247:D258)</f>
        <v>#REF!</v>
      </c>
      <c r="E260" s="1"/>
      <c r="G260" s="5"/>
      <c r="H260" s="2"/>
      <c r="J260" s="2"/>
      <c r="L260" s="93"/>
      <c r="M260" s="96"/>
      <c r="N260" s="93"/>
      <c r="P260" s="93"/>
      <c r="S260" s="2"/>
      <c r="T260" s="2"/>
      <c r="U260" s="2"/>
    </row>
    <row r="261" spans="1:7" ht="12.75">
      <c r="A261" s="26"/>
      <c r="B261" s="90"/>
      <c r="C261" s="90"/>
      <c r="D261" s="90"/>
      <c r="E261" s="90"/>
      <c r="F261" s="42"/>
      <c r="G261" s="42"/>
    </row>
    <row r="262" spans="1:7" ht="12.75">
      <c r="A262" s="37">
        <f>A260+1</f>
        <v>2434</v>
      </c>
      <c r="B262" s="59"/>
      <c r="C262" s="399"/>
      <c r="D262" s="400"/>
      <c r="E262" s="399"/>
      <c r="F262" s="401"/>
      <c r="G262" s="402" t="e">
        <f>'A-G'!#REF!</f>
        <v>#REF!</v>
      </c>
    </row>
    <row r="263" spans="1:7" ht="12.75">
      <c r="A263" s="41"/>
      <c r="B263" s="42"/>
      <c r="C263" s="42"/>
      <c r="D263" s="42"/>
      <c r="E263" s="42"/>
      <c r="F263" s="42"/>
      <c r="G263" s="42"/>
    </row>
    <row r="264" spans="1:21" ht="12.75" customHeight="1">
      <c r="A264" s="21"/>
      <c r="B264" s="208"/>
      <c r="C264" s="105" t="s">
        <v>414</v>
      </c>
      <c r="D264" s="105" t="s">
        <v>415</v>
      </c>
      <c r="E264" s="1"/>
      <c r="G264" s="5"/>
      <c r="H264" s="2"/>
      <c r="J264" s="2"/>
      <c r="L264" s="93"/>
      <c r="M264" s="96"/>
      <c r="N264" s="93"/>
      <c r="P264" s="93"/>
      <c r="S264" s="2"/>
      <c r="T264" s="2"/>
      <c r="U264" s="2"/>
    </row>
    <row r="265" spans="1:21" ht="12.75">
      <c r="A265" s="21"/>
      <c r="B265" s="208"/>
      <c r="C265" s="109"/>
      <c r="D265" s="109"/>
      <c r="E265" s="1"/>
      <c r="G265" s="5"/>
      <c r="H265" s="2"/>
      <c r="J265" s="2"/>
      <c r="L265" s="93"/>
      <c r="M265" s="96"/>
      <c r="N265" s="93"/>
      <c r="P265" s="93"/>
      <c r="S265" s="2"/>
      <c r="T265" s="2"/>
      <c r="U265" s="2"/>
    </row>
    <row r="266" spans="1:21" ht="12.75">
      <c r="A266" s="26"/>
      <c r="B266" s="90"/>
      <c r="C266" s="42"/>
      <c r="D266" s="42"/>
      <c r="E266" s="1"/>
      <c r="G266" s="5"/>
      <c r="H266" s="2"/>
      <c r="J266" s="2"/>
      <c r="L266" s="93"/>
      <c r="M266" s="96"/>
      <c r="N266" s="93"/>
      <c r="P266" s="93"/>
      <c r="S266" s="2"/>
      <c r="T266" s="2"/>
      <c r="U266" s="2"/>
    </row>
    <row r="267" spans="1:21" ht="12.75">
      <c r="A267" s="159" t="s">
        <v>421</v>
      </c>
      <c r="B267" s="94" t="s">
        <v>423</v>
      </c>
      <c r="C267" s="387"/>
      <c r="D267" s="95"/>
      <c r="E267" s="1"/>
      <c r="G267" s="5"/>
      <c r="H267" s="2"/>
      <c r="J267" s="2"/>
      <c r="L267" s="93"/>
      <c r="M267" s="96"/>
      <c r="N267" s="93"/>
      <c r="P267" s="93"/>
      <c r="S267" s="2"/>
      <c r="T267" s="2"/>
      <c r="U267" s="2"/>
    </row>
    <row r="268" spans="1:21" ht="12.75">
      <c r="A268" s="31">
        <f>'A-G'!A54</f>
        <v>2501</v>
      </c>
      <c r="B268" s="388"/>
      <c r="C268" s="389">
        <f>'A-G'!C54</f>
        <v>0</v>
      </c>
      <c r="D268" s="390">
        <f>'A-G'!D54</f>
        <v>0</v>
      </c>
      <c r="E268" s="1"/>
      <c r="G268" s="5"/>
      <c r="H268" s="2"/>
      <c r="J268" s="2"/>
      <c r="L268" s="93"/>
      <c r="M268" s="96"/>
      <c r="N268" s="93"/>
      <c r="P268" s="93"/>
      <c r="S268" s="2"/>
      <c r="T268" s="2"/>
      <c r="U268" s="2"/>
    </row>
    <row r="269" spans="1:21" ht="12.75">
      <c r="A269" s="34">
        <f aca="true" t="shared" si="12" ref="A269:A286">A268+1</f>
        <v>2502</v>
      </c>
      <c r="B269" s="388"/>
      <c r="C269" s="389">
        <f>'A-G'!C56</f>
        <v>0</v>
      </c>
      <c r="D269" s="397"/>
      <c r="E269" s="1"/>
      <c r="G269" s="5"/>
      <c r="H269" s="2"/>
      <c r="J269" s="2"/>
      <c r="L269" s="93"/>
      <c r="M269" s="96"/>
      <c r="N269" s="93"/>
      <c r="P269" s="93"/>
      <c r="S269" s="2"/>
      <c r="T269" s="2"/>
      <c r="U269" s="2"/>
    </row>
    <row r="270" spans="1:21" ht="12.75">
      <c r="A270" s="34">
        <f t="shared" si="12"/>
        <v>2503</v>
      </c>
      <c r="B270" s="388"/>
      <c r="C270" s="390">
        <f>'A-G'!C68</f>
        <v>0</v>
      </c>
      <c r="D270" s="397"/>
      <c r="E270" s="1"/>
      <c r="G270" s="5"/>
      <c r="H270" s="2"/>
      <c r="J270" s="2"/>
      <c r="L270" s="93"/>
      <c r="M270" s="96"/>
      <c r="N270" s="93"/>
      <c r="P270" s="93"/>
      <c r="S270" s="2"/>
      <c r="T270" s="2"/>
      <c r="U270" s="2"/>
    </row>
    <row r="271" spans="1:21" ht="12.75">
      <c r="A271" s="34">
        <f t="shared" si="12"/>
        <v>2504</v>
      </c>
      <c r="B271" s="388"/>
      <c r="C271" s="389" t="e">
        <f>'A-G'!#REF!</f>
        <v>#REF!</v>
      </c>
      <c r="D271" s="397"/>
      <c r="E271" s="1"/>
      <c r="G271" s="5"/>
      <c r="H271" s="2"/>
      <c r="J271" s="2"/>
      <c r="L271" s="93"/>
      <c r="M271" s="96"/>
      <c r="N271" s="93"/>
      <c r="P271" s="93"/>
      <c r="S271" s="2"/>
      <c r="T271" s="2"/>
      <c r="U271" s="2"/>
    </row>
    <row r="272" spans="1:21" ht="12.75">
      <c r="A272" s="34">
        <f t="shared" si="12"/>
        <v>2505</v>
      </c>
      <c r="B272" s="388"/>
      <c r="C272" s="389" t="e">
        <f>'A-G'!#REF!</f>
        <v>#REF!</v>
      </c>
      <c r="D272" s="397"/>
      <c r="E272" s="1"/>
      <c r="G272" s="5"/>
      <c r="H272" s="2"/>
      <c r="J272" s="2"/>
      <c r="L272" s="93"/>
      <c r="M272" s="96"/>
      <c r="N272" s="93"/>
      <c r="P272" s="93"/>
      <c r="S272" s="2"/>
      <c r="T272" s="2"/>
      <c r="U272" s="2"/>
    </row>
    <row r="273" spans="1:21" ht="12.75">
      <c r="A273" s="34">
        <f t="shared" si="12"/>
        <v>2506</v>
      </c>
      <c r="B273" s="388"/>
      <c r="C273" s="389" t="e">
        <f>'A-G'!#REF!</f>
        <v>#REF!</v>
      </c>
      <c r="D273" s="397"/>
      <c r="E273" s="1"/>
      <c r="G273" s="5"/>
      <c r="H273" s="2"/>
      <c r="J273" s="2"/>
      <c r="L273" s="93"/>
      <c r="M273" s="96"/>
      <c r="N273" s="93"/>
      <c r="P273" s="93"/>
      <c r="S273" s="2"/>
      <c r="T273" s="2"/>
      <c r="U273" s="2"/>
    </row>
    <row r="274" spans="1:21" ht="12.75">
      <c r="A274" s="34">
        <f t="shared" si="12"/>
        <v>2507</v>
      </c>
      <c r="B274" s="388"/>
      <c r="C274" s="389" t="e">
        <f>'A-G'!#REF!</f>
        <v>#REF!</v>
      </c>
      <c r="D274" s="397"/>
      <c r="E274" s="1"/>
      <c r="G274" s="5"/>
      <c r="H274" s="2"/>
      <c r="J274" s="2"/>
      <c r="L274" s="93"/>
      <c r="M274" s="96"/>
      <c r="N274" s="93"/>
      <c r="P274" s="93"/>
      <c r="S274" s="2"/>
      <c r="T274" s="2"/>
      <c r="U274" s="2"/>
    </row>
    <row r="275" spans="1:21" ht="12.75">
      <c r="A275" s="34">
        <f t="shared" si="12"/>
        <v>2508</v>
      </c>
      <c r="B275" s="388"/>
      <c r="C275" s="389" t="e">
        <f>'A-G'!#REF!</f>
        <v>#REF!</v>
      </c>
      <c r="D275" s="397"/>
      <c r="E275" s="1"/>
      <c r="G275" s="5"/>
      <c r="H275" s="2"/>
      <c r="J275" s="2"/>
      <c r="L275" s="93"/>
      <c r="M275" s="96"/>
      <c r="N275" s="93"/>
      <c r="P275" s="93"/>
      <c r="S275" s="2"/>
      <c r="T275" s="2"/>
      <c r="U275" s="2"/>
    </row>
    <row r="276" spans="1:21" ht="12.75">
      <c r="A276" s="34">
        <f t="shared" si="12"/>
        <v>2509</v>
      </c>
      <c r="B276" s="388"/>
      <c r="C276" s="389" t="e">
        <f>'A-G'!#REF!</f>
        <v>#REF!</v>
      </c>
      <c r="D276" s="397"/>
      <c r="E276" s="1"/>
      <c r="G276" s="5"/>
      <c r="H276" s="2"/>
      <c r="J276" s="2"/>
      <c r="L276" s="93"/>
      <c r="M276" s="96"/>
      <c r="N276" s="93"/>
      <c r="P276" s="93"/>
      <c r="S276" s="2"/>
      <c r="T276" s="2"/>
      <c r="U276" s="2"/>
    </row>
    <row r="277" spans="1:21" ht="12.75">
      <c r="A277" s="34">
        <f t="shared" si="12"/>
        <v>2510</v>
      </c>
      <c r="B277" s="388"/>
      <c r="C277" s="389" t="e">
        <f>'A-G'!#REF!</f>
        <v>#REF!</v>
      </c>
      <c r="D277" s="397"/>
      <c r="E277" s="1"/>
      <c r="G277" s="5"/>
      <c r="H277" s="2"/>
      <c r="J277" s="2"/>
      <c r="L277" s="93"/>
      <c r="M277" s="96"/>
      <c r="N277" s="93"/>
      <c r="P277" s="93"/>
      <c r="S277" s="2"/>
      <c r="T277" s="2"/>
      <c r="U277" s="2"/>
    </row>
    <row r="278" spans="1:21" ht="12.75">
      <c r="A278" s="34">
        <f t="shared" si="12"/>
        <v>2511</v>
      </c>
      <c r="B278" s="388"/>
      <c r="C278" s="389" t="e">
        <f>'A-G'!#REF!</f>
        <v>#REF!</v>
      </c>
      <c r="D278" s="397"/>
      <c r="E278" s="1"/>
      <c r="G278" s="5"/>
      <c r="H278" s="2"/>
      <c r="J278" s="2"/>
      <c r="L278" s="93"/>
      <c r="M278" s="96"/>
      <c r="N278" s="93"/>
      <c r="P278" s="93"/>
      <c r="S278" s="2"/>
      <c r="T278" s="2"/>
      <c r="U278" s="2"/>
    </row>
    <row r="279" spans="1:21" ht="12.75">
      <c r="A279" s="34">
        <f t="shared" si="12"/>
        <v>2512</v>
      </c>
      <c r="B279" s="388"/>
      <c r="C279" s="389" t="e">
        <f>'A-G'!#REF!</f>
        <v>#REF!</v>
      </c>
      <c r="D279" s="397"/>
      <c r="E279" s="1"/>
      <c r="G279" s="5"/>
      <c r="H279" s="2"/>
      <c r="J279" s="2"/>
      <c r="L279" s="93"/>
      <c r="M279" s="96"/>
      <c r="N279" s="93"/>
      <c r="P279" s="93"/>
      <c r="S279" s="2"/>
      <c r="T279" s="2"/>
      <c r="U279" s="2"/>
    </row>
    <row r="280" spans="1:21" ht="12.75">
      <c r="A280" s="34">
        <f t="shared" si="12"/>
        <v>2513</v>
      </c>
      <c r="B280" s="388"/>
      <c r="C280" s="389" t="e">
        <f>'A-G'!#REF!</f>
        <v>#REF!</v>
      </c>
      <c r="D280" s="397"/>
      <c r="E280" s="1"/>
      <c r="G280" s="5"/>
      <c r="H280" s="2"/>
      <c r="J280" s="2"/>
      <c r="L280" s="93"/>
      <c r="M280" s="96"/>
      <c r="N280" s="93"/>
      <c r="P280" s="93"/>
      <c r="S280" s="2"/>
      <c r="T280" s="2"/>
      <c r="U280" s="2"/>
    </row>
    <row r="281" spans="1:21" ht="12.75">
      <c r="A281" s="34">
        <f t="shared" si="12"/>
        <v>2514</v>
      </c>
      <c r="B281" s="388"/>
      <c r="C281" s="389" t="e">
        <f>'A-G'!#REF!</f>
        <v>#REF!</v>
      </c>
      <c r="D281" s="397"/>
      <c r="E281" s="1"/>
      <c r="G281" s="5"/>
      <c r="H281" s="2"/>
      <c r="J281" s="2"/>
      <c r="L281" s="93"/>
      <c r="M281" s="96"/>
      <c r="N281" s="93"/>
      <c r="P281" s="93"/>
      <c r="S281" s="2"/>
      <c r="T281" s="2"/>
      <c r="U281" s="2"/>
    </row>
    <row r="282" spans="1:21" ht="12.75">
      <c r="A282" s="34">
        <f t="shared" si="12"/>
        <v>2515</v>
      </c>
      <c r="B282" s="388"/>
      <c r="C282" s="389" t="e">
        <f>'A-G'!#REF!</f>
        <v>#REF!</v>
      </c>
      <c r="D282" s="397"/>
      <c r="E282" s="1"/>
      <c r="G282" s="5"/>
      <c r="H282" s="2"/>
      <c r="J282" s="2"/>
      <c r="L282" s="93"/>
      <c r="M282" s="96"/>
      <c r="N282" s="93"/>
      <c r="P282" s="93"/>
      <c r="S282" s="2"/>
      <c r="T282" s="2"/>
      <c r="U282" s="2"/>
    </row>
    <row r="283" spans="1:21" ht="12.75">
      <c r="A283" s="34">
        <f t="shared" si="12"/>
        <v>2516</v>
      </c>
      <c r="B283" s="388"/>
      <c r="C283" s="403"/>
      <c r="D283" s="390">
        <f>'A-G'!D69</f>
        <v>0</v>
      </c>
      <c r="E283" s="1"/>
      <c r="G283" s="5"/>
      <c r="H283" s="2"/>
      <c r="J283" s="2"/>
      <c r="L283" s="93"/>
      <c r="M283" s="96"/>
      <c r="N283" s="93"/>
      <c r="P283" s="93"/>
      <c r="S283" s="2"/>
      <c r="T283" s="2"/>
      <c r="U283" s="2"/>
    </row>
    <row r="284" spans="1:21" ht="12.75">
      <c r="A284" s="34">
        <f t="shared" si="12"/>
        <v>2517</v>
      </c>
      <c r="B284" s="388"/>
      <c r="C284" s="390">
        <f>'A-G'!C70</f>
        <v>0</v>
      </c>
      <c r="D284" s="397"/>
      <c r="E284" s="1"/>
      <c r="G284" s="5"/>
      <c r="H284" s="2"/>
      <c r="J284" s="2"/>
      <c r="L284" s="93"/>
      <c r="M284" s="96"/>
      <c r="N284" s="93"/>
      <c r="P284" s="93"/>
      <c r="S284" s="2"/>
      <c r="T284" s="2"/>
      <c r="U284" s="2"/>
    </row>
    <row r="285" spans="1:21" ht="12.75">
      <c r="A285" s="35">
        <f t="shared" si="12"/>
        <v>2518</v>
      </c>
      <c r="B285" s="388"/>
      <c r="C285" s="389" t="e">
        <f>'A-G'!#REF!</f>
        <v>#REF!</v>
      </c>
      <c r="D285" s="398"/>
      <c r="E285" s="1"/>
      <c r="G285" s="5"/>
      <c r="H285" s="2"/>
      <c r="J285" s="2"/>
      <c r="L285" s="93"/>
      <c r="M285" s="96"/>
      <c r="N285" s="93"/>
      <c r="P285" s="93"/>
      <c r="S285" s="2"/>
      <c r="T285" s="2"/>
      <c r="U285" s="2"/>
    </row>
    <row r="286" spans="1:21" ht="12.75">
      <c r="A286" s="37">
        <f t="shared" si="12"/>
        <v>2519</v>
      </c>
      <c r="B286" s="38"/>
      <c r="C286" s="292"/>
      <c r="D286" s="308"/>
      <c r="E286" s="1"/>
      <c r="G286" s="5"/>
      <c r="H286" s="2"/>
      <c r="J286" s="2"/>
      <c r="L286" s="93"/>
      <c r="M286" s="96"/>
      <c r="N286" s="93"/>
      <c r="P286" s="93"/>
      <c r="S286" s="2"/>
      <c r="T286" s="2"/>
      <c r="U286" s="2"/>
    </row>
    <row r="287" spans="4:7" ht="12.75">
      <c r="D287" s="2"/>
      <c r="G287" s="2"/>
    </row>
    <row r="288" spans="1:21" ht="12.75" customHeight="1">
      <c r="A288" s="21"/>
      <c r="B288" s="105" t="s">
        <v>368</v>
      </c>
      <c r="C288" s="404" t="s">
        <v>370</v>
      </c>
      <c r="D288" s="405"/>
      <c r="G288" s="93"/>
      <c r="H288" s="96"/>
      <c r="I288" s="93"/>
      <c r="J288" s="93"/>
      <c r="K288" s="93"/>
      <c r="L288" s="93"/>
      <c r="M288" s="93"/>
      <c r="O288" s="2"/>
      <c r="P288" s="2"/>
      <c r="Q288" s="2"/>
      <c r="R288" s="2"/>
      <c r="S288" s="2"/>
      <c r="T288" s="2"/>
      <c r="U288" s="2"/>
    </row>
    <row r="289" spans="1:21" ht="12.75">
      <c r="A289" s="21"/>
      <c r="B289" s="109" t="s">
        <v>369</v>
      </c>
      <c r="C289" s="406" t="s">
        <v>371</v>
      </c>
      <c r="D289" s="407"/>
      <c r="G289" s="93"/>
      <c r="H289" s="96"/>
      <c r="I289" s="93"/>
      <c r="J289" s="93"/>
      <c r="K289" s="93"/>
      <c r="L289" s="93"/>
      <c r="M289" s="93"/>
      <c r="O289" s="2"/>
      <c r="P289" s="2"/>
      <c r="Q289" s="2"/>
      <c r="R289" s="2"/>
      <c r="S289" s="2"/>
      <c r="T289" s="2"/>
      <c r="U289" s="2"/>
    </row>
    <row r="290" spans="1:21" ht="12.75">
      <c r="A290" s="26"/>
      <c r="B290" s="29"/>
      <c r="C290" s="29"/>
      <c r="D290" s="196"/>
      <c r="G290" s="93"/>
      <c r="H290" s="96"/>
      <c r="I290" s="93"/>
      <c r="J290" s="93"/>
      <c r="K290" s="93"/>
      <c r="L290" s="93"/>
      <c r="M290" s="93"/>
      <c r="O290" s="2"/>
      <c r="P290" s="2"/>
      <c r="Q290" s="2"/>
      <c r="R290" s="2"/>
      <c r="S290" s="2"/>
      <c r="T290" s="2"/>
      <c r="U290" s="2"/>
    </row>
    <row r="291" spans="1:21" ht="12.75">
      <c r="A291" s="159" t="s">
        <v>424</v>
      </c>
      <c r="B291" s="387"/>
      <c r="C291" s="95"/>
      <c r="D291" s="408"/>
      <c r="G291" s="93"/>
      <c r="H291" s="96"/>
      <c r="I291" s="93"/>
      <c r="J291" s="93"/>
      <c r="K291" s="93"/>
      <c r="L291" s="93"/>
      <c r="M291" s="93"/>
      <c r="O291" s="2"/>
      <c r="P291" s="2"/>
      <c r="Q291" s="2"/>
      <c r="R291" s="2"/>
      <c r="S291" s="2"/>
      <c r="T291" s="2"/>
      <c r="U291" s="2"/>
    </row>
    <row r="292" spans="1:21" ht="12.75">
      <c r="A292" s="31" t="e">
        <f>'A-G'!#REF!</f>
        <v>#REF!</v>
      </c>
      <c r="B292" s="389" t="e">
        <f>'A-G'!#REF!</f>
        <v>#REF!</v>
      </c>
      <c r="C292" s="392" t="e">
        <f>'A-G'!#REF!</f>
        <v>#REF!</v>
      </c>
      <c r="D292" s="389" t="e">
        <f>#REF!</f>
        <v>#REF!</v>
      </c>
      <c r="G292" s="93"/>
      <c r="H292" s="96"/>
      <c r="I292" s="93"/>
      <c r="J292" s="93"/>
      <c r="K292" s="93"/>
      <c r="L292" s="93"/>
      <c r="M292" s="93"/>
      <c r="O292" s="2"/>
      <c r="P292" s="2"/>
      <c r="Q292" s="2"/>
      <c r="R292" s="2"/>
      <c r="S292" s="2"/>
      <c r="T292" s="2"/>
      <c r="U292" s="2"/>
    </row>
    <row r="293" spans="1:21" ht="12.75">
      <c r="A293" s="34" t="e">
        <f aca="true" t="shared" si="13" ref="A293:A305">A292+1</f>
        <v>#REF!</v>
      </c>
      <c r="B293" s="389" t="e">
        <f>'A-G'!#REF!</f>
        <v>#REF!</v>
      </c>
      <c r="C293" s="392" t="e">
        <f>'A-G'!#REF!</f>
        <v>#REF!</v>
      </c>
      <c r="D293" s="389" t="e">
        <f>#REF!</f>
        <v>#REF!</v>
      </c>
      <c r="G293" s="93"/>
      <c r="H293" s="96"/>
      <c r="I293" s="93"/>
      <c r="J293" s="93"/>
      <c r="K293" s="93"/>
      <c r="L293" s="93"/>
      <c r="M293" s="93"/>
      <c r="O293" s="2"/>
      <c r="P293" s="2"/>
      <c r="Q293" s="2"/>
      <c r="R293" s="2"/>
      <c r="S293" s="2"/>
      <c r="T293" s="2"/>
      <c r="U293" s="2"/>
    </row>
    <row r="294" spans="1:21" ht="12.75">
      <c r="A294" s="34" t="e">
        <f t="shared" si="13"/>
        <v>#REF!</v>
      </c>
      <c r="B294" s="389" t="e">
        <f>'A-G'!#REF!</f>
        <v>#REF!</v>
      </c>
      <c r="C294" s="392" t="e">
        <f>'A-G'!#REF!</f>
        <v>#REF!</v>
      </c>
      <c r="D294" s="389" t="e">
        <f>#REF!</f>
        <v>#REF!</v>
      </c>
      <c r="G294" s="93"/>
      <c r="H294" s="96"/>
      <c r="I294" s="93"/>
      <c r="J294" s="93"/>
      <c r="K294" s="93"/>
      <c r="L294" s="93"/>
      <c r="M294" s="93"/>
      <c r="O294" s="2"/>
      <c r="P294" s="2"/>
      <c r="Q294" s="2"/>
      <c r="R294" s="2"/>
      <c r="S294" s="2"/>
      <c r="T294" s="2"/>
      <c r="U294" s="2"/>
    </row>
    <row r="295" spans="1:21" ht="12.75">
      <c r="A295" s="34" t="e">
        <f t="shared" si="13"/>
        <v>#REF!</v>
      </c>
      <c r="B295" s="389" t="e">
        <f>'A-G'!#REF!</f>
        <v>#REF!</v>
      </c>
      <c r="C295" s="392" t="e">
        <f>'A-G'!#REF!</f>
        <v>#REF!</v>
      </c>
      <c r="D295" s="389" t="e">
        <f>#REF!</f>
        <v>#REF!</v>
      </c>
      <c r="G295" s="93"/>
      <c r="H295" s="96"/>
      <c r="I295" s="93"/>
      <c r="J295" s="93"/>
      <c r="K295" s="93"/>
      <c r="L295" s="93"/>
      <c r="M295" s="93"/>
      <c r="O295" s="2"/>
      <c r="P295" s="2"/>
      <c r="Q295" s="2"/>
      <c r="R295" s="2"/>
      <c r="S295" s="2"/>
      <c r="T295" s="2"/>
      <c r="U295" s="2"/>
    </row>
    <row r="296" spans="1:21" ht="12.75">
      <c r="A296" s="34" t="e">
        <f t="shared" si="13"/>
        <v>#REF!</v>
      </c>
      <c r="B296" s="389" t="e">
        <f>'A-G'!#REF!</f>
        <v>#REF!</v>
      </c>
      <c r="C296" s="392" t="e">
        <f>'A-G'!#REF!</f>
        <v>#REF!</v>
      </c>
      <c r="D296" s="389" t="e">
        <f>#REF!</f>
        <v>#REF!</v>
      </c>
      <c r="G296" s="93"/>
      <c r="H296" s="96"/>
      <c r="I296" s="93"/>
      <c r="J296" s="93"/>
      <c r="K296" s="93"/>
      <c r="L296" s="93"/>
      <c r="M296" s="93"/>
      <c r="O296" s="2"/>
      <c r="P296" s="2"/>
      <c r="Q296" s="2"/>
      <c r="R296" s="2"/>
      <c r="S296" s="2"/>
      <c r="T296" s="2"/>
      <c r="U296" s="2"/>
    </row>
    <row r="297" spans="1:21" ht="12.75">
      <c r="A297" s="34" t="e">
        <f t="shared" si="13"/>
        <v>#REF!</v>
      </c>
      <c r="B297" s="389" t="e">
        <f>'A-G'!#REF!</f>
        <v>#REF!</v>
      </c>
      <c r="C297" s="392" t="e">
        <f>'A-G'!#REF!</f>
        <v>#REF!</v>
      </c>
      <c r="D297" s="389" t="e">
        <f>#REF!</f>
        <v>#REF!</v>
      </c>
      <c r="G297" s="93"/>
      <c r="H297" s="96"/>
      <c r="I297" s="93"/>
      <c r="J297" s="93"/>
      <c r="K297" s="93"/>
      <c r="L297" s="93"/>
      <c r="M297" s="93"/>
      <c r="O297" s="2"/>
      <c r="P297" s="2"/>
      <c r="Q297" s="2"/>
      <c r="R297" s="2"/>
      <c r="S297" s="2"/>
      <c r="T297" s="2"/>
      <c r="U297" s="2"/>
    </row>
    <row r="298" spans="1:21" ht="12.75">
      <c r="A298" s="34" t="e">
        <f t="shared" si="13"/>
        <v>#REF!</v>
      </c>
      <c r="B298" s="389" t="e">
        <f>'A-G'!#REF!</f>
        <v>#REF!</v>
      </c>
      <c r="C298" s="392" t="e">
        <f>'A-G'!#REF!</f>
        <v>#REF!</v>
      </c>
      <c r="D298" s="389" t="e">
        <f>#REF!</f>
        <v>#REF!</v>
      </c>
      <c r="G298" s="93"/>
      <c r="H298" s="96"/>
      <c r="I298" s="93"/>
      <c r="J298" s="93"/>
      <c r="K298" s="93"/>
      <c r="L298" s="93"/>
      <c r="M298" s="93"/>
      <c r="O298" s="2"/>
      <c r="P298" s="2"/>
      <c r="Q298" s="2"/>
      <c r="R298" s="2"/>
      <c r="S298" s="2"/>
      <c r="T298" s="2"/>
      <c r="U298" s="2"/>
    </row>
    <row r="299" spans="1:21" ht="12.75">
      <c r="A299" s="34" t="e">
        <f t="shared" si="13"/>
        <v>#REF!</v>
      </c>
      <c r="B299" s="389" t="e">
        <f>'A-G'!#REF!</f>
        <v>#REF!</v>
      </c>
      <c r="C299" s="392" t="e">
        <f>'A-G'!#REF!</f>
        <v>#REF!</v>
      </c>
      <c r="D299" s="389" t="e">
        <f>#REF!</f>
        <v>#REF!</v>
      </c>
      <c r="G299" s="93"/>
      <c r="H299" s="96"/>
      <c r="I299" s="93"/>
      <c r="J299" s="93"/>
      <c r="K299" s="93"/>
      <c r="L299" s="93"/>
      <c r="M299" s="93"/>
      <c r="O299" s="2"/>
      <c r="P299" s="2"/>
      <c r="Q299" s="2"/>
      <c r="R299" s="2"/>
      <c r="S299" s="2"/>
      <c r="T299" s="2"/>
      <c r="U299" s="2"/>
    </row>
    <row r="300" spans="1:21" ht="12.75">
      <c r="A300" s="34" t="e">
        <f t="shared" si="13"/>
        <v>#REF!</v>
      </c>
      <c r="B300" s="389" t="e">
        <f>'A-G'!#REF!</f>
        <v>#REF!</v>
      </c>
      <c r="C300" s="392" t="e">
        <f>'A-G'!#REF!</f>
        <v>#REF!</v>
      </c>
      <c r="D300" s="389" t="e">
        <f>#REF!</f>
        <v>#REF!</v>
      </c>
      <c r="G300" s="93"/>
      <c r="H300" s="96"/>
      <c r="I300" s="93"/>
      <c r="J300" s="93"/>
      <c r="K300" s="93"/>
      <c r="L300" s="93"/>
      <c r="M300" s="93"/>
      <c r="O300" s="2"/>
      <c r="P300" s="2"/>
      <c r="Q300" s="2"/>
      <c r="R300" s="2"/>
      <c r="S300" s="2"/>
      <c r="T300" s="2"/>
      <c r="U300" s="2"/>
    </row>
    <row r="301" spans="1:21" ht="12.75">
      <c r="A301" s="34" t="e">
        <f t="shared" si="13"/>
        <v>#REF!</v>
      </c>
      <c r="B301" s="389" t="e">
        <f>'A-G'!#REF!</f>
        <v>#REF!</v>
      </c>
      <c r="C301" s="392" t="e">
        <f>'A-G'!#REF!</f>
        <v>#REF!</v>
      </c>
      <c r="D301" s="389" t="e">
        <f>#REF!</f>
        <v>#REF!</v>
      </c>
      <c r="G301" s="93"/>
      <c r="H301" s="96"/>
      <c r="I301" s="93"/>
      <c r="J301" s="93"/>
      <c r="K301" s="93"/>
      <c r="L301" s="93"/>
      <c r="M301" s="93"/>
      <c r="O301" s="2"/>
      <c r="P301" s="2"/>
      <c r="Q301" s="2"/>
      <c r="R301" s="2"/>
      <c r="S301" s="2"/>
      <c r="T301" s="2"/>
      <c r="U301" s="2"/>
    </row>
    <row r="302" spans="1:21" ht="12.75">
      <c r="A302" s="34" t="e">
        <f t="shared" si="13"/>
        <v>#REF!</v>
      </c>
      <c r="B302" s="389" t="e">
        <f>'A-G'!#REF!</f>
        <v>#REF!</v>
      </c>
      <c r="C302" s="392" t="e">
        <f>'A-G'!#REF!</f>
        <v>#REF!</v>
      </c>
      <c r="D302" s="389" t="e">
        <f>#REF!</f>
        <v>#REF!</v>
      </c>
      <c r="G302" s="93"/>
      <c r="H302" s="96"/>
      <c r="I302" s="93"/>
      <c r="J302" s="93"/>
      <c r="K302" s="93"/>
      <c r="L302" s="93"/>
      <c r="M302" s="93"/>
      <c r="O302" s="2"/>
      <c r="P302" s="2"/>
      <c r="Q302" s="2"/>
      <c r="R302" s="2"/>
      <c r="S302" s="2"/>
      <c r="T302" s="2"/>
      <c r="U302" s="2"/>
    </row>
    <row r="303" spans="1:21" ht="12.75">
      <c r="A303" s="34" t="e">
        <f t="shared" si="13"/>
        <v>#REF!</v>
      </c>
      <c r="B303" s="389" t="e">
        <f>'A-G'!#REF!</f>
        <v>#REF!</v>
      </c>
      <c r="C303" s="392" t="e">
        <f>'A-G'!#REF!</f>
        <v>#REF!</v>
      </c>
      <c r="D303" s="389" t="e">
        <f>#REF!</f>
        <v>#REF!</v>
      </c>
      <c r="G303" s="93"/>
      <c r="H303" s="96"/>
      <c r="I303" s="93"/>
      <c r="J303" s="93"/>
      <c r="K303" s="93"/>
      <c r="L303" s="93"/>
      <c r="M303" s="93"/>
      <c r="O303" s="2"/>
      <c r="P303" s="2"/>
      <c r="Q303" s="2"/>
      <c r="R303" s="2"/>
      <c r="S303" s="2"/>
      <c r="T303" s="2"/>
      <c r="U303" s="2"/>
    </row>
    <row r="304" spans="1:21" ht="12.75">
      <c r="A304" s="35" t="e">
        <f t="shared" si="13"/>
        <v>#REF!</v>
      </c>
      <c r="B304" s="389" t="e">
        <f>'A-G'!#REF!</f>
        <v>#REF!</v>
      </c>
      <c r="C304" s="409" t="e">
        <f>'A-G'!#REF!</f>
        <v>#REF!</v>
      </c>
      <c r="D304" s="389" t="e">
        <f>#REF!</f>
        <v>#REF!</v>
      </c>
      <c r="G304" s="93"/>
      <c r="H304" s="96"/>
      <c r="I304" s="93"/>
      <c r="J304" s="93"/>
      <c r="K304" s="93"/>
      <c r="L304" s="93"/>
      <c r="M304" s="93"/>
      <c r="O304" s="2"/>
      <c r="P304" s="2"/>
      <c r="Q304" s="2"/>
      <c r="R304" s="2"/>
      <c r="S304" s="2"/>
      <c r="T304" s="2"/>
      <c r="U304" s="2"/>
    </row>
    <row r="305" spans="1:21" ht="12.75">
      <c r="A305" s="37" t="e">
        <f t="shared" si="13"/>
        <v>#REF!</v>
      </c>
      <c r="B305" s="292"/>
      <c r="C305" s="329"/>
      <c r="D305" s="329"/>
      <c r="G305" s="93"/>
      <c r="H305" s="96"/>
      <c r="I305" s="93"/>
      <c r="J305" s="93"/>
      <c r="K305" s="93"/>
      <c r="L305" s="93"/>
      <c r="M305" s="93"/>
      <c r="O305" s="2"/>
      <c r="P305" s="2"/>
      <c r="Q305" s="2"/>
      <c r="R305" s="2"/>
      <c r="S305" s="2"/>
      <c r="T305" s="2"/>
      <c r="U305" s="2"/>
    </row>
    <row r="306" spans="1:21" ht="12.75">
      <c r="A306" s="41"/>
      <c r="B306" s="42"/>
      <c r="C306" s="90"/>
      <c r="D306" s="42"/>
      <c r="E306" s="42"/>
      <c r="F306" s="42"/>
      <c r="G306" s="2"/>
      <c r="H306" s="2"/>
      <c r="J306" s="93"/>
      <c r="K306" s="96"/>
      <c r="L306" s="93"/>
      <c r="M306" s="93"/>
      <c r="N306" s="93"/>
      <c r="P306" s="93"/>
      <c r="Q306" s="2"/>
      <c r="R306" s="2"/>
      <c r="S306" s="2"/>
      <c r="T306" s="2"/>
      <c r="U306" s="2"/>
    </row>
    <row r="307" spans="1:21" ht="12.75">
      <c r="A307" s="211"/>
      <c r="B307" s="212" t="s">
        <v>345</v>
      </c>
      <c r="C307" s="25" t="s">
        <v>430</v>
      </c>
      <c r="D307" s="25" t="s">
        <v>459</v>
      </c>
      <c r="G307" s="2"/>
      <c r="H307" s="93"/>
      <c r="I307" s="96"/>
      <c r="J307" s="93"/>
      <c r="K307" s="93"/>
      <c r="L307" s="93"/>
      <c r="M307" s="93"/>
      <c r="N307" s="93"/>
      <c r="O307" s="2"/>
      <c r="P307" s="2"/>
      <c r="Q307" s="2"/>
      <c r="R307" s="2"/>
      <c r="S307" s="2"/>
      <c r="T307" s="2"/>
      <c r="U307" s="2"/>
    </row>
    <row r="308" spans="1:21" ht="12.75">
      <c r="A308" s="14"/>
      <c r="B308" s="29"/>
      <c r="C308" s="42"/>
      <c r="D308" s="161"/>
      <c r="E308" s="90"/>
      <c r="F308" s="90"/>
      <c r="G308" s="29"/>
      <c r="H308" s="42"/>
      <c r="I308" s="161"/>
      <c r="J308" s="2"/>
      <c r="M308" s="93"/>
      <c r="N308" s="96"/>
      <c r="P308" s="93"/>
      <c r="T308" s="2"/>
      <c r="U308" s="2"/>
    </row>
    <row r="309" spans="1:21" ht="12.75">
      <c r="A309" s="41" t="s">
        <v>425</v>
      </c>
      <c r="B309" s="163"/>
      <c r="C309" s="42"/>
      <c r="D309" s="42"/>
      <c r="E309" s="90"/>
      <c r="F309" s="90"/>
      <c r="G309" s="163"/>
      <c r="H309" s="42"/>
      <c r="I309" s="42"/>
      <c r="J309" s="2"/>
      <c r="M309" s="93"/>
      <c r="N309" s="96"/>
      <c r="P309" s="93"/>
      <c r="T309" s="2"/>
      <c r="U309" s="2"/>
    </row>
    <row r="310" spans="1:21" ht="12.75">
      <c r="A310" s="262" t="e">
        <f>A305+1</f>
        <v>#REF!</v>
      </c>
      <c r="B310" s="270">
        <f>'A-G'!F80</f>
        <v>9.5</v>
      </c>
      <c r="C310" s="367"/>
      <c r="D310" s="5"/>
      <c r="E310" s="31" t="e">
        <f>A315+1</f>
        <v>#REF!</v>
      </c>
      <c r="F310" s="270">
        <f>'A-G'!F86</f>
        <v>3.5</v>
      </c>
      <c r="G310" s="2"/>
      <c r="H310" s="2"/>
      <c r="J310" s="93"/>
      <c r="K310" s="96"/>
      <c r="L310" s="93"/>
      <c r="M310" s="93"/>
      <c r="N310" s="93"/>
      <c r="P310" s="93"/>
      <c r="Q310" s="2"/>
      <c r="R310" s="2"/>
      <c r="S310" s="2"/>
      <c r="T310" s="2"/>
      <c r="U310" s="2"/>
    </row>
    <row r="311" spans="1:21" ht="12.75">
      <c r="A311" s="34" t="e">
        <f>A310+1</f>
        <v>#REF!</v>
      </c>
      <c r="B311" s="270">
        <f>'A-G'!F81</f>
        <v>8.5</v>
      </c>
      <c r="C311" s="367"/>
      <c r="D311" s="5"/>
      <c r="E311" s="34" t="e">
        <f>E310+1</f>
        <v>#REF!</v>
      </c>
      <c r="F311" s="270">
        <f>'A-G'!F88</f>
        <v>1.5</v>
      </c>
      <c r="G311" s="2"/>
      <c r="H311" s="2"/>
      <c r="J311" s="93"/>
      <c r="K311" s="96"/>
      <c r="L311" s="93"/>
      <c r="M311" s="93"/>
      <c r="N311" s="93"/>
      <c r="P311" s="93"/>
      <c r="Q311" s="2"/>
      <c r="R311" s="2"/>
      <c r="S311" s="2"/>
      <c r="T311" s="2"/>
      <c r="U311" s="2"/>
    </row>
    <row r="312" spans="1:21" ht="12.75">
      <c r="A312" s="34" t="e">
        <f>A311+1</f>
        <v>#REF!</v>
      </c>
      <c r="B312" s="270">
        <f>'A-G'!F82</f>
        <v>7.5</v>
      </c>
      <c r="C312" s="367"/>
      <c r="D312" s="5"/>
      <c r="E312" s="34" t="e">
        <f>E311+1</f>
        <v>#REF!</v>
      </c>
      <c r="F312" s="270" t="e">
        <f>'A-G'!#REF!</f>
        <v>#REF!</v>
      </c>
      <c r="G312" s="2"/>
      <c r="H312" s="2"/>
      <c r="J312" s="93"/>
      <c r="K312" s="96"/>
      <c r="L312" s="93"/>
      <c r="M312" s="93"/>
      <c r="N312" s="93"/>
      <c r="P312" s="93"/>
      <c r="Q312" s="2"/>
      <c r="R312" s="2"/>
      <c r="S312" s="2"/>
      <c r="T312" s="2"/>
      <c r="U312" s="2"/>
    </row>
    <row r="313" spans="1:21" ht="12.75">
      <c r="A313" s="34" t="e">
        <f>A312+1</f>
        <v>#REF!</v>
      </c>
      <c r="B313" s="270">
        <f>'A-G'!F83</f>
        <v>6.5</v>
      </c>
      <c r="C313" s="367"/>
      <c r="D313" s="5"/>
      <c r="E313" s="34" t="e">
        <f>E312+1</f>
        <v>#REF!</v>
      </c>
      <c r="F313" s="270" t="e">
        <f>'A-G'!#REF!</f>
        <v>#REF!</v>
      </c>
      <c r="G313" s="2"/>
      <c r="H313" s="2"/>
      <c r="J313" s="93"/>
      <c r="K313" s="96"/>
      <c r="L313" s="93"/>
      <c r="M313" s="93"/>
      <c r="N313" s="93"/>
      <c r="P313" s="93"/>
      <c r="Q313" s="2"/>
      <c r="R313" s="2"/>
      <c r="S313" s="2"/>
      <c r="T313" s="2"/>
      <c r="U313" s="2"/>
    </row>
    <row r="314" spans="1:21" ht="12.75">
      <c r="A314" s="54" t="e">
        <f>A312+1</f>
        <v>#REF!</v>
      </c>
      <c r="B314" s="270">
        <f>'A-G'!F84</f>
        <v>5.5</v>
      </c>
      <c r="C314" s="367"/>
      <c r="D314" s="5"/>
      <c r="E314" s="34" t="e">
        <f>E313+1</f>
        <v>#REF!</v>
      </c>
      <c r="F314" s="270">
        <f>'A-G'!F89</f>
        <v>0.5</v>
      </c>
      <c r="G314" s="2"/>
      <c r="H314" s="2"/>
      <c r="J314" s="93"/>
      <c r="K314" s="96"/>
      <c r="L314" s="93"/>
      <c r="M314" s="93"/>
      <c r="N314" s="93"/>
      <c r="P314" s="93"/>
      <c r="Q314" s="2"/>
      <c r="R314" s="2"/>
      <c r="S314" s="2"/>
      <c r="T314" s="2"/>
      <c r="U314" s="2"/>
    </row>
    <row r="315" spans="1:21" ht="12.75">
      <c r="A315" s="54" t="e">
        <f>A313+1</f>
        <v>#REF!</v>
      </c>
      <c r="B315" s="270">
        <f>'A-G'!F85</f>
        <v>4.5</v>
      </c>
      <c r="C315" s="367"/>
      <c r="D315" s="5"/>
      <c r="E315" s="37" t="e">
        <f>E314+1</f>
        <v>#REF!</v>
      </c>
      <c r="F315" s="344"/>
      <c r="G315" s="2"/>
      <c r="H315" s="2"/>
      <c r="J315" s="93"/>
      <c r="K315" s="96"/>
      <c r="L315" s="93"/>
      <c r="M315" s="93"/>
      <c r="N315" s="93"/>
      <c r="P315" s="93"/>
      <c r="Q315" s="2"/>
      <c r="R315" s="2"/>
      <c r="S315" s="2"/>
      <c r="T315" s="2"/>
      <c r="U315" s="2"/>
    </row>
    <row r="316" spans="1:11" ht="12.75">
      <c r="A316" s="162" t="e">
        <f>CONCATENATE("* zie onderbouwing regel 40 laatste rekenstaat ",#REF!,)</f>
        <v>#REF!</v>
      </c>
      <c r="B316" s="132"/>
      <c r="C316" s="328"/>
      <c r="D316" s="345"/>
      <c r="E316" s="328"/>
      <c r="F316" s="5"/>
      <c r="G316" s="165"/>
      <c r="H316" s="87"/>
      <c r="I316" s="87"/>
      <c r="J316" s="87"/>
      <c r="K316" s="87"/>
    </row>
    <row r="317" spans="1:10" ht="12.75">
      <c r="A317" s="166"/>
      <c r="B317" s="163"/>
      <c r="C317" s="163"/>
      <c r="D317" s="163"/>
      <c r="E317" s="164"/>
      <c r="F317" s="165"/>
      <c r="G317" s="165"/>
      <c r="H317" s="119"/>
      <c r="I317" s="119"/>
      <c r="J317" s="2"/>
    </row>
    <row r="318" spans="1:21" ht="12.75">
      <c r="A318" s="41" t="s">
        <v>431</v>
      </c>
      <c r="B318" s="27" t="s">
        <v>458</v>
      </c>
      <c r="D318" s="2"/>
      <c r="G318" s="2"/>
      <c r="H318" s="93"/>
      <c r="I318" s="96"/>
      <c r="J318" s="93"/>
      <c r="K318" s="93"/>
      <c r="L318" s="93"/>
      <c r="M318" s="93"/>
      <c r="N318" s="93"/>
      <c r="O318" s="2"/>
      <c r="P318" s="2"/>
      <c r="Q318" s="2"/>
      <c r="R318" s="2"/>
      <c r="S318" s="2"/>
      <c r="T318" s="2"/>
      <c r="U318" s="2"/>
    </row>
    <row r="319" spans="1:21" ht="12.75">
      <c r="A319" s="37" t="e">
        <f>Uitvoer!E315+1</f>
        <v>#REF!</v>
      </c>
      <c r="B319" s="134"/>
      <c r="C319" s="190"/>
      <c r="D319" s="410">
        <f>Uitvoer!F170</f>
        <v>0</v>
      </c>
      <c r="G319" s="2"/>
      <c r="H319" s="93"/>
      <c r="I319" s="96"/>
      <c r="J319" s="93"/>
      <c r="K319" s="93"/>
      <c r="L319" s="93"/>
      <c r="M319" s="93"/>
      <c r="N319" s="93"/>
      <c r="O319" s="2"/>
      <c r="P319" s="2"/>
      <c r="Q319" s="2"/>
      <c r="R319" s="2"/>
      <c r="S319" s="2"/>
      <c r="T319" s="2"/>
      <c r="U319" s="2"/>
    </row>
    <row r="320" spans="1:21" ht="12.75">
      <c r="A320" s="37" t="e">
        <f>A319+1</f>
        <v>#REF!</v>
      </c>
      <c r="B320" s="191"/>
      <c r="C320" s="192"/>
      <c r="D320" s="295">
        <v>1138502</v>
      </c>
      <c r="G320" s="2"/>
      <c r="H320" s="93"/>
      <c r="I320" s="96"/>
      <c r="J320" s="93"/>
      <c r="K320" s="93"/>
      <c r="L320" s="93"/>
      <c r="M320" s="93"/>
      <c r="N320" s="93"/>
      <c r="O320" s="2"/>
      <c r="P320" s="2"/>
      <c r="Q320" s="2"/>
      <c r="R320" s="2"/>
      <c r="S320" s="2"/>
      <c r="T320" s="2"/>
      <c r="U320" s="2"/>
    </row>
    <row r="321" spans="1:21" ht="12.75">
      <c r="A321" s="37" t="e">
        <f>A320+1</f>
        <v>#REF!</v>
      </c>
      <c r="B321" s="193"/>
      <c r="C321" s="194"/>
      <c r="D321" s="195"/>
      <c r="G321" s="2"/>
      <c r="H321" s="93"/>
      <c r="I321" s="96"/>
      <c r="J321" s="93"/>
      <c r="K321" s="93"/>
      <c r="L321" s="93"/>
      <c r="M321" s="93"/>
      <c r="N321" s="93"/>
      <c r="O321" s="2"/>
      <c r="P321" s="2"/>
      <c r="Q321" s="2"/>
      <c r="R321" s="2"/>
      <c r="S321" s="2"/>
      <c r="T321" s="2"/>
      <c r="U321" s="2"/>
    </row>
    <row r="322" spans="3:10" ht="12.75">
      <c r="C322" s="5"/>
      <c r="D322" s="2"/>
      <c r="G322" s="2"/>
      <c r="H322" s="2"/>
      <c r="J322" s="2"/>
    </row>
    <row r="323" spans="1:21" ht="12.75">
      <c r="A323" s="213"/>
      <c r="B323" s="213"/>
      <c r="C323" s="214" t="s">
        <v>354</v>
      </c>
      <c r="D323" s="215" t="s">
        <v>362</v>
      </c>
      <c r="E323" s="215" t="s">
        <v>363</v>
      </c>
      <c r="F323" s="215" t="s">
        <v>347</v>
      </c>
      <c r="G323" s="411" t="e">
        <f>CONCATENATE("Aflossing ",#REF!)</f>
        <v>#REF!</v>
      </c>
      <c r="H323" s="302"/>
      <c r="I323" s="302"/>
      <c r="J323" s="302"/>
      <c r="K323" s="302"/>
      <c r="L323" s="302"/>
      <c r="M323" s="302"/>
      <c r="N323" s="303"/>
      <c r="O323" s="198" t="s">
        <v>526</v>
      </c>
      <c r="P323" s="93"/>
      <c r="T323" s="2"/>
      <c r="U323" s="2"/>
    </row>
    <row r="324" spans="1:21" ht="12.75">
      <c r="A324" s="216"/>
      <c r="B324" s="216"/>
      <c r="C324" s="217"/>
      <c r="D324" s="217"/>
      <c r="E324" s="217"/>
      <c r="F324" s="218" t="e">
        <f>CONCATENATE("31-12-",#REF!-1," ")</f>
        <v>#REF!</v>
      </c>
      <c r="G324" s="219" t="s">
        <v>364</v>
      </c>
      <c r="H324" s="220" t="s">
        <v>360</v>
      </c>
      <c r="I324" s="411" t="s">
        <v>361</v>
      </c>
      <c r="J324" s="412"/>
      <c r="K324" s="412"/>
      <c r="L324" s="412"/>
      <c r="M324" s="412"/>
      <c r="N324" s="413"/>
      <c r="O324" s="109" t="s">
        <v>527</v>
      </c>
      <c r="P324" s="93"/>
      <c r="Q324" s="2"/>
      <c r="R324" s="2"/>
      <c r="S324" s="2"/>
      <c r="T324" s="2"/>
      <c r="U324" s="2"/>
    </row>
    <row r="325" spans="1:21" ht="12.75">
      <c r="A325" s="169"/>
      <c r="B325" s="169"/>
      <c r="C325" s="92"/>
      <c r="D325" s="92"/>
      <c r="E325" s="92"/>
      <c r="F325" s="92"/>
      <c r="G325" s="92"/>
      <c r="H325" s="92"/>
      <c r="I325" s="92"/>
      <c r="J325" s="91"/>
      <c r="K325" s="92"/>
      <c r="L325" s="92"/>
      <c r="M325" s="92"/>
      <c r="N325" s="92"/>
      <c r="O325" s="92"/>
      <c r="P325" s="93"/>
      <c r="Q325" s="2"/>
      <c r="R325" s="2"/>
      <c r="S325" s="2"/>
      <c r="T325" s="2"/>
      <c r="U325" s="2"/>
    </row>
    <row r="326" spans="1:21" ht="12.75">
      <c r="A326" s="41" t="s">
        <v>461</v>
      </c>
      <c r="B326" s="167"/>
      <c r="C326" s="168"/>
      <c r="D326" s="168"/>
      <c r="E326" s="168"/>
      <c r="F326" s="168"/>
      <c r="G326" s="168"/>
      <c r="H326" s="168"/>
      <c r="I326" s="168"/>
      <c r="J326" s="168"/>
      <c r="K326" s="168"/>
      <c r="L326" s="168"/>
      <c r="M326" s="168"/>
      <c r="N326" s="42"/>
      <c r="P326" s="2"/>
      <c r="Q326" s="2"/>
      <c r="R326" s="2"/>
      <c r="S326" s="2"/>
      <c r="T326" s="2"/>
      <c r="U326" s="2"/>
    </row>
    <row r="327" spans="1:21" ht="12.75">
      <c r="A327" s="31">
        <f>H!A8</f>
        <v>2801</v>
      </c>
      <c r="B327" s="414">
        <f>H!B8</f>
        <v>0</v>
      </c>
      <c r="C327" s="136">
        <f>H!D8</f>
        <v>0</v>
      </c>
      <c r="D327" s="415">
        <f>H!E8</f>
        <v>0</v>
      </c>
      <c r="E327" s="270">
        <f>H!F8</f>
        <v>0</v>
      </c>
      <c r="F327" s="270">
        <f>H!H8</f>
        <v>0</v>
      </c>
      <c r="G327" s="270">
        <f>H!I8</f>
        <v>0</v>
      </c>
      <c r="H327" s="266">
        <f>H!J8</f>
        <v>0</v>
      </c>
      <c r="I327" s="266">
        <f>H!K8</f>
        <v>0</v>
      </c>
      <c r="J327" s="266">
        <f>H!L8</f>
        <v>0</v>
      </c>
      <c r="K327" s="266">
        <f>H!M8</f>
        <v>0</v>
      </c>
      <c r="L327" s="266">
        <f>H!N8</f>
        <v>0</v>
      </c>
      <c r="M327" s="266">
        <f>H!O8</f>
        <v>0</v>
      </c>
      <c r="N327" s="266">
        <f>H!P8</f>
        <v>0</v>
      </c>
      <c r="O327" s="270">
        <f>H!S8</f>
        <v>0</v>
      </c>
      <c r="P327" s="93"/>
      <c r="Q327" s="2"/>
      <c r="R327" s="2"/>
      <c r="S327" s="2"/>
      <c r="T327" s="2"/>
      <c r="U327" s="2"/>
    </row>
    <row r="328" spans="1:21" ht="12.75">
      <c r="A328" s="31">
        <f aca="true" t="shared" si="14" ref="A328:A350">A327+1</f>
        <v>2802</v>
      </c>
      <c r="B328" s="414">
        <f>H!B9</f>
        <v>0</v>
      </c>
      <c r="C328" s="136">
        <f>H!D9</f>
        <v>0</v>
      </c>
      <c r="D328" s="415">
        <f>H!E9</f>
        <v>0</v>
      </c>
      <c r="E328" s="270">
        <f>H!F9</f>
        <v>0</v>
      </c>
      <c r="F328" s="270">
        <f>H!H9</f>
        <v>0</v>
      </c>
      <c r="G328" s="270">
        <f>H!I9</f>
        <v>0</v>
      </c>
      <c r="H328" s="266">
        <f>H!J9</f>
        <v>0</v>
      </c>
      <c r="I328" s="266">
        <f>H!K9</f>
        <v>0</v>
      </c>
      <c r="J328" s="266">
        <f>H!L9</f>
        <v>0</v>
      </c>
      <c r="K328" s="266">
        <f>H!M9</f>
        <v>0</v>
      </c>
      <c r="L328" s="266">
        <f>H!N9</f>
        <v>0</v>
      </c>
      <c r="M328" s="266">
        <f>H!O9</f>
        <v>0</v>
      </c>
      <c r="N328" s="266">
        <f>H!P9</f>
        <v>0</v>
      </c>
      <c r="O328" s="270">
        <f>H!T9</f>
        <v>0</v>
      </c>
      <c r="P328" s="93"/>
      <c r="Q328" s="2"/>
      <c r="R328" s="2"/>
      <c r="S328" s="2"/>
      <c r="T328" s="2"/>
      <c r="U328" s="2"/>
    </row>
    <row r="329" spans="1:21" ht="12.75">
      <c r="A329" s="31">
        <f t="shared" si="14"/>
        <v>2803</v>
      </c>
      <c r="B329" s="414">
        <f>H!B10</f>
        <v>0</v>
      </c>
      <c r="C329" s="136">
        <f>H!D10</f>
        <v>0</v>
      </c>
      <c r="D329" s="415">
        <f>H!E10</f>
        <v>0</v>
      </c>
      <c r="E329" s="270">
        <f>H!F10</f>
        <v>0</v>
      </c>
      <c r="F329" s="270">
        <f>H!H10</f>
        <v>0</v>
      </c>
      <c r="G329" s="270">
        <f>H!I10</f>
        <v>0</v>
      </c>
      <c r="H329" s="266">
        <f>H!J10</f>
        <v>0</v>
      </c>
      <c r="I329" s="266">
        <f>H!K10</f>
        <v>0</v>
      </c>
      <c r="J329" s="266">
        <f>H!L10</f>
        <v>0</v>
      </c>
      <c r="K329" s="266">
        <f>H!M10</f>
        <v>0</v>
      </c>
      <c r="L329" s="266">
        <f>H!N10</f>
        <v>0</v>
      </c>
      <c r="M329" s="266">
        <f>H!O10</f>
        <v>0</v>
      </c>
      <c r="N329" s="266">
        <f>H!P10</f>
        <v>0</v>
      </c>
      <c r="O329" s="270">
        <f>H!T10</f>
        <v>0</v>
      </c>
      <c r="P329" s="93"/>
      <c r="Q329" s="2"/>
      <c r="R329" s="2"/>
      <c r="S329" s="2"/>
      <c r="T329" s="2"/>
      <c r="U329" s="2"/>
    </row>
    <row r="330" spans="1:21" ht="12.75">
      <c r="A330" s="31">
        <f t="shared" si="14"/>
        <v>2804</v>
      </c>
      <c r="B330" s="414">
        <f>H!B11</f>
        <v>0</v>
      </c>
      <c r="C330" s="136">
        <f>H!D11</f>
        <v>0</v>
      </c>
      <c r="D330" s="415">
        <f>H!E11</f>
        <v>0</v>
      </c>
      <c r="E330" s="270">
        <f>H!F11</f>
        <v>0</v>
      </c>
      <c r="F330" s="270">
        <f>H!H11</f>
        <v>0</v>
      </c>
      <c r="G330" s="270">
        <f>H!I11</f>
        <v>0</v>
      </c>
      <c r="H330" s="266">
        <f>H!J11</f>
        <v>0</v>
      </c>
      <c r="I330" s="266">
        <f>H!K11</f>
        <v>0</v>
      </c>
      <c r="J330" s="266">
        <f>H!L11</f>
        <v>0</v>
      </c>
      <c r="K330" s="266">
        <f>H!M11</f>
        <v>0</v>
      </c>
      <c r="L330" s="266">
        <f>H!N11</f>
        <v>0</v>
      </c>
      <c r="M330" s="266">
        <f>H!O11</f>
        <v>0</v>
      </c>
      <c r="N330" s="266">
        <f>H!P11</f>
        <v>0</v>
      </c>
      <c r="O330" s="270">
        <f>H!T11</f>
        <v>0</v>
      </c>
      <c r="P330" s="93"/>
      <c r="Q330" s="2"/>
      <c r="R330" s="2"/>
      <c r="S330" s="2"/>
      <c r="T330" s="2"/>
      <c r="U330" s="2"/>
    </row>
    <row r="331" spans="1:21" ht="12.75">
      <c r="A331" s="31">
        <f t="shared" si="14"/>
        <v>2805</v>
      </c>
      <c r="B331" s="414">
        <f>H!B12</f>
        <v>0</v>
      </c>
      <c r="C331" s="136">
        <f>H!D12</f>
        <v>0</v>
      </c>
      <c r="D331" s="415">
        <f>H!E12</f>
        <v>0</v>
      </c>
      <c r="E331" s="270">
        <f>H!F12</f>
        <v>0</v>
      </c>
      <c r="F331" s="270">
        <f>H!H12</f>
        <v>0</v>
      </c>
      <c r="G331" s="270">
        <f>H!I12</f>
        <v>0</v>
      </c>
      <c r="H331" s="266">
        <f>H!J12</f>
        <v>0</v>
      </c>
      <c r="I331" s="266">
        <f>H!K12</f>
        <v>0</v>
      </c>
      <c r="J331" s="266">
        <f>H!L12</f>
        <v>0</v>
      </c>
      <c r="K331" s="266">
        <f>H!M12</f>
        <v>0</v>
      </c>
      <c r="L331" s="266">
        <f>H!N12</f>
        <v>0</v>
      </c>
      <c r="M331" s="266">
        <f>H!O12</f>
        <v>0</v>
      </c>
      <c r="N331" s="266">
        <f>H!P12</f>
        <v>0</v>
      </c>
      <c r="O331" s="270">
        <f>H!T12</f>
        <v>0</v>
      </c>
      <c r="P331" s="93"/>
      <c r="Q331" s="2"/>
      <c r="R331" s="2"/>
      <c r="S331" s="2"/>
      <c r="T331" s="2"/>
      <c r="U331" s="2"/>
    </row>
    <row r="332" spans="1:21" ht="12.75">
      <c r="A332" s="31">
        <f t="shared" si="14"/>
        <v>2806</v>
      </c>
      <c r="B332" s="414">
        <f>H!B13</f>
        <v>0</v>
      </c>
      <c r="C332" s="136">
        <f>H!D13</f>
        <v>0</v>
      </c>
      <c r="D332" s="415">
        <f>H!E13</f>
        <v>0</v>
      </c>
      <c r="E332" s="270">
        <f>H!F13</f>
        <v>0</v>
      </c>
      <c r="F332" s="270">
        <f>H!H13</f>
        <v>0</v>
      </c>
      <c r="G332" s="270">
        <f>H!I13</f>
        <v>0</v>
      </c>
      <c r="H332" s="266">
        <f>H!J13</f>
        <v>0</v>
      </c>
      <c r="I332" s="266">
        <f>H!K13</f>
        <v>0</v>
      </c>
      <c r="J332" s="266">
        <f>H!L13</f>
        <v>0</v>
      </c>
      <c r="K332" s="266">
        <f>H!M13</f>
        <v>0</v>
      </c>
      <c r="L332" s="266">
        <f>H!N13</f>
        <v>0</v>
      </c>
      <c r="M332" s="266">
        <f>H!O13</f>
        <v>0</v>
      </c>
      <c r="N332" s="266">
        <f>H!P13</f>
        <v>0</v>
      </c>
      <c r="O332" s="270">
        <f>H!T13</f>
        <v>0</v>
      </c>
      <c r="P332" s="93"/>
      <c r="Q332" s="2"/>
      <c r="R332" s="2"/>
      <c r="S332" s="2"/>
      <c r="T332" s="2"/>
      <c r="U332" s="2"/>
    </row>
    <row r="333" spans="1:21" ht="12.75">
      <c r="A333" s="31">
        <f t="shared" si="14"/>
        <v>2807</v>
      </c>
      <c r="B333" s="414">
        <f>H!B14</f>
        <v>0</v>
      </c>
      <c r="C333" s="136">
        <f>H!D14</f>
        <v>0</v>
      </c>
      <c r="D333" s="415">
        <f>H!E14</f>
        <v>0</v>
      </c>
      <c r="E333" s="270">
        <f>H!F14</f>
        <v>0</v>
      </c>
      <c r="F333" s="270">
        <f>H!H14</f>
        <v>0</v>
      </c>
      <c r="G333" s="270">
        <f>H!I14</f>
        <v>0</v>
      </c>
      <c r="H333" s="266">
        <f>H!J14</f>
        <v>0</v>
      </c>
      <c r="I333" s="266">
        <f>H!K14</f>
        <v>0</v>
      </c>
      <c r="J333" s="266">
        <f>H!L14</f>
        <v>0</v>
      </c>
      <c r="K333" s="266">
        <f>H!M14</f>
        <v>0</v>
      </c>
      <c r="L333" s="266">
        <f>H!N14</f>
        <v>0</v>
      </c>
      <c r="M333" s="266">
        <f>H!O14</f>
        <v>0</v>
      </c>
      <c r="N333" s="266">
        <f>H!P14</f>
        <v>0</v>
      </c>
      <c r="O333" s="270">
        <f>H!T14</f>
        <v>0</v>
      </c>
      <c r="P333" s="93"/>
      <c r="Q333" s="2"/>
      <c r="R333" s="2"/>
      <c r="S333" s="2"/>
      <c r="T333" s="2"/>
      <c r="U333" s="2"/>
    </row>
    <row r="334" spans="1:21" ht="12.75">
      <c r="A334" s="31">
        <f t="shared" si="14"/>
        <v>2808</v>
      </c>
      <c r="B334" s="414">
        <f>H!B15</f>
        <v>0</v>
      </c>
      <c r="C334" s="136">
        <f>H!D15</f>
        <v>0</v>
      </c>
      <c r="D334" s="415">
        <f>H!E15</f>
        <v>0</v>
      </c>
      <c r="E334" s="270">
        <f>H!F15</f>
        <v>0</v>
      </c>
      <c r="F334" s="270">
        <f>H!H15</f>
        <v>0</v>
      </c>
      <c r="G334" s="270">
        <f>H!I15</f>
        <v>0</v>
      </c>
      <c r="H334" s="266">
        <f>H!J15</f>
        <v>0</v>
      </c>
      <c r="I334" s="266">
        <f>H!K15</f>
        <v>0</v>
      </c>
      <c r="J334" s="266">
        <f>H!L15</f>
        <v>0</v>
      </c>
      <c r="K334" s="266">
        <f>H!M15</f>
        <v>0</v>
      </c>
      <c r="L334" s="266">
        <f>H!N15</f>
        <v>0</v>
      </c>
      <c r="M334" s="266">
        <f>H!O15</f>
        <v>0</v>
      </c>
      <c r="N334" s="266">
        <f>H!P15</f>
        <v>0</v>
      </c>
      <c r="O334" s="270">
        <f>H!T15</f>
        <v>0</v>
      </c>
      <c r="P334" s="93"/>
      <c r="Q334" s="2"/>
      <c r="R334" s="2"/>
      <c r="S334" s="2"/>
      <c r="T334" s="2"/>
      <c r="U334" s="2"/>
    </row>
    <row r="335" spans="1:21" ht="12.75">
      <c r="A335" s="31">
        <f t="shared" si="14"/>
        <v>2809</v>
      </c>
      <c r="B335" s="414">
        <f>H!B16</f>
        <v>0</v>
      </c>
      <c r="C335" s="136">
        <f>H!D16</f>
        <v>0</v>
      </c>
      <c r="D335" s="415">
        <f>H!E16</f>
        <v>0</v>
      </c>
      <c r="E335" s="270">
        <f>H!F16</f>
        <v>0</v>
      </c>
      <c r="F335" s="270">
        <f>H!H16</f>
        <v>0</v>
      </c>
      <c r="G335" s="270">
        <f>H!I16</f>
        <v>0</v>
      </c>
      <c r="H335" s="266">
        <f>H!J16</f>
        <v>0</v>
      </c>
      <c r="I335" s="266">
        <f>H!K16</f>
        <v>0</v>
      </c>
      <c r="J335" s="266">
        <f>H!L16</f>
        <v>0</v>
      </c>
      <c r="K335" s="266">
        <f>H!M16</f>
        <v>0</v>
      </c>
      <c r="L335" s="266">
        <f>H!N16</f>
        <v>0</v>
      </c>
      <c r="M335" s="266">
        <f>H!O16</f>
        <v>0</v>
      </c>
      <c r="N335" s="266">
        <f>H!P16</f>
        <v>0</v>
      </c>
      <c r="O335" s="270">
        <f>H!T16</f>
        <v>0</v>
      </c>
      <c r="P335" s="93"/>
      <c r="Q335" s="2"/>
      <c r="R335" s="2"/>
      <c r="S335" s="2"/>
      <c r="T335" s="2"/>
      <c r="U335" s="2"/>
    </row>
    <row r="336" spans="1:21" ht="12.75">
      <c r="A336" s="31">
        <f t="shared" si="14"/>
        <v>2810</v>
      </c>
      <c r="B336" s="414">
        <f>H!B17</f>
        <v>0</v>
      </c>
      <c r="C336" s="136">
        <f>H!D17</f>
        <v>0</v>
      </c>
      <c r="D336" s="415">
        <f>H!E17</f>
        <v>0</v>
      </c>
      <c r="E336" s="270">
        <f>H!F17</f>
        <v>0</v>
      </c>
      <c r="F336" s="270">
        <f>H!H17</f>
        <v>0</v>
      </c>
      <c r="G336" s="270">
        <f>H!I17</f>
        <v>0</v>
      </c>
      <c r="H336" s="266">
        <f>H!J17</f>
        <v>0</v>
      </c>
      <c r="I336" s="266">
        <f>H!K17</f>
        <v>0</v>
      </c>
      <c r="J336" s="266">
        <f>H!L17</f>
        <v>0</v>
      </c>
      <c r="K336" s="266">
        <f>H!M17</f>
        <v>0</v>
      </c>
      <c r="L336" s="266">
        <f>H!N17</f>
        <v>0</v>
      </c>
      <c r="M336" s="266">
        <f>H!O17</f>
        <v>0</v>
      </c>
      <c r="N336" s="266">
        <f>H!P17</f>
        <v>0</v>
      </c>
      <c r="O336" s="270">
        <f>H!T17</f>
        <v>0</v>
      </c>
      <c r="P336" s="93"/>
      <c r="Q336" s="2"/>
      <c r="R336" s="2"/>
      <c r="S336" s="2"/>
      <c r="T336" s="2"/>
      <c r="U336" s="2"/>
    </row>
    <row r="337" spans="1:21" ht="12.75">
      <c r="A337" s="31">
        <f t="shared" si="14"/>
        <v>2811</v>
      </c>
      <c r="B337" s="414">
        <f>H!B23</f>
        <v>0</v>
      </c>
      <c r="C337" s="136">
        <f>H!D23</f>
        <v>0</v>
      </c>
      <c r="D337" s="415">
        <f>H!E23</f>
        <v>0</v>
      </c>
      <c r="E337" s="270">
        <f>H!F23</f>
        <v>0</v>
      </c>
      <c r="F337" s="270">
        <f>H!H23</f>
        <v>0</v>
      </c>
      <c r="G337" s="270">
        <f>H!I23</f>
        <v>0</v>
      </c>
      <c r="H337" s="266">
        <f>H!J23</f>
        <v>0</v>
      </c>
      <c r="I337" s="266">
        <f>H!K23</f>
        <v>0</v>
      </c>
      <c r="J337" s="266">
        <f>H!L23</f>
        <v>0</v>
      </c>
      <c r="K337" s="266">
        <f>H!M23</f>
        <v>0</v>
      </c>
      <c r="L337" s="266">
        <f>H!N23</f>
        <v>0</v>
      </c>
      <c r="M337" s="266">
        <f>H!O23</f>
        <v>0</v>
      </c>
      <c r="N337" s="266">
        <f>H!P23</f>
        <v>0</v>
      </c>
      <c r="O337" s="270">
        <f>H!T23</f>
        <v>0</v>
      </c>
      <c r="P337" s="93"/>
      <c r="Q337" s="2"/>
      <c r="R337" s="2"/>
      <c r="S337" s="2"/>
      <c r="T337" s="2"/>
      <c r="U337" s="2"/>
    </row>
    <row r="338" spans="1:21" ht="12.75">
      <c r="A338" s="31">
        <f t="shared" si="14"/>
        <v>2812</v>
      </c>
      <c r="B338" s="414">
        <f>H!B24</f>
        <v>0</v>
      </c>
      <c r="C338" s="136">
        <f>H!D24</f>
        <v>0</v>
      </c>
      <c r="D338" s="415">
        <f>H!E24</f>
        <v>0</v>
      </c>
      <c r="E338" s="270">
        <f>H!F24</f>
        <v>0</v>
      </c>
      <c r="F338" s="270">
        <f>H!H24</f>
        <v>0</v>
      </c>
      <c r="G338" s="270">
        <f>H!I24</f>
        <v>0</v>
      </c>
      <c r="H338" s="266">
        <f>H!J24</f>
        <v>0</v>
      </c>
      <c r="I338" s="266">
        <f>H!K24</f>
        <v>0</v>
      </c>
      <c r="J338" s="266">
        <f>H!L24</f>
        <v>0</v>
      </c>
      <c r="K338" s="266">
        <f>H!M24</f>
        <v>0</v>
      </c>
      <c r="L338" s="266">
        <f>H!N24</f>
        <v>0</v>
      </c>
      <c r="M338" s="266">
        <f>H!O24</f>
        <v>0</v>
      </c>
      <c r="N338" s="266">
        <f>H!P24</f>
        <v>0</v>
      </c>
      <c r="O338" s="270">
        <f>H!T24</f>
        <v>0</v>
      </c>
      <c r="P338" s="93"/>
      <c r="Q338" s="2"/>
      <c r="R338" s="2"/>
      <c r="S338" s="2"/>
      <c r="T338" s="2"/>
      <c r="U338" s="2"/>
    </row>
    <row r="339" spans="1:21" ht="12.75">
      <c r="A339" s="31">
        <f t="shared" si="14"/>
        <v>2813</v>
      </c>
      <c r="B339" s="414">
        <f>H!B25</f>
        <v>0</v>
      </c>
      <c r="C339" s="136">
        <f>H!D25</f>
        <v>0</v>
      </c>
      <c r="D339" s="415">
        <f>H!E25</f>
        <v>0</v>
      </c>
      <c r="E339" s="270">
        <f>H!F25</f>
        <v>0</v>
      </c>
      <c r="F339" s="270">
        <f>H!H25</f>
        <v>0</v>
      </c>
      <c r="G339" s="270">
        <f>H!I25</f>
        <v>0</v>
      </c>
      <c r="H339" s="266">
        <f>H!J25</f>
        <v>0</v>
      </c>
      <c r="I339" s="266">
        <f>H!K25</f>
        <v>0</v>
      </c>
      <c r="J339" s="266">
        <f>H!L25</f>
        <v>0</v>
      </c>
      <c r="K339" s="266">
        <f>H!M25</f>
        <v>0</v>
      </c>
      <c r="L339" s="266">
        <f>H!N25</f>
        <v>0</v>
      </c>
      <c r="M339" s="266">
        <f>H!O25</f>
        <v>0</v>
      </c>
      <c r="N339" s="266">
        <f>H!P25</f>
        <v>0</v>
      </c>
      <c r="O339" s="270">
        <f>H!T25</f>
        <v>0</v>
      </c>
      <c r="P339" s="93"/>
      <c r="Q339" s="2"/>
      <c r="R339" s="2"/>
      <c r="S339" s="2"/>
      <c r="T339" s="2"/>
      <c r="U339" s="2"/>
    </row>
    <row r="340" spans="1:21" ht="12.75">
      <c r="A340" s="31">
        <f t="shared" si="14"/>
        <v>2814</v>
      </c>
      <c r="B340" s="414">
        <f>H!B26</f>
        <v>0</v>
      </c>
      <c r="C340" s="136">
        <f>H!D26</f>
        <v>0</v>
      </c>
      <c r="D340" s="415">
        <f>H!E26</f>
        <v>0</v>
      </c>
      <c r="E340" s="270">
        <f>H!F26</f>
        <v>0</v>
      </c>
      <c r="F340" s="270">
        <f>H!H26</f>
        <v>0</v>
      </c>
      <c r="G340" s="270">
        <f>H!I26</f>
        <v>0</v>
      </c>
      <c r="H340" s="266">
        <f>H!J26</f>
        <v>0</v>
      </c>
      <c r="I340" s="266">
        <f>H!K26</f>
        <v>0</v>
      </c>
      <c r="J340" s="266">
        <f>H!L26</f>
        <v>0</v>
      </c>
      <c r="K340" s="266">
        <f>H!M26</f>
        <v>0</v>
      </c>
      <c r="L340" s="266">
        <f>H!N26</f>
        <v>0</v>
      </c>
      <c r="M340" s="266">
        <f>H!O26</f>
        <v>0</v>
      </c>
      <c r="N340" s="266">
        <f>H!P26</f>
        <v>0</v>
      </c>
      <c r="O340" s="270">
        <f>H!T26</f>
        <v>0</v>
      </c>
      <c r="P340" s="93"/>
      <c r="Q340" s="2"/>
      <c r="R340" s="2"/>
      <c r="S340" s="2"/>
      <c r="T340" s="2"/>
      <c r="U340" s="2"/>
    </row>
    <row r="341" spans="1:21" ht="12.75">
      <c r="A341" s="31">
        <f t="shared" si="14"/>
        <v>2815</v>
      </c>
      <c r="B341" s="414">
        <f>H!B27</f>
        <v>0</v>
      </c>
      <c r="C341" s="136">
        <f>H!D27</f>
        <v>0</v>
      </c>
      <c r="D341" s="415">
        <f>H!E27</f>
        <v>0</v>
      </c>
      <c r="E341" s="270">
        <f>H!F27</f>
        <v>0</v>
      </c>
      <c r="F341" s="270">
        <f>H!H27</f>
        <v>0</v>
      </c>
      <c r="G341" s="270">
        <f>H!I27</f>
        <v>0</v>
      </c>
      <c r="H341" s="266">
        <f>H!J27</f>
        <v>0</v>
      </c>
      <c r="I341" s="266">
        <f>H!K27</f>
        <v>0</v>
      </c>
      <c r="J341" s="266">
        <f>H!L27</f>
        <v>0</v>
      </c>
      <c r="K341" s="266">
        <f>H!M27</f>
        <v>0</v>
      </c>
      <c r="L341" s="266">
        <f>H!N27</f>
        <v>0</v>
      </c>
      <c r="M341" s="266">
        <f>H!O27</f>
        <v>0</v>
      </c>
      <c r="N341" s="266">
        <f>H!P27</f>
        <v>0</v>
      </c>
      <c r="O341" s="270">
        <f>H!T27</f>
        <v>0</v>
      </c>
      <c r="P341" s="93"/>
      <c r="Q341" s="2"/>
      <c r="R341" s="2"/>
      <c r="S341" s="2"/>
      <c r="T341" s="2"/>
      <c r="U341" s="2"/>
    </row>
    <row r="342" spans="1:21" ht="12.75">
      <c r="A342" s="31">
        <f t="shared" si="14"/>
        <v>2816</v>
      </c>
      <c r="B342" s="414">
        <f>H!B28</f>
        <v>0</v>
      </c>
      <c r="C342" s="136">
        <f>H!D28</f>
        <v>0</v>
      </c>
      <c r="D342" s="415">
        <f>H!E28</f>
        <v>0</v>
      </c>
      <c r="E342" s="270">
        <f>H!F28</f>
        <v>0</v>
      </c>
      <c r="F342" s="270">
        <f>H!H28</f>
        <v>0</v>
      </c>
      <c r="G342" s="270">
        <f>H!I28</f>
        <v>0</v>
      </c>
      <c r="H342" s="266">
        <f>H!J28</f>
        <v>0</v>
      </c>
      <c r="I342" s="266">
        <f>H!K28</f>
        <v>0</v>
      </c>
      <c r="J342" s="266">
        <f>H!L28</f>
        <v>0</v>
      </c>
      <c r="K342" s="266">
        <f>H!M28</f>
        <v>0</v>
      </c>
      <c r="L342" s="266">
        <f>H!N28</f>
        <v>0</v>
      </c>
      <c r="M342" s="266">
        <f>H!O28</f>
        <v>0</v>
      </c>
      <c r="N342" s="266">
        <f>H!P28</f>
        <v>0</v>
      </c>
      <c r="O342" s="270">
        <f>H!T28</f>
        <v>0</v>
      </c>
      <c r="P342" s="93"/>
      <c r="Q342" s="2"/>
      <c r="R342" s="2"/>
      <c r="S342" s="2"/>
      <c r="T342" s="2"/>
      <c r="U342" s="2"/>
    </row>
    <row r="343" spans="1:21" ht="12.75">
      <c r="A343" s="31">
        <f t="shared" si="14"/>
        <v>2817</v>
      </c>
      <c r="B343" s="414">
        <f>H!B29</f>
        <v>0</v>
      </c>
      <c r="C343" s="136">
        <f>H!D29</f>
        <v>0</v>
      </c>
      <c r="D343" s="415">
        <f>H!E29</f>
        <v>0</v>
      </c>
      <c r="E343" s="270">
        <f>H!F29</f>
        <v>0</v>
      </c>
      <c r="F343" s="270">
        <f>H!H29</f>
        <v>0</v>
      </c>
      <c r="G343" s="270">
        <f>H!I29</f>
        <v>0</v>
      </c>
      <c r="H343" s="266">
        <f>H!J29</f>
        <v>0</v>
      </c>
      <c r="I343" s="266">
        <f>H!K29</f>
        <v>0</v>
      </c>
      <c r="J343" s="266">
        <f>H!L29</f>
        <v>0</v>
      </c>
      <c r="K343" s="266">
        <f>H!M29</f>
        <v>0</v>
      </c>
      <c r="L343" s="266">
        <f>H!N29</f>
        <v>0</v>
      </c>
      <c r="M343" s="266">
        <f>H!O29</f>
        <v>0</v>
      </c>
      <c r="N343" s="266">
        <f>H!P29</f>
        <v>0</v>
      </c>
      <c r="O343" s="270">
        <f>H!T29</f>
        <v>0</v>
      </c>
      <c r="P343" s="93"/>
      <c r="Q343" s="2"/>
      <c r="R343" s="2"/>
      <c r="S343" s="2"/>
      <c r="T343" s="2"/>
      <c r="U343" s="2"/>
    </row>
    <row r="344" spans="1:21" ht="12.75">
      <c r="A344" s="31">
        <f t="shared" si="14"/>
        <v>2818</v>
      </c>
      <c r="B344" s="414">
        <f>H!B32</f>
        <v>0</v>
      </c>
      <c r="C344" s="136">
        <f>H!D32</f>
        <v>0</v>
      </c>
      <c r="D344" s="415">
        <f>H!E32</f>
        <v>0</v>
      </c>
      <c r="E344" s="270">
        <f>H!F32</f>
        <v>0</v>
      </c>
      <c r="F344" s="270">
        <f>H!H32</f>
        <v>0</v>
      </c>
      <c r="G344" s="270">
        <f>H!I32</f>
        <v>0</v>
      </c>
      <c r="H344" s="266">
        <f>H!J32</f>
        <v>0</v>
      </c>
      <c r="I344" s="266">
        <f>H!K32</f>
        <v>0</v>
      </c>
      <c r="J344" s="266">
        <f>H!L32</f>
        <v>0</v>
      </c>
      <c r="K344" s="266">
        <f>H!M32</f>
        <v>0</v>
      </c>
      <c r="L344" s="266">
        <f>H!N32</f>
        <v>0</v>
      </c>
      <c r="M344" s="266">
        <f>H!O32</f>
        <v>0</v>
      </c>
      <c r="N344" s="266">
        <f>H!P32</f>
        <v>0</v>
      </c>
      <c r="O344" s="270">
        <f>H!T32</f>
        <v>0</v>
      </c>
      <c r="P344" s="93"/>
      <c r="Q344" s="2"/>
      <c r="R344" s="2"/>
      <c r="S344" s="2"/>
      <c r="T344" s="2"/>
      <c r="U344" s="2"/>
    </row>
    <row r="345" spans="1:21" ht="12.75">
      <c r="A345" s="31">
        <f t="shared" si="14"/>
        <v>2819</v>
      </c>
      <c r="B345" s="414">
        <f>H!B33</f>
        <v>0</v>
      </c>
      <c r="C345" s="136">
        <f>H!D33</f>
        <v>0</v>
      </c>
      <c r="D345" s="415">
        <f>H!E33</f>
        <v>0</v>
      </c>
      <c r="E345" s="270">
        <f>H!F33</f>
        <v>0</v>
      </c>
      <c r="F345" s="270">
        <f>H!H33</f>
        <v>0</v>
      </c>
      <c r="G345" s="270">
        <f>H!I33</f>
        <v>0</v>
      </c>
      <c r="H345" s="266">
        <f>H!J33</f>
        <v>0</v>
      </c>
      <c r="I345" s="266">
        <f>H!K33</f>
        <v>0</v>
      </c>
      <c r="J345" s="266">
        <f>H!L33</f>
        <v>0</v>
      </c>
      <c r="K345" s="266">
        <f>H!M33</f>
        <v>0</v>
      </c>
      <c r="L345" s="266">
        <f>H!N33</f>
        <v>0</v>
      </c>
      <c r="M345" s="266">
        <f>H!O33</f>
        <v>0</v>
      </c>
      <c r="N345" s="266">
        <f>H!P33</f>
        <v>0</v>
      </c>
      <c r="O345" s="270">
        <f>H!T33</f>
        <v>0</v>
      </c>
      <c r="P345" s="93"/>
      <c r="Q345" s="2"/>
      <c r="R345" s="2"/>
      <c r="S345" s="2"/>
      <c r="T345" s="2"/>
      <c r="U345" s="2"/>
    </row>
    <row r="346" spans="1:21" ht="12.75">
      <c r="A346" s="31">
        <f t="shared" si="14"/>
        <v>2820</v>
      </c>
      <c r="B346" s="414">
        <f>H!B34</f>
        <v>0</v>
      </c>
      <c r="C346" s="136">
        <f>H!D34</f>
        <v>0</v>
      </c>
      <c r="D346" s="415">
        <f>H!E34</f>
        <v>0</v>
      </c>
      <c r="E346" s="270">
        <f>H!F34</f>
        <v>0</v>
      </c>
      <c r="F346" s="270">
        <f>H!H34</f>
        <v>0</v>
      </c>
      <c r="G346" s="270">
        <f>H!I34</f>
        <v>0</v>
      </c>
      <c r="H346" s="266">
        <f>H!J34</f>
        <v>0</v>
      </c>
      <c r="I346" s="266">
        <f>H!K34</f>
        <v>0</v>
      </c>
      <c r="J346" s="266">
        <f>H!L34</f>
        <v>0</v>
      </c>
      <c r="K346" s="266">
        <f>H!M34</f>
        <v>0</v>
      </c>
      <c r="L346" s="266">
        <f>H!N34</f>
        <v>0</v>
      </c>
      <c r="M346" s="266">
        <f>H!O34</f>
        <v>0</v>
      </c>
      <c r="N346" s="266">
        <f>H!P34</f>
        <v>0</v>
      </c>
      <c r="O346" s="270">
        <f>H!T34</f>
        <v>0</v>
      </c>
      <c r="P346" s="93"/>
      <c r="Q346" s="2"/>
      <c r="R346" s="2"/>
      <c r="S346" s="2"/>
      <c r="T346" s="2"/>
      <c r="U346" s="2"/>
    </row>
    <row r="347" spans="1:21" ht="12.75">
      <c r="A347" s="37">
        <f t="shared" si="14"/>
        <v>2821</v>
      </c>
      <c r="B347" s="289"/>
      <c r="C347" s="60"/>
      <c r="D347" s="61"/>
      <c r="E347" s="292"/>
      <c r="F347" s="292"/>
      <c r="G347" s="292"/>
      <c r="H347" s="416"/>
      <c r="I347" s="416"/>
      <c r="J347" s="417"/>
      <c r="K347" s="417"/>
      <c r="L347" s="417"/>
      <c r="M347" s="417"/>
      <c r="N347" s="417"/>
      <c r="O347" s="292"/>
      <c r="P347" s="93"/>
      <c r="Q347" s="2"/>
      <c r="R347" s="2"/>
      <c r="S347" s="2"/>
      <c r="T347" s="2"/>
      <c r="U347" s="2"/>
    </row>
    <row r="348" spans="1:21" ht="12.75">
      <c r="A348" s="32">
        <f t="shared" si="14"/>
        <v>2822</v>
      </c>
      <c r="B348" s="288"/>
      <c r="C348" s="170"/>
      <c r="D348" s="170"/>
      <c r="E348" s="170"/>
      <c r="F348" s="170"/>
      <c r="G348" s="170"/>
      <c r="H348" s="170"/>
      <c r="I348" s="170"/>
      <c r="J348" s="170"/>
      <c r="K348" s="170"/>
      <c r="L348" s="170"/>
      <c r="M348" s="170"/>
      <c r="N348" s="170"/>
      <c r="O348" s="90"/>
      <c r="P348" s="93"/>
      <c r="Q348" s="2"/>
      <c r="R348" s="2"/>
      <c r="S348" s="2"/>
      <c r="T348" s="2"/>
      <c r="U348" s="2"/>
    </row>
    <row r="349" spans="1:21" ht="12.75">
      <c r="A349" s="35">
        <f t="shared" si="14"/>
        <v>2823</v>
      </c>
      <c r="B349" s="290"/>
      <c r="C349" s="171"/>
      <c r="D349" s="172"/>
      <c r="E349" s="172"/>
      <c r="F349" s="172"/>
      <c r="G349" s="172"/>
      <c r="H349" s="172"/>
      <c r="I349" s="172"/>
      <c r="J349" s="172"/>
      <c r="K349" s="172"/>
      <c r="L349" s="172"/>
      <c r="M349" s="172"/>
      <c r="N349" s="172"/>
      <c r="O349" s="42"/>
      <c r="P349" s="93"/>
      <c r="Q349" s="2"/>
      <c r="R349" s="2"/>
      <c r="S349" s="2"/>
      <c r="T349" s="2"/>
      <c r="U349" s="2"/>
    </row>
    <row r="350" spans="1:21" ht="12.75">
      <c r="A350" s="37">
        <f t="shared" si="14"/>
        <v>2824</v>
      </c>
      <c r="B350" s="289"/>
      <c r="C350" s="173"/>
      <c r="D350" s="173"/>
      <c r="E350" s="173"/>
      <c r="F350" s="173"/>
      <c r="G350" s="173"/>
      <c r="H350" s="173"/>
      <c r="I350" s="173"/>
      <c r="J350" s="173"/>
      <c r="K350" s="173"/>
      <c r="L350" s="173"/>
      <c r="M350" s="173"/>
      <c r="N350" s="173"/>
      <c r="O350" s="47"/>
      <c r="P350" s="93"/>
      <c r="Q350" s="2"/>
      <c r="R350" s="2"/>
      <c r="S350" s="2"/>
      <c r="T350" s="2"/>
      <c r="U350" s="2"/>
    </row>
    <row r="351" spans="3:17" ht="12.75">
      <c r="C351" s="3"/>
      <c r="D351" s="2"/>
      <c r="G351" s="2"/>
      <c r="H351" s="2"/>
      <c r="J351" s="2"/>
      <c r="O351" s="2"/>
      <c r="P351" s="2"/>
      <c r="Q351" s="2"/>
    </row>
    <row r="352" spans="3:17" ht="12.75">
      <c r="C352" s="3"/>
      <c r="D352" s="2"/>
      <c r="G352" s="2"/>
      <c r="H352" s="2"/>
      <c r="J352" s="2"/>
      <c r="O352" s="2"/>
      <c r="P352" s="2"/>
      <c r="Q352" s="2"/>
    </row>
    <row r="353" spans="1:5" ht="12.75">
      <c r="A353" s="21"/>
      <c r="B353" s="222"/>
      <c r="C353" s="223" t="e">
        <f>CONCATENATE("31-12-",#REF!-1," ")</f>
        <v>#REF!</v>
      </c>
      <c r="D353" s="223" t="e">
        <f>CONCATENATE("31-12-",#REF!," ")</f>
        <v>#REF!</v>
      </c>
      <c r="E353" s="223" t="e">
        <f>CONCATENATE("Gemiddeld ",#REF!," ")</f>
        <v>#REF!</v>
      </c>
    </row>
    <row r="354" spans="1:5" ht="12.75">
      <c r="A354" s="26"/>
      <c r="B354" s="42"/>
      <c r="C354" s="175"/>
      <c r="D354" s="42"/>
      <c r="E354" s="42"/>
    </row>
    <row r="355" spans="1:5" ht="12.75">
      <c r="A355" s="41" t="s">
        <v>462</v>
      </c>
      <c r="B355" s="418" t="s">
        <v>463</v>
      </c>
      <c r="C355" s="168"/>
      <c r="D355" s="168"/>
      <c r="E355" s="42"/>
    </row>
    <row r="356" spans="1:5" ht="12.75">
      <c r="A356" s="31">
        <f>'I-J'!A7</f>
        <v>3201</v>
      </c>
      <c r="B356" s="176"/>
      <c r="C356" s="270">
        <f>'I-J'!C7</f>
        <v>0</v>
      </c>
      <c r="D356" s="270">
        <f>'I-J'!D7</f>
        <v>0</v>
      </c>
      <c r="E356" s="367"/>
    </row>
    <row r="357" spans="1:5" ht="12.75">
      <c r="A357" s="34">
        <f aca="true" t="shared" si="15" ref="A357:A369">A356+1</f>
        <v>3202</v>
      </c>
      <c r="B357" s="176"/>
      <c r="C357" s="270">
        <f>'I-J'!C8</f>
        <v>0</v>
      </c>
      <c r="D357" s="270">
        <f>'I-J'!D8</f>
        <v>0</v>
      </c>
      <c r="E357" s="367"/>
    </row>
    <row r="358" spans="1:5" ht="12.75">
      <c r="A358" s="34">
        <f t="shared" si="15"/>
        <v>3203</v>
      </c>
      <c r="B358" s="176"/>
      <c r="C358" s="270">
        <f>'I-J'!C9</f>
        <v>0</v>
      </c>
      <c r="D358" s="270">
        <f>'I-J'!D9</f>
        <v>0</v>
      </c>
      <c r="E358" s="367"/>
    </row>
    <row r="359" spans="1:5" ht="12.75">
      <c r="A359" s="34">
        <f t="shared" si="15"/>
        <v>3204</v>
      </c>
      <c r="B359" s="176"/>
      <c r="C359" s="270">
        <f>'I-J'!C10</f>
        <v>0</v>
      </c>
      <c r="D359" s="270">
        <f>'I-J'!D10</f>
        <v>0</v>
      </c>
      <c r="E359" s="367"/>
    </row>
    <row r="360" spans="1:5" ht="12.75">
      <c r="A360" s="34">
        <f t="shared" si="15"/>
        <v>3205</v>
      </c>
      <c r="B360" s="176"/>
      <c r="C360" s="270">
        <f>'I-J'!C11</f>
        <v>0</v>
      </c>
      <c r="D360" s="270">
        <f>'I-J'!D11</f>
        <v>0</v>
      </c>
      <c r="E360" s="367"/>
    </row>
    <row r="361" spans="1:5" ht="12.75">
      <c r="A361" s="34">
        <f t="shared" si="15"/>
        <v>3206</v>
      </c>
      <c r="B361" s="176"/>
      <c r="C361" s="270">
        <f>'I-J'!C12</f>
        <v>0</v>
      </c>
      <c r="D361" s="270">
        <f>'I-J'!D12</f>
        <v>0</v>
      </c>
      <c r="E361" s="367"/>
    </row>
    <row r="362" spans="1:5" ht="12.75">
      <c r="A362" s="34">
        <f t="shared" si="15"/>
        <v>3207</v>
      </c>
      <c r="B362" s="176"/>
      <c r="C362" s="270">
        <f>'I-J'!C13</f>
        <v>0</v>
      </c>
      <c r="D362" s="270">
        <f>'I-J'!D13</f>
        <v>0</v>
      </c>
      <c r="E362" s="367"/>
    </row>
    <row r="363" spans="1:5" ht="12.75">
      <c r="A363" s="34">
        <f t="shared" si="15"/>
        <v>3208</v>
      </c>
      <c r="B363" s="176"/>
      <c r="C363" s="270">
        <f>'I-J'!C14</f>
        <v>0</v>
      </c>
      <c r="D363" s="270">
        <f>'I-J'!D14</f>
        <v>0</v>
      </c>
      <c r="E363" s="367"/>
    </row>
    <row r="364" spans="1:5" ht="12.75">
      <c r="A364" s="34">
        <f t="shared" si="15"/>
        <v>3209</v>
      </c>
      <c r="B364" s="176"/>
      <c r="C364" s="270">
        <f>'I-J'!C15</f>
        <v>0</v>
      </c>
      <c r="D364" s="270">
        <f>'I-J'!D15</f>
        <v>0</v>
      </c>
      <c r="E364" s="367"/>
    </row>
    <row r="365" spans="1:5" ht="12.75">
      <c r="A365" s="34">
        <f t="shared" si="15"/>
        <v>3210</v>
      </c>
      <c r="B365" s="176"/>
      <c r="C365" s="270">
        <f>'I-J'!C16</f>
        <v>0</v>
      </c>
      <c r="D365" s="270">
        <f>'I-J'!D16</f>
        <v>0</v>
      </c>
      <c r="E365" s="367"/>
    </row>
    <row r="366" spans="1:5" ht="12.75">
      <c r="A366" s="34">
        <f t="shared" si="15"/>
        <v>3211</v>
      </c>
      <c r="B366" s="176"/>
      <c r="C366" s="270">
        <f>'I-J'!C17</f>
        <v>0</v>
      </c>
      <c r="D366" s="270">
        <f>'I-J'!D17</f>
        <v>0</v>
      </c>
      <c r="E366" s="367"/>
    </row>
    <row r="367" spans="1:5" ht="12.75">
      <c r="A367" s="34">
        <f t="shared" si="15"/>
        <v>3212</v>
      </c>
      <c r="B367" s="176"/>
      <c r="C367" s="270" t="e">
        <f>'I-J'!#REF!</f>
        <v>#REF!</v>
      </c>
      <c r="D367" s="270" t="e">
        <f>'I-J'!#REF!</f>
        <v>#REF!</v>
      </c>
      <c r="E367" s="367"/>
    </row>
    <row r="368" spans="1:5" ht="12.75">
      <c r="A368" s="35">
        <f t="shared" si="15"/>
        <v>3213</v>
      </c>
      <c r="B368" s="177"/>
      <c r="C368" s="419">
        <f>'I-J'!C20</f>
        <v>0</v>
      </c>
      <c r="D368" s="419">
        <f>'I-J'!D20</f>
        <v>0</v>
      </c>
      <c r="E368" s="420"/>
    </row>
    <row r="369" spans="1:5" ht="12.75">
      <c r="A369" s="37">
        <f t="shared" si="15"/>
        <v>3214</v>
      </c>
      <c r="B369" s="38"/>
      <c r="C369" s="292"/>
      <c r="D369" s="292"/>
      <c r="E369" s="292"/>
    </row>
    <row r="370" spans="1:5" ht="12.75">
      <c r="A370" s="41"/>
      <c r="B370" s="42"/>
      <c r="C370" s="42"/>
      <c r="D370" s="42"/>
      <c r="E370" s="42"/>
    </row>
    <row r="371" spans="1:5" ht="12.75">
      <c r="A371" s="42"/>
      <c r="B371" s="95"/>
      <c r="C371" s="95"/>
      <c r="D371" s="42"/>
      <c r="E371" s="221" t="s">
        <v>393</v>
      </c>
    </row>
    <row r="372" spans="1:5" ht="12.75">
      <c r="A372" s="178"/>
      <c r="B372" s="179"/>
      <c r="C372" s="179"/>
      <c r="D372" s="178"/>
      <c r="E372" s="123"/>
    </row>
    <row r="373" spans="1:5" ht="12.75">
      <c r="A373" s="41" t="s">
        <v>464</v>
      </c>
      <c r="B373" s="94" t="e">
        <f>CONCATENATE("Rentekosten ten laste van exploitatieresultaat ",#REF!)</f>
        <v>#REF!</v>
      </c>
      <c r="C373" s="95"/>
      <c r="D373" s="42"/>
      <c r="E373" s="42"/>
    </row>
    <row r="374" spans="1:5" ht="12.75">
      <c r="A374" s="31">
        <f>A369+1</f>
        <v>3215</v>
      </c>
      <c r="B374" s="180"/>
      <c r="C374" s="134"/>
      <c r="D374" s="121"/>
      <c r="E374" s="367"/>
    </row>
    <row r="375" spans="1:5" ht="12.75">
      <c r="A375" s="34">
        <f aca="true" t="shared" si="16" ref="A375:A383">A374+1</f>
        <v>3216</v>
      </c>
      <c r="B375" s="181"/>
      <c r="C375" s="134"/>
      <c r="D375" s="121"/>
      <c r="E375" s="270">
        <f>'I-J'!E28</f>
        <v>0</v>
      </c>
    </row>
    <row r="376" spans="1:5" ht="12.75">
      <c r="A376" s="34">
        <f t="shared" si="16"/>
        <v>3217</v>
      </c>
      <c r="B376" s="180"/>
      <c r="C376" s="134"/>
      <c r="D376" s="121"/>
      <c r="E376" s="270">
        <f>'I-J'!E29</f>
        <v>0</v>
      </c>
    </row>
    <row r="377" spans="1:5" ht="12.75">
      <c r="A377" s="35">
        <f t="shared" si="16"/>
        <v>3218</v>
      </c>
      <c r="B377" s="182"/>
      <c r="C377" s="78"/>
      <c r="D377" s="183"/>
      <c r="E377" s="270">
        <f>'I-J'!E31</f>
        <v>0</v>
      </c>
    </row>
    <row r="378" spans="1:5" ht="12.75">
      <c r="A378" s="37">
        <f t="shared" si="16"/>
        <v>3219</v>
      </c>
      <c r="B378" s="38"/>
      <c r="C378" s="60"/>
      <c r="D378" s="60"/>
      <c r="E378" s="263"/>
    </row>
    <row r="379" spans="1:5" ht="12.75">
      <c r="A379" s="34">
        <f t="shared" si="16"/>
        <v>3220</v>
      </c>
      <c r="B379" s="256"/>
      <c r="C379" s="134"/>
      <c r="D379" s="121"/>
      <c r="E379" s="270">
        <f>'I-J'!E35</f>
        <v>0</v>
      </c>
    </row>
    <row r="380" spans="1:5" ht="12.75">
      <c r="A380" s="34">
        <f t="shared" si="16"/>
        <v>3221</v>
      </c>
      <c r="B380" s="257"/>
      <c r="C380" s="134"/>
      <c r="D380" s="121"/>
      <c r="E380" s="270">
        <f>'I-J'!E36</f>
        <v>0</v>
      </c>
    </row>
    <row r="381" spans="1:5" ht="12.75">
      <c r="A381" s="34">
        <f t="shared" si="16"/>
        <v>3222</v>
      </c>
      <c r="B381" s="258"/>
      <c r="C381" s="191"/>
      <c r="D381" s="255"/>
      <c r="E381" s="270">
        <f>'I-J'!E37</f>
        <v>0</v>
      </c>
    </row>
    <row r="382" spans="1:5" ht="12.75">
      <c r="A382" s="34">
        <f t="shared" si="16"/>
        <v>3223</v>
      </c>
      <c r="B382" s="259"/>
      <c r="C382" s="78"/>
      <c r="D382" s="183"/>
      <c r="E382" s="270">
        <f>'I-J'!E38</f>
        <v>0</v>
      </c>
    </row>
    <row r="383" spans="1:5" ht="12.75">
      <c r="A383" s="37">
        <f t="shared" si="16"/>
        <v>3224</v>
      </c>
      <c r="B383" s="421"/>
      <c r="C383" s="60"/>
      <c r="D383" s="60"/>
      <c r="E383" s="263"/>
    </row>
    <row r="384" spans="1:5" ht="12.75">
      <c r="A384" s="41"/>
      <c r="B384" s="42"/>
      <c r="C384" s="42"/>
      <c r="D384" s="42"/>
      <c r="E384" s="42"/>
    </row>
    <row r="385" spans="4:10" ht="12.75">
      <c r="D385" s="2"/>
      <c r="G385" s="2"/>
      <c r="J385" s="2"/>
    </row>
    <row r="386" spans="4:10" ht="12.75">
      <c r="D386" s="2"/>
      <c r="G386" s="2"/>
      <c r="J386" s="2"/>
    </row>
    <row r="387" spans="1:10" ht="12.75">
      <c r="A387" s="64"/>
      <c r="B387" s="366"/>
      <c r="C387" s="118" t="s">
        <v>381</v>
      </c>
      <c r="D387" s="272" t="e">
        <f>CONCATENATE("Rekenstaat ",#REF!," nr. 1 ")</f>
        <v>#REF!</v>
      </c>
      <c r="E387" s="273"/>
      <c r="F387" s="251" t="s">
        <v>542</v>
      </c>
      <c r="G387" s="245" t="s">
        <v>541</v>
      </c>
      <c r="J387" s="2"/>
    </row>
    <row r="388" spans="1:7" ht="12.75">
      <c r="A388" s="64"/>
      <c r="B388" s="366"/>
      <c r="C388" s="118" t="s">
        <v>381</v>
      </c>
      <c r="D388" s="422" t="s">
        <v>335</v>
      </c>
      <c r="E388" s="246" t="s">
        <v>363</v>
      </c>
      <c r="F388" s="247" t="e">
        <f>CONCATENATE("jaarrekening ",#REF!," ")</f>
        <v>#REF!</v>
      </c>
      <c r="G388" s="247" t="s">
        <v>540</v>
      </c>
    </row>
    <row r="389" spans="1:7" ht="12.75">
      <c r="A389" s="83"/>
      <c r="B389" s="325"/>
      <c r="C389" s="156"/>
      <c r="D389" s="162" t="s">
        <v>356</v>
      </c>
      <c r="E389" s="111"/>
      <c r="F389" s="156"/>
      <c r="G389" s="113"/>
    </row>
    <row r="390" spans="1:7" ht="12.75">
      <c r="A390" s="47" t="s">
        <v>538</v>
      </c>
      <c r="B390" s="14" t="s">
        <v>539</v>
      </c>
      <c r="C390" s="147"/>
      <c r="D390" s="147"/>
      <c r="E390" s="90"/>
      <c r="F390" s="90"/>
      <c r="G390" s="90"/>
    </row>
    <row r="391" spans="1:7" ht="12.75">
      <c r="A391" s="31" t="e">
        <f>#REF!</f>
        <v>#REF!</v>
      </c>
      <c r="B391" s="357"/>
      <c r="C391" s="375"/>
      <c r="D391" s="141"/>
      <c r="E391" s="270" t="e">
        <f>#REF!</f>
        <v>#REF!</v>
      </c>
      <c r="F391" s="423"/>
      <c r="G391" s="309"/>
    </row>
    <row r="392" spans="1:7" ht="12.75">
      <c r="A392" s="34" t="e">
        <f>A391+1</f>
        <v>#REF!</v>
      </c>
      <c r="B392" s="357"/>
      <c r="C392" s="375"/>
      <c r="D392" s="141"/>
      <c r="E392" s="270" t="e">
        <f>#REF!</f>
        <v>#REF!</v>
      </c>
      <c r="F392" s="423"/>
      <c r="G392" s="309"/>
    </row>
    <row r="393" spans="1:7" ht="12.75">
      <c r="A393" s="34" t="e">
        <f>A392+1</f>
        <v>#REF!</v>
      </c>
      <c r="B393" s="357"/>
      <c r="C393" s="375"/>
      <c r="D393" s="141"/>
      <c r="E393" s="270" t="e">
        <f>#REF!</f>
        <v>#REF!</v>
      </c>
      <c r="F393" s="423"/>
      <c r="G393" s="309"/>
    </row>
    <row r="394" spans="1:7" ht="12.75">
      <c r="A394" s="35" t="e">
        <f>A393+1</f>
        <v>#REF!</v>
      </c>
      <c r="B394" s="357"/>
      <c r="C394" s="375"/>
      <c r="D394" s="141"/>
      <c r="E394" s="270" t="e">
        <f>#REF!</f>
        <v>#REF!</v>
      </c>
      <c r="F394" s="423"/>
      <c r="G394" s="309"/>
    </row>
    <row r="395" spans="1:7" ht="12.75">
      <c r="A395" s="54" t="e">
        <f>A393+1</f>
        <v>#REF!</v>
      </c>
      <c r="B395" s="357"/>
      <c r="C395" s="248"/>
      <c r="D395" s="142"/>
      <c r="E395" s="367" t="e">
        <f>E404</f>
        <v>#REF!</v>
      </c>
      <c r="F395" s="423"/>
      <c r="G395" s="309"/>
    </row>
    <row r="396" spans="1:7" ht="12.75">
      <c r="A396" s="37" t="e">
        <f>A395+1</f>
        <v>#REF!</v>
      </c>
      <c r="B396" s="362"/>
      <c r="C396" s="154"/>
      <c r="D396" s="154"/>
      <c r="E396" s="263" t="e">
        <f>SUM(E391:E395)</f>
        <v>#REF!</v>
      </c>
      <c r="F396" s="345"/>
      <c r="G396" s="345"/>
    </row>
    <row r="397" spans="1:7" ht="12.75">
      <c r="A397" s="71"/>
      <c r="B397" s="228"/>
      <c r="C397" s="250"/>
      <c r="D397" s="250"/>
      <c r="E397" s="424"/>
      <c r="F397" s="425"/>
      <c r="G397" s="309"/>
    </row>
    <row r="398" spans="1:7" ht="12.75">
      <c r="A398" s="31" t="e">
        <f>A394+1</f>
        <v>#REF!</v>
      </c>
      <c r="B398" s="357"/>
      <c r="C398" s="375"/>
      <c r="D398" s="142"/>
      <c r="E398" s="270" t="e">
        <f>#REF!</f>
        <v>#REF!</v>
      </c>
      <c r="F398" s="270" t="e">
        <f>#REF!</f>
        <v>#REF!</v>
      </c>
      <c r="G398" s="426"/>
    </row>
    <row r="399" spans="1:7" ht="12.75">
      <c r="A399" s="34" t="e">
        <f>A398+1</f>
        <v>#REF!</v>
      </c>
      <c r="B399" s="357"/>
      <c r="C399" s="375"/>
      <c r="D399" s="142"/>
      <c r="E399" s="270" t="e">
        <f>#REF!</f>
        <v>#REF!</v>
      </c>
      <c r="F399" s="270" t="e">
        <f>#REF!</f>
        <v>#REF!</v>
      </c>
      <c r="G399" s="426"/>
    </row>
    <row r="400" spans="1:7" ht="12.75">
      <c r="A400" s="34" t="e">
        <f>A399+1</f>
        <v>#REF!</v>
      </c>
      <c r="B400" s="357"/>
      <c r="C400" s="375"/>
      <c r="D400" s="142"/>
      <c r="E400" s="270" t="e">
        <f>#REF!</f>
        <v>#REF!</v>
      </c>
      <c r="F400" s="270" t="e">
        <f>#REF!</f>
        <v>#REF!</v>
      </c>
      <c r="G400" s="426"/>
    </row>
    <row r="401" spans="1:7" ht="12.75">
      <c r="A401" s="34" t="e">
        <f>A400+1</f>
        <v>#REF!</v>
      </c>
      <c r="B401" s="357"/>
      <c r="C401" s="375"/>
      <c r="D401" s="142"/>
      <c r="E401" s="270" t="e">
        <f>#REF!</f>
        <v>#REF!</v>
      </c>
      <c r="F401" s="270" t="e">
        <f>#REF!</f>
        <v>#REF!</v>
      </c>
      <c r="G401" s="426"/>
    </row>
    <row r="402" spans="1:7" ht="12.75">
      <c r="A402" s="34" t="e">
        <f>A401+1</f>
        <v>#REF!</v>
      </c>
      <c r="B402" s="357"/>
      <c r="C402" s="375"/>
      <c r="D402" s="142"/>
      <c r="E402" s="270" t="e">
        <f>#REF!</f>
        <v>#REF!</v>
      </c>
      <c r="F402" s="270" t="e">
        <f>#REF!</f>
        <v>#REF!</v>
      </c>
      <c r="G402" s="426"/>
    </row>
    <row r="403" spans="1:7" ht="12.75">
      <c r="A403" s="35" t="e">
        <f>A401+1</f>
        <v>#REF!</v>
      </c>
      <c r="B403" s="240"/>
      <c r="C403" s="248"/>
      <c r="D403" s="142"/>
      <c r="E403" s="270" t="e">
        <f>#REF!</f>
        <v>#REF!</v>
      </c>
      <c r="F403" s="270" t="e">
        <f>#REF!</f>
        <v>#REF!</v>
      </c>
      <c r="G403" s="426"/>
    </row>
    <row r="404" spans="1:7" ht="12.75">
      <c r="A404" s="37" t="e">
        <f>A403+1</f>
        <v>#REF!</v>
      </c>
      <c r="B404" s="362"/>
      <c r="C404" s="154"/>
      <c r="D404" s="154"/>
      <c r="E404" s="263" t="e">
        <f>SUM(E398:E403)</f>
        <v>#REF!</v>
      </c>
      <c r="F404" s="427"/>
      <c r="G404" s="345">
        <f>SUM(G391:G394)</f>
        <v>0</v>
      </c>
    </row>
    <row r="405" spans="1:7" ht="12.75">
      <c r="A405" s="37" t="e">
        <f>A404+1</f>
        <v>#REF!</v>
      </c>
      <c r="B405" s="357"/>
      <c r="C405" s="375"/>
      <c r="D405" s="254"/>
      <c r="E405" s="367"/>
      <c r="F405" s="428"/>
      <c r="G405" s="367"/>
    </row>
    <row r="406" spans="1:7" ht="12.75">
      <c r="A406" s="71"/>
      <c r="B406" s="191"/>
      <c r="C406" s="249"/>
      <c r="D406" s="253"/>
      <c r="E406" s="429"/>
      <c r="F406" s="423"/>
      <c r="G406" s="309"/>
    </row>
    <row r="407" spans="1:7" ht="12.75">
      <c r="A407" s="31" t="e">
        <f>A404+1</f>
        <v>#REF!</v>
      </c>
      <c r="B407" s="357"/>
      <c r="C407" s="375"/>
      <c r="D407" s="142"/>
      <c r="E407" s="270" t="e">
        <f>#REF!</f>
        <v>#REF!</v>
      </c>
      <c r="F407" s="430" t="e">
        <f>#REF!</f>
        <v>#REF!</v>
      </c>
      <c r="G407" s="367"/>
    </row>
    <row r="408" spans="1:7" ht="12.75">
      <c r="A408" s="37" t="e">
        <f>A404+1</f>
        <v>#REF!</v>
      </c>
      <c r="B408" s="357"/>
      <c r="C408" s="375"/>
      <c r="D408" s="252"/>
      <c r="E408" s="270" t="e">
        <f>#REF!</f>
        <v>#REF!</v>
      </c>
      <c r="F408" s="270" t="e">
        <f>#REF!</f>
        <v>#REF!</v>
      </c>
      <c r="G408" s="431"/>
    </row>
    <row r="409" spans="1:7" ht="12.75">
      <c r="A409" s="274"/>
      <c r="B409" s="275"/>
      <c r="C409" s="275"/>
      <c r="D409" s="275"/>
      <c r="E409" s="275"/>
      <c r="F409" s="275"/>
      <c r="G409" s="275"/>
    </row>
    <row r="410" spans="1:7" ht="12.75">
      <c r="A410" s="275"/>
      <c r="B410" s="275"/>
      <c r="C410" s="275"/>
      <c r="D410" s="275"/>
      <c r="E410" s="275"/>
      <c r="F410" s="275"/>
      <c r="G410" s="275"/>
    </row>
  </sheetData>
  <conditionalFormatting sqref="F9:F34 B9:B15 D47 B16:C16 B35:C37 D43 D45 D55 D52:D53 B20:B24 C9:C14 B28:C31 B129:B148">
    <cfRule type="expression" priority="1" dxfId="0" stopIfTrue="1">
      <formula>$F$2=TRUE</formula>
    </cfRule>
  </conditionalFormatting>
  <conditionalFormatting sqref="D51 D44">
    <cfRule type="expression" priority="2" dxfId="1" stopIfTrue="1">
      <formula>$J$2=TRUE</formula>
    </cfRule>
  </conditionalFormatting>
  <conditionalFormatting sqref="H80:I85 B64:F73 H64:I73 G75:I75 B80:F85 D95 G92:H112 H114 C92:D94 G118:H122 B310:B315 F310:F314 B292:C304 D320 E391:E394 E407:F408 E398:F403">
    <cfRule type="expression" priority="3" dxfId="0" stopIfTrue="1">
      <formula>$E$2=TRUE</formula>
    </cfRule>
  </conditionalFormatting>
  <conditionalFormatting sqref="G64:G73 G80:G85 C97">
    <cfRule type="expression" priority="4" dxfId="1" stopIfTrue="1">
      <formula>$I$2=TRUE</formula>
    </cfRule>
  </conditionalFormatting>
  <conditionalFormatting sqref="B327:O346">
    <cfRule type="expression" priority="5" dxfId="0" stopIfTrue="1">
      <formula>$G$2=TRUE</formula>
    </cfRule>
  </conditionalFormatting>
  <conditionalFormatting sqref="F170:F171 F182 F157:F166 C157:C162 F193 F206 E195 F196 F200:F204 F211 D213 C178:E178 F176:F178 C176:E176">
    <cfRule type="expression" priority="6" dxfId="1" stopIfTrue="1">
      <formula>$E$2=TRUE</formula>
    </cfRule>
  </conditionalFormatting>
  <conditionalFormatting sqref="C163:C166 F181 E164:E165 E168:F168 E379:E382 E159:E162 C245:C259 G262 D247:D258 C268:C282 C284:C285 D268 D283 C356:D368 E375:E377 D292:D304">
    <cfRule type="expression" priority="7" dxfId="0" stopIfTrue="1">
      <formula>$C$2=TRUE</formula>
    </cfRule>
  </conditionalFormatting>
  <conditionalFormatting sqref="E405 C193:C196 C211:C213 D224:D235 E395 G405 G407:G408">
    <cfRule type="expression" priority="8" dxfId="1" stopIfTrue="1">
      <formula>$F$2=TRUE</formula>
    </cfRule>
  </conditionalFormatting>
  <conditionalFormatting sqref="E194 D200:E203 C204:E204 C207:F207 D211:E211 D212 E224:E235 C223:C235 D223">
    <cfRule type="expression" priority="9" dxfId="0" stopIfTrue="1">
      <formula>$D$2=TRUE</formula>
    </cfRule>
  </conditionalFormatting>
  <conditionalFormatting sqref="C310:C315 D319">
    <cfRule type="expression" priority="10" dxfId="1" stopIfTrue="1">
      <formula>$H$2=TRUE</formula>
    </cfRule>
  </conditionalFormatting>
  <conditionalFormatting sqref="E356:E368 E374">
    <cfRule type="expression" priority="11" dxfId="1" stopIfTrue="1">
      <formula>$D$2=TRUE</formula>
    </cfRule>
  </conditionalFormatting>
  <conditionalFormatting sqref="E157">
    <cfRule type="expression" priority="12" dxfId="0" stopIfTrue="1">
      <formula>$C$2=TRUE</formula>
    </cfRule>
  </conditionalFormatting>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Blad9"/>
  <dimension ref="A1:V86"/>
  <sheetViews>
    <sheetView showGridLines="0" showRowColHeaders="0" showZeros="0" showOutlineSymbols="0" view="pageBreakPreview" zoomScale="75" zoomScaleNormal="86" zoomScaleSheetLayoutView="75" workbookViewId="0" topLeftCell="A1">
      <selection activeCell="C10" sqref="C10"/>
    </sheetView>
  </sheetViews>
  <sheetFormatPr defaultColWidth="9.140625" defaultRowHeight="12.75"/>
  <cols>
    <col min="1" max="1" width="5.7109375" style="786" customWidth="1"/>
    <col min="2" max="2" width="24.57421875" style="0" customWidth="1"/>
    <col min="3" max="5" width="11.7109375" style="841" customWidth="1"/>
    <col min="6" max="6" width="11.7109375" style="0" customWidth="1"/>
    <col min="7" max="7" width="11.7109375" style="841" customWidth="1"/>
    <col min="8" max="8" width="4.7109375" style="841" customWidth="1"/>
    <col min="9" max="9" width="11.7109375" style="841" customWidth="1"/>
    <col min="10" max="10" width="11.7109375" style="0" customWidth="1"/>
    <col min="11" max="11" width="11.7109375" style="841" customWidth="1"/>
    <col min="12" max="12" width="11.7109375" style="0" customWidth="1"/>
  </cols>
  <sheetData>
    <row r="1" spans="2:22" ht="12.75">
      <c r="B1" s="912"/>
      <c r="C1" s="458"/>
      <c r="D1" s="458"/>
      <c r="E1" s="558"/>
      <c r="F1" s="458"/>
      <c r="G1" s="458"/>
      <c r="H1" s="456"/>
      <c r="I1" s="454"/>
      <c r="J1" s="454"/>
      <c r="K1" s="454"/>
      <c r="M1" s="841"/>
      <c r="N1" s="841"/>
      <c r="O1" s="841"/>
      <c r="Q1" s="841"/>
      <c r="R1" s="841"/>
      <c r="S1" s="841"/>
      <c r="U1" s="841"/>
      <c r="V1" s="841"/>
    </row>
    <row r="2" spans="1:22" ht="15.75" customHeight="1">
      <c r="A2" s="1055" t="str">
        <f>CONCATENATE("Nacalculatieformulier ",Voorblad!D3)</f>
        <v>Nacalculatieformulier 2005</v>
      </c>
      <c r="B2" s="842"/>
      <c r="C2" s="593"/>
      <c r="D2" s="593"/>
      <c r="E2" s="593"/>
      <c r="F2" s="593"/>
      <c r="G2" s="597" t="b">
        <f>Voorblad!D30</f>
        <v>1</v>
      </c>
      <c r="H2" s="593"/>
      <c r="I2" s="593"/>
      <c r="J2" s="593"/>
      <c r="K2" s="771"/>
      <c r="L2" s="592">
        <f>'Prod.1.4'!H2+1</f>
        <v>13</v>
      </c>
      <c r="M2" s="841"/>
      <c r="N2" s="841"/>
      <c r="O2" s="841"/>
      <c r="Q2" s="841"/>
      <c r="R2" s="841"/>
      <c r="S2" s="841"/>
      <c r="U2" s="841"/>
      <c r="V2" s="841"/>
    </row>
    <row r="3" spans="2:22" ht="12.75">
      <c r="B3" s="937"/>
      <c r="C3" s="91"/>
      <c r="D3" s="91"/>
      <c r="E3" s="91"/>
      <c r="F3" s="91"/>
      <c r="G3" s="938"/>
      <c r="H3" s="91"/>
      <c r="I3" s="91"/>
      <c r="J3" s="500"/>
      <c r="K3" s="589"/>
      <c r="M3" s="841"/>
      <c r="N3" s="841"/>
      <c r="O3" s="841"/>
      <c r="Q3" s="841"/>
      <c r="R3" s="841"/>
      <c r="S3" s="841"/>
      <c r="U3" s="841"/>
      <c r="V3" s="841"/>
    </row>
    <row r="4" spans="1:10" ht="12.75">
      <c r="A4" s="849" t="s">
        <v>204</v>
      </c>
      <c r="B4" s="849" t="str">
        <f>CONCATENATE("Berekening (gewogen) opnamen en verpleegdagen ",Voorblad!D3,"")</f>
        <v>Berekening (gewogen) opnamen en verpleegdagen 2005</v>
      </c>
      <c r="C4" s="847"/>
      <c r="D4" s="847"/>
      <c r="E4" s="847"/>
      <c r="F4" s="560"/>
      <c r="G4" s="847"/>
      <c r="H4" s="847"/>
      <c r="I4" s="847"/>
      <c r="J4" s="560"/>
    </row>
    <row r="5" spans="1:10" ht="12.75">
      <c r="A5" s="849"/>
      <c r="B5" s="849"/>
      <c r="C5" s="847"/>
      <c r="D5" s="847"/>
      <c r="E5" s="847"/>
      <c r="F5" s="560"/>
      <c r="G5" s="847"/>
      <c r="H5" s="847"/>
      <c r="I5" s="847"/>
      <c r="J5" s="560"/>
    </row>
    <row r="6" spans="1:11" ht="12.75">
      <c r="A6" s="849"/>
      <c r="B6" s="560"/>
      <c r="C6" s="1508" t="s">
        <v>143</v>
      </c>
      <c r="D6" s="1509"/>
      <c r="E6" s="1509"/>
      <c r="F6" s="1509"/>
      <c r="G6" s="1510"/>
      <c r="H6" s="849"/>
      <c r="I6" s="1511" t="s">
        <v>144</v>
      </c>
      <c r="J6" s="1511"/>
      <c r="K6"/>
    </row>
    <row r="7" spans="1:11" ht="12.75">
      <c r="A7" s="849"/>
      <c r="B7" s="560"/>
      <c r="C7" s="1480" t="s">
        <v>242</v>
      </c>
      <c r="D7" s="1481"/>
      <c r="E7" s="933" t="s">
        <v>649</v>
      </c>
      <c r="F7" s="1507" t="s">
        <v>243</v>
      </c>
      <c r="G7" s="1507"/>
      <c r="H7" s="849"/>
      <c r="I7" s="1512" t="s">
        <v>244</v>
      </c>
      <c r="J7" s="1512" t="s">
        <v>617</v>
      </c>
      <c r="K7"/>
    </row>
    <row r="8" spans="1:11" ht="12.75">
      <c r="A8" s="849"/>
      <c r="B8" s="560"/>
      <c r="C8" s="901" t="s">
        <v>244</v>
      </c>
      <c r="D8" s="901" t="s">
        <v>617</v>
      </c>
      <c r="E8" s="878" t="s">
        <v>782</v>
      </c>
      <c r="F8" s="901" t="s">
        <v>244</v>
      </c>
      <c r="G8" s="901" t="s">
        <v>617</v>
      </c>
      <c r="H8" s="849"/>
      <c r="I8" s="1513"/>
      <c r="J8" s="1513"/>
      <c r="K8"/>
    </row>
    <row r="9" spans="1:11" ht="12.75">
      <c r="A9" s="849"/>
      <c r="B9" s="560"/>
      <c r="C9" s="847"/>
      <c r="D9" s="847"/>
      <c r="E9" s="560"/>
      <c r="F9" s="847"/>
      <c r="G9" s="847"/>
      <c r="H9" s="560"/>
      <c r="I9" s="847"/>
      <c r="J9" s="847"/>
      <c r="K9"/>
    </row>
    <row r="10" spans="1:11" ht="12.75">
      <c r="A10" s="1011">
        <f>(L2*100)+1</f>
        <v>1301</v>
      </c>
      <c r="B10" s="827" t="s">
        <v>245</v>
      </c>
      <c r="C10" s="486"/>
      <c r="D10" s="920"/>
      <c r="E10" s="923">
        <v>1.26</v>
      </c>
      <c r="F10" s="883">
        <f>ROUND(C10*E10,0)</f>
        <v>0</v>
      </c>
      <c r="G10" s="883">
        <f>ROUND(D10*E10,0)</f>
        <v>0</v>
      </c>
      <c r="H10" s="560"/>
      <c r="I10" s="433"/>
      <c r="J10" s="433"/>
      <c r="K10"/>
    </row>
    <row r="11" spans="1:11" ht="12.75">
      <c r="A11" s="1011">
        <f>A10+1</f>
        <v>1302</v>
      </c>
      <c r="B11" s="827" t="s">
        <v>246</v>
      </c>
      <c r="C11" s="486"/>
      <c r="D11" s="920"/>
      <c r="E11" s="923">
        <v>1.75</v>
      </c>
      <c r="F11" s="883">
        <f aca="true" t="shared" si="0" ref="F11:F29">ROUND(C11*E11,0)</f>
        <v>0</v>
      </c>
      <c r="G11" s="883">
        <f aca="true" t="shared" si="1" ref="G11:G29">ROUND(D11*E11,0)</f>
        <v>0</v>
      </c>
      <c r="H11" s="560"/>
      <c r="I11" s="433"/>
      <c r="J11" s="433"/>
      <c r="K11"/>
    </row>
    <row r="12" spans="1:11" ht="12.75">
      <c r="A12" s="1011">
        <f>A11+1</f>
        <v>1303</v>
      </c>
      <c r="B12" s="827" t="s">
        <v>247</v>
      </c>
      <c r="C12" s="486"/>
      <c r="D12" s="920"/>
      <c r="E12" s="923">
        <v>1.52</v>
      </c>
      <c r="F12" s="883">
        <f t="shared" si="0"/>
        <v>0</v>
      </c>
      <c r="G12" s="883">
        <f t="shared" si="1"/>
        <v>0</v>
      </c>
      <c r="H12" s="560"/>
      <c r="I12" s="433"/>
      <c r="J12" s="433"/>
      <c r="K12"/>
    </row>
    <row r="13" spans="1:11" ht="12.75">
      <c r="A13" s="1011">
        <f aca="true" t="shared" si="2" ref="A13:A37">A12+1</f>
        <v>1304</v>
      </c>
      <c r="B13" s="827" t="s">
        <v>248</v>
      </c>
      <c r="C13" s="486"/>
      <c r="D13" s="920"/>
      <c r="E13" s="923">
        <v>1.23</v>
      </c>
      <c r="F13" s="883">
        <f t="shared" si="0"/>
        <v>0</v>
      </c>
      <c r="G13" s="883">
        <f t="shared" si="1"/>
        <v>0</v>
      </c>
      <c r="H13" s="560"/>
      <c r="I13" s="433"/>
      <c r="J13" s="433"/>
      <c r="K13"/>
    </row>
    <row r="14" spans="1:11" ht="12.75">
      <c r="A14" s="1011">
        <f t="shared" si="2"/>
        <v>1305</v>
      </c>
      <c r="B14" s="827" t="s">
        <v>249</v>
      </c>
      <c r="C14" s="486"/>
      <c r="D14" s="920"/>
      <c r="E14" s="923">
        <v>0.88</v>
      </c>
      <c r="F14" s="883">
        <f t="shared" si="0"/>
        <v>0</v>
      </c>
      <c r="G14" s="883">
        <f t="shared" si="1"/>
        <v>0</v>
      </c>
      <c r="H14" s="560"/>
      <c r="I14" s="433"/>
      <c r="J14" s="433"/>
      <c r="K14"/>
    </row>
    <row r="15" spans="1:11" ht="12.75">
      <c r="A15" s="1011">
        <f t="shared" si="2"/>
        <v>1306</v>
      </c>
      <c r="B15" s="827" t="s">
        <v>250</v>
      </c>
      <c r="C15" s="486"/>
      <c r="D15" s="920"/>
      <c r="E15" s="923">
        <v>1.26</v>
      </c>
      <c r="F15" s="883">
        <f t="shared" si="0"/>
        <v>0</v>
      </c>
      <c r="G15" s="883">
        <f t="shared" si="1"/>
        <v>0</v>
      </c>
      <c r="H15" s="560"/>
      <c r="I15" s="433"/>
      <c r="J15" s="433"/>
      <c r="K15"/>
    </row>
    <row r="16" spans="1:11" ht="12.75">
      <c r="A16" s="1011">
        <f t="shared" si="2"/>
        <v>1307</v>
      </c>
      <c r="B16" s="827" t="s">
        <v>251</v>
      </c>
      <c r="C16" s="486"/>
      <c r="D16" s="920"/>
      <c r="E16" s="923">
        <v>0.2</v>
      </c>
      <c r="F16" s="883">
        <f t="shared" si="0"/>
        <v>0</v>
      </c>
      <c r="G16" s="883">
        <f t="shared" si="1"/>
        <v>0</v>
      </c>
      <c r="H16" s="560"/>
      <c r="I16" s="433"/>
      <c r="J16" s="433"/>
      <c r="K16"/>
    </row>
    <row r="17" spans="1:11" ht="12.75">
      <c r="A17" s="1011">
        <f t="shared" si="2"/>
        <v>1308</v>
      </c>
      <c r="B17" s="827" t="s">
        <v>252</v>
      </c>
      <c r="C17" s="486"/>
      <c r="D17" s="920"/>
      <c r="E17" s="923">
        <v>0.73</v>
      </c>
      <c r="F17" s="883">
        <f t="shared" si="0"/>
        <v>0</v>
      </c>
      <c r="G17" s="883">
        <f t="shared" si="1"/>
        <v>0</v>
      </c>
      <c r="H17" s="560"/>
      <c r="I17" s="433"/>
      <c r="J17" s="433"/>
      <c r="K17"/>
    </row>
    <row r="18" spans="1:11" ht="12.75">
      <c r="A18" s="1011">
        <f t="shared" si="2"/>
        <v>1309</v>
      </c>
      <c r="B18" s="827" t="s">
        <v>253</v>
      </c>
      <c r="C18" s="486"/>
      <c r="D18" s="920"/>
      <c r="E18" s="923">
        <v>1.47</v>
      </c>
      <c r="F18" s="883">
        <f t="shared" si="0"/>
        <v>0</v>
      </c>
      <c r="G18" s="883">
        <f t="shared" si="1"/>
        <v>0</v>
      </c>
      <c r="H18" s="560"/>
      <c r="I18" s="433"/>
      <c r="J18" s="433"/>
      <c r="K18"/>
    </row>
    <row r="19" spans="1:11" ht="12.75">
      <c r="A19" s="1011">
        <f t="shared" si="2"/>
        <v>1310</v>
      </c>
      <c r="B19" s="827" t="s">
        <v>254</v>
      </c>
      <c r="C19" s="486"/>
      <c r="D19" s="920"/>
      <c r="E19" s="923">
        <v>1.45</v>
      </c>
      <c r="F19" s="883">
        <f t="shared" si="0"/>
        <v>0</v>
      </c>
      <c r="G19" s="883">
        <f t="shared" si="1"/>
        <v>0</v>
      </c>
      <c r="H19" s="560"/>
      <c r="I19" s="433"/>
      <c r="J19" s="433"/>
      <c r="K19"/>
    </row>
    <row r="20" spans="1:11" ht="12.75">
      <c r="A20" s="1011">
        <f t="shared" si="2"/>
        <v>1311</v>
      </c>
      <c r="B20" s="827" t="s">
        <v>255</v>
      </c>
      <c r="C20" s="486"/>
      <c r="D20" s="920"/>
      <c r="E20" s="923">
        <v>0.93</v>
      </c>
      <c r="F20" s="883">
        <f>ROUND(C20*E20,0)</f>
        <v>0</v>
      </c>
      <c r="G20" s="883">
        <f t="shared" si="1"/>
        <v>0</v>
      </c>
      <c r="H20" s="560"/>
      <c r="I20" s="433"/>
      <c r="J20" s="433"/>
      <c r="K20"/>
    </row>
    <row r="21" spans="1:11" ht="12.75">
      <c r="A21" s="1011">
        <f t="shared" si="2"/>
        <v>1312</v>
      </c>
      <c r="B21" s="827" t="s">
        <v>259</v>
      </c>
      <c r="C21" s="486"/>
      <c r="D21" s="920"/>
      <c r="E21" s="923">
        <v>0.66</v>
      </c>
      <c r="F21" s="883">
        <f t="shared" si="0"/>
        <v>0</v>
      </c>
      <c r="G21" s="883">
        <f t="shared" si="1"/>
        <v>0</v>
      </c>
      <c r="H21" s="560"/>
      <c r="I21" s="433"/>
      <c r="J21" s="433"/>
      <c r="K21"/>
    </row>
    <row r="22" spans="1:11" ht="12.75">
      <c r="A22" s="1011">
        <f t="shared" si="2"/>
        <v>1313</v>
      </c>
      <c r="B22" s="827" t="s">
        <v>260</v>
      </c>
      <c r="C22" s="486"/>
      <c r="D22" s="920"/>
      <c r="E22" s="923">
        <v>1.09</v>
      </c>
      <c r="F22" s="883">
        <f t="shared" si="0"/>
        <v>0</v>
      </c>
      <c r="G22" s="883">
        <f t="shared" si="1"/>
        <v>0</v>
      </c>
      <c r="H22" s="560"/>
      <c r="I22" s="433"/>
      <c r="J22" s="433"/>
      <c r="K22"/>
    </row>
    <row r="23" spans="1:11" ht="12.75">
      <c r="A23" s="1011">
        <f t="shared" si="2"/>
        <v>1314</v>
      </c>
      <c r="B23" s="827" t="s">
        <v>261</v>
      </c>
      <c r="C23" s="486"/>
      <c r="D23" s="920"/>
      <c r="E23" s="923">
        <v>2.14</v>
      </c>
      <c r="F23" s="883">
        <f t="shared" si="0"/>
        <v>0</v>
      </c>
      <c r="G23" s="883">
        <f t="shared" si="1"/>
        <v>0</v>
      </c>
      <c r="H23" s="560"/>
      <c r="I23" s="433"/>
      <c r="J23" s="433"/>
      <c r="K23"/>
    </row>
    <row r="24" spans="1:11" ht="12.75">
      <c r="A24" s="1011">
        <f t="shared" si="2"/>
        <v>1315</v>
      </c>
      <c r="B24" s="827" t="s">
        <v>262</v>
      </c>
      <c r="C24" s="486"/>
      <c r="D24" s="920"/>
      <c r="E24" s="923">
        <v>0.73</v>
      </c>
      <c r="F24" s="883">
        <f t="shared" si="0"/>
        <v>0</v>
      </c>
      <c r="G24" s="883">
        <f t="shared" si="1"/>
        <v>0</v>
      </c>
      <c r="H24" s="560"/>
      <c r="I24" s="433"/>
      <c r="J24" s="433"/>
      <c r="K24"/>
    </row>
    <row r="25" spans="1:11" ht="12.75">
      <c r="A25" s="1011">
        <f t="shared" si="2"/>
        <v>1316</v>
      </c>
      <c r="B25" s="827" t="s">
        <v>263</v>
      </c>
      <c r="C25" s="486"/>
      <c r="D25" s="920"/>
      <c r="E25" s="923">
        <v>0.18</v>
      </c>
      <c r="F25" s="883">
        <f t="shared" si="0"/>
        <v>0</v>
      </c>
      <c r="G25" s="883">
        <f t="shared" si="1"/>
        <v>0</v>
      </c>
      <c r="H25" s="560"/>
      <c r="I25" s="433"/>
      <c r="J25" s="433"/>
      <c r="K25"/>
    </row>
    <row r="26" spans="1:11" ht="12.75">
      <c r="A26" s="1011">
        <f t="shared" si="2"/>
        <v>1317</v>
      </c>
      <c r="B26" s="827" t="s">
        <v>783</v>
      </c>
      <c r="C26" s="486"/>
      <c r="D26" s="920"/>
      <c r="E26" s="923">
        <v>0.25</v>
      </c>
      <c r="F26" s="883">
        <f t="shared" si="0"/>
        <v>0</v>
      </c>
      <c r="G26" s="883">
        <f t="shared" si="1"/>
        <v>0</v>
      </c>
      <c r="H26" s="560"/>
      <c r="I26" s="433"/>
      <c r="J26" s="433"/>
      <c r="K26"/>
    </row>
    <row r="27" spans="1:11" ht="12.75">
      <c r="A27" s="1011">
        <f t="shared" si="2"/>
        <v>1318</v>
      </c>
      <c r="B27" s="827" t="s">
        <v>264</v>
      </c>
      <c r="C27" s="486"/>
      <c r="D27" s="920"/>
      <c r="E27" s="923">
        <v>0.37</v>
      </c>
      <c r="F27" s="883">
        <f t="shared" si="0"/>
        <v>0</v>
      </c>
      <c r="G27" s="883">
        <f t="shared" si="1"/>
        <v>0</v>
      </c>
      <c r="H27" s="560"/>
      <c r="I27" s="433"/>
      <c r="J27" s="433"/>
      <c r="K27"/>
    </row>
    <row r="28" spans="1:11" ht="12.75">
      <c r="A28" s="1011">
        <f t="shared" si="2"/>
        <v>1319</v>
      </c>
      <c r="B28" s="827" t="s">
        <v>265</v>
      </c>
      <c r="C28" s="486"/>
      <c r="D28" s="920"/>
      <c r="E28" s="923">
        <v>1.24</v>
      </c>
      <c r="F28" s="883">
        <f t="shared" si="0"/>
        <v>0</v>
      </c>
      <c r="G28" s="883">
        <f t="shared" si="1"/>
        <v>0</v>
      </c>
      <c r="H28" s="560"/>
      <c r="I28" s="433"/>
      <c r="J28" s="433"/>
      <c r="K28"/>
    </row>
    <row r="29" spans="1:11" ht="12.75">
      <c r="A29" s="1011">
        <f t="shared" si="2"/>
        <v>1320</v>
      </c>
      <c r="B29" s="827" t="s">
        <v>266</v>
      </c>
      <c r="C29" s="486"/>
      <c r="D29" s="920"/>
      <c r="E29" s="923">
        <v>0.9</v>
      </c>
      <c r="F29" s="883">
        <f t="shared" si="0"/>
        <v>0</v>
      </c>
      <c r="G29" s="883">
        <f t="shared" si="1"/>
        <v>0</v>
      </c>
      <c r="H29" s="836"/>
      <c r="I29" s="433"/>
      <c r="J29" s="433"/>
      <c r="K29"/>
    </row>
    <row r="30" spans="1:11" ht="12.75">
      <c r="A30" s="1011">
        <f t="shared" si="2"/>
        <v>1321</v>
      </c>
      <c r="B30" s="827" t="s">
        <v>267</v>
      </c>
      <c r="C30" s="869"/>
      <c r="D30" s="869"/>
      <c r="E30" s="1029"/>
      <c r="F30" s="869"/>
      <c r="G30" s="869"/>
      <c r="H30" s="964"/>
      <c r="I30" s="869"/>
      <c r="J30" s="869"/>
      <c r="K30"/>
    </row>
    <row r="31" spans="1:11" ht="12.75">
      <c r="A31" s="1011">
        <f t="shared" si="2"/>
        <v>1322</v>
      </c>
      <c r="B31" s="827" t="s">
        <v>268</v>
      </c>
      <c r="C31" s="869"/>
      <c r="D31" s="869"/>
      <c r="E31" s="1029"/>
      <c r="F31" s="869"/>
      <c r="G31" s="869"/>
      <c r="H31" s="964"/>
      <c r="I31" s="869"/>
      <c r="J31" s="869"/>
      <c r="K31"/>
    </row>
    <row r="32" spans="1:11" ht="12.75">
      <c r="A32" s="1011">
        <f t="shared" si="2"/>
        <v>1323</v>
      </c>
      <c r="B32" s="827" t="s">
        <v>269</v>
      </c>
      <c r="C32" s="486"/>
      <c r="D32" s="920"/>
      <c r="E32" s="923">
        <v>0.66</v>
      </c>
      <c r="F32" s="883">
        <f>ROUND(C32*E32,0)</f>
        <v>0</v>
      </c>
      <c r="G32" s="883">
        <f>ROUND(D32*E32,0)</f>
        <v>0</v>
      </c>
      <c r="H32" s="836"/>
      <c r="I32" s="433"/>
      <c r="J32" s="433"/>
      <c r="K32"/>
    </row>
    <row r="33" spans="1:11" ht="12.75">
      <c r="A33" s="1011">
        <f t="shared" si="2"/>
        <v>1324</v>
      </c>
      <c r="B33" s="827" t="s">
        <v>270</v>
      </c>
      <c r="C33" s="486"/>
      <c r="D33" s="920"/>
      <c r="E33" s="923">
        <v>0.93</v>
      </c>
      <c r="F33" s="883">
        <f>ROUND(C33*E33,0)</f>
        <v>0</v>
      </c>
      <c r="G33" s="883">
        <f>ROUND(D33*E33,0)</f>
        <v>0</v>
      </c>
      <c r="H33" s="560"/>
      <c r="I33" s="433"/>
      <c r="J33" s="433"/>
      <c r="K33"/>
    </row>
    <row r="34" spans="1:11" ht="12.75">
      <c r="A34" s="1011">
        <f t="shared" si="2"/>
        <v>1325</v>
      </c>
      <c r="B34" s="827" t="s">
        <v>271</v>
      </c>
      <c r="C34" s="850"/>
      <c r="D34" s="850"/>
      <c r="E34" s="1030"/>
      <c r="F34" s="850"/>
      <c r="G34" s="850"/>
      <c r="H34" s="836"/>
      <c r="I34" s="850"/>
      <c r="J34" s="850"/>
      <c r="K34"/>
    </row>
    <row r="35" spans="1:11" ht="12.75">
      <c r="A35" s="1011">
        <f t="shared" si="2"/>
        <v>1326</v>
      </c>
      <c r="B35" s="1031" t="s">
        <v>834</v>
      </c>
      <c r="C35" s="486"/>
      <c r="D35" s="920"/>
      <c r="E35" s="923">
        <v>0.53</v>
      </c>
      <c r="F35" s="883">
        <f>ROUND(C35*E35,0)</f>
        <v>0</v>
      </c>
      <c r="G35" s="883">
        <f>ROUND(D35*E35,0)</f>
        <v>0</v>
      </c>
      <c r="H35" s="560"/>
      <c r="I35" s="433"/>
      <c r="J35" s="433"/>
      <c r="K35"/>
    </row>
    <row r="36" spans="1:11" ht="12.75">
      <c r="A36" s="1011">
        <f t="shared" si="2"/>
        <v>1327</v>
      </c>
      <c r="B36" s="1031" t="s">
        <v>316</v>
      </c>
      <c r="C36" s="486"/>
      <c r="D36" s="920"/>
      <c r="E36" s="923">
        <v>0.37</v>
      </c>
      <c r="F36" s="883">
        <f>ROUND(C36*E36,0)</f>
        <v>0</v>
      </c>
      <c r="G36" s="883">
        <f>ROUND(D36*E36,0)</f>
        <v>0</v>
      </c>
      <c r="H36" s="560"/>
      <c r="I36" s="433"/>
      <c r="J36" s="433"/>
      <c r="K36"/>
    </row>
    <row r="37" spans="1:11" ht="12.75">
      <c r="A37" s="1011">
        <f t="shared" si="2"/>
        <v>1328</v>
      </c>
      <c r="B37" s="827" t="s">
        <v>315</v>
      </c>
      <c r="C37" s="486"/>
      <c r="D37" s="920"/>
      <c r="E37" s="923">
        <v>1.64</v>
      </c>
      <c r="F37" s="883">
        <f>ROUND(C37*E37,0)</f>
        <v>0</v>
      </c>
      <c r="G37" s="883">
        <f>ROUND(D37*E37,0)</f>
        <v>0</v>
      </c>
      <c r="H37" s="560"/>
      <c r="I37" s="433"/>
      <c r="J37" s="433"/>
      <c r="K37"/>
    </row>
    <row r="38" spans="1:11" ht="12.75">
      <c r="A38" s="849"/>
      <c r="B38" s="560"/>
      <c r="C38" s="847"/>
      <c r="D38" s="847"/>
      <c r="E38" s="560"/>
      <c r="F38" s="847"/>
      <c r="G38" s="847"/>
      <c r="H38" s="560"/>
      <c r="I38" s="847"/>
      <c r="J38" s="847"/>
      <c r="K38"/>
    </row>
    <row r="39" spans="1:10" s="786" customFormat="1" ht="12.75">
      <c r="A39" s="1011">
        <f>A37+1</f>
        <v>1329</v>
      </c>
      <c r="B39" s="953" t="s">
        <v>836</v>
      </c>
      <c r="C39" s="1010">
        <f>SUM(C10:C37)-C30-C31</f>
        <v>0</v>
      </c>
      <c r="D39" s="1010">
        <f>SUM(D10:D37)-D30-D31</f>
        <v>0</v>
      </c>
      <c r="E39" s="849"/>
      <c r="F39" s="1010">
        <f>SUM(F10:F37)-F30-F31</f>
        <v>0</v>
      </c>
      <c r="G39" s="1010">
        <f>SUM(G10:G37)-G30-G31</f>
        <v>0</v>
      </c>
      <c r="H39" s="849"/>
      <c r="I39" s="1010">
        <f>SUM(I10:I37)-I30-I31</f>
        <v>0</v>
      </c>
      <c r="J39" s="1010">
        <f>SUM(J10:J37)-J30-J31</f>
        <v>0</v>
      </c>
    </row>
    <row r="40" spans="1:11" ht="12.75">
      <c r="A40" s="1012" t="str">
        <f>CONCATENATE("N.b. Voor de kolom rekenstaat ",Voorblad!D3," zie het voorlopige nacalculatieformulier ",Voorblad!D3,)</f>
        <v>N.b. Voor de kolom rekenstaat 2005 zie het voorlopige nacalculatieformulier 2005</v>
      </c>
      <c r="B40" s="560"/>
      <c r="C40" s="847"/>
      <c r="D40" s="847"/>
      <c r="E40" s="560"/>
      <c r="F40" s="847"/>
      <c r="G40" s="847"/>
      <c r="H40" s="560"/>
      <c r="I40" s="847"/>
      <c r="J40" s="847"/>
      <c r="K40"/>
    </row>
    <row r="41" spans="1:11" ht="12.75">
      <c r="A41" s="849"/>
      <c r="B41" s="560"/>
      <c r="C41" s="847"/>
      <c r="D41" s="847"/>
      <c r="E41" s="560"/>
      <c r="F41" s="847"/>
      <c r="G41" s="847"/>
      <c r="H41" s="560"/>
      <c r="I41" s="847"/>
      <c r="J41" s="847"/>
      <c r="K41"/>
    </row>
    <row r="42" spans="2:10" ht="12.75">
      <c r="B42" s="912"/>
      <c r="C42" s="458"/>
      <c r="D42" s="458"/>
      <c r="E42" s="558"/>
      <c r="F42" s="458"/>
      <c r="G42" s="458"/>
      <c r="H42" s="456"/>
      <c r="I42" s="454"/>
      <c r="J42" s="454"/>
    </row>
    <row r="43" spans="1:12" ht="15.75" customHeight="1">
      <c r="A43" s="1055" t="str">
        <f>CONCATENATE("Nacalculatieformulier ",Voorblad!D3)</f>
        <v>Nacalculatieformulier 2005</v>
      </c>
      <c r="B43" s="939"/>
      <c r="C43" s="593"/>
      <c r="D43" s="593"/>
      <c r="E43" s="593"/>
      <c r="F43" s="593"/>
      <c r="G43" s="597" t="b">
        <f>Voorblad!D30</f>
        <v>1</v>
      </c>
      <c r="H43" s="593"/>
      <c r="I43" s="593"/>
      <c r="J43" s="593"/>
      <c r="K43" s="771"/>
      <c r="L43" s="592">
        <f>'Prod.1.5'!L2+1</f>
        <v>14</v>
      </c>
    </row>
    <row r="44" spans="2:10" ht="12.75">
      <c r="B44" s="937"/>
      <c r="C44" s="91"/>
      <c r="D44" s="91"/>
      <c r="E44" s="91"/>
      <c r="F44" s="91"/>
      <c r="G44" s="938"/>
      <c r="H44" s="91"/>
      <c r="I44" s="91"/>
      <c r="J44" s="589"/>
    </row>
    <row r="45" spans="1:10" ht="12.75">
      <c r="A45" s="849" t="s">
        <v>205</v>
      </c>
      <c r="B45" s="849" t="str">
        <f>CONCATENATE("Berekening (gewogen) eerste polikliniekbezoeken en dagverplegingen ",Voorblad!D3,"")</f>
        <v>Berekening (gewogen) eerste polikliniekbezoeken en dagverplegingen 2005</v>
      </c>
      <c r="C45" s="847"/>
      <c r="D45" s="847"/>
      <c r="E45" s="560"/>
      <c r="F45" s="847"/>
      <c r="G45" s="847"/>
      <c r="H45" s="560"/>
      <c r="I45" s="1148"/>
      <c r="J45" s="889"/>
    </row>
    <row r="46" spans="1:10" ht="12.75">
      <c r="A46" s="849"/>
      <c r="B46" s="560"/>
      <c r="C46" s="847"/>
      <c r="D46" s="847"/>
      <c r="E46" s="560"/>
      <c r="F46" s="847"/>
      <c r="G46" s="847"/>
      <c r="H46" s="560"/>
      <c r="I46" s="1148"/>
      <c r="J46" s="889"/>
    </row>
    <row r="47" spans="1:12" ht="12.75">
      <c r="A47" s="849"/>
      <c r="B47" s="560"/>
      <c r="C47" s="1480" t="s">
        <v>317</v>
      </c>
      <c r="D47" s="1506"/>
      <c r="E47" s="1506"/>
      <c r="F47" s="1506"/>
      <c r="G47" s="1481"/>
      <c r="H47" s="950"/>
      <c r="I47" s="1502" t="s">
        <v>444</v>
      </c>
      <c r="J47" s="1503"/>
      <c r="K47" s="1502" t="s">
        <v>446</v>
      </c>
      <c r="L47" s="1503"/>
    </row>
    <row r="48" spans="1:12" ht="12.75">
      <c r="A48" s="849"/>
      <c r="B48" s="560"/>
      <c r="C48" s="1480" t="s">
        <v>242</v>
      </c>
      <c r="D48" s="1506"/>
      <c r="E48" s="933" t="s">
        <v>649</v>
      </c>
      <c r="F48" s="1480" t="s">
        <v>243</v>
      </c>
      <c r="G48" s="1481"/>
      <c r="H48" s="950"/>
      <c r="I48" s="1504" t="s">
        <v>445</v>
      </c>
      <c r="J48" s="1505"/>
      <c r="K48" s="1504" t="s">
        <v>447</v>
      </c>
      <c r="L48" s="1505"/>
    </row>
    <row r="49" spans="1:12" ht="12.75">
      <c r="A49" s="849"/>
      <c r="B49" s="560"/>
      <c r="C49" s="1032" t="s">
        <v>244</v>
      </c>
      <c r="D49" s="1032" t="s">
        <v>617</v>
      </c>
      <c r="E49" s="878" t="s">
        <v>782</v>
      </c>
      <c r="F49" s="1032" t="s">
        <v>244</v>
      </c>
      <c r="G49" s="901" t="s">
        <v>617</v>
      </c>
      <c r="H49" s="849"/>
      <c r="I49" s="1111" t="s">
        <v>244</v>
      </c>
      <c r="J49" s="1111" t="s">
        <v>617</v>
      </c>
      <c r="K49" s="1111" t="s">
        <v>244</v>
      </c>
      <c r="L49" s="1111" t="s">
        <v>617</v>
      </c>
    </row>
    <row r="50" spans="1:12" ht="12.75">
      <c r="A50" s="849"/>
      <c r="B50" s="560"/>
      <c r="C50" s="847"/>
      <c r="D50" s="847"/>
      <c r="E50" s="836"/>
      <c r="F50" s="850"/>
      <c r="G50" s="850"/>
      <c r="H50" s="560"/>
      <c r="J50" s="889"/>
      <c r="K50" s="889"/>
      <c r="L50" s="847"/>
    </row>
    <row r="51" spans="1:12" ht="12.75">
      <c r="A51" s="1011">
        <f>(L43*100)+1</f>
        <v>1401</v>
      </c>
      <c r="B51" s="827" t="s">
        <v>245</v>
      </c>
      <c r="C51" s="486"/>
      <c r="D51" s="561"/>
      <c r="E51" s="1098">
        <v>1.26</v>
      </c>
      <c r="F51" s="883">
        <f>ROUND(C51*E51,0)</f>
        <v>0</v>
      </c>
      <c r="G51" s="883">
        <f aca="true" t="shared" si="3" ref="G51:G69">ROUND(D51*E51,0)</f>
        <v>0</v>
      </c>
      <c r="H51" s="560"/>
      <c r="I51" s="433"/>
      <c r="J51" s="486"/>
      <c r="K51" s="433"/>
      <c r="L51" s="486"/>
    </row>
    <row r="52" spans="1:12" ht="12.75">
      <c r="A52" s="1011">
        <f aca="true" t="shared" si="4" ref="A52:A78">A51+1</f>
        <v>1402</v>
      </c>
      <c r="B52" s="827" t="s">
        <v>246</v>
      </c>
      <c r="C52" s="486"/>
      <c r="D52" s="561"/>
      <c r="E52" s="1098">
        <v>1.75</v>
      </c>
      <c r="F52" s="883">
        <f aca="true" t="shared" si="5" ref="F52:F70">ROUND(C52*E52,0)</f>
        <v>0</v>
      </c>
      <c r="G52" s="883">
        <f t="shared" si="3"/>
        <v>0</v>
      </c>
      <c r="H52" s="560"/>
      <c r="I52" s="433"/>
      <c r="J52" s="486"/>
      <c r="K52" s="433"/>
      <c r="L52" s="486"/>
    </row>
    <row r="53" spans="1:12" ht="12.75">
      <c r="A53" s="1011">
        <f t="shared" si="4"/>
        <v>1403</v>
      </c>
      <c r="B53" s="827" t="s">
        <v>247</v>
      </c>
      <c r="C53" s="486"/>
      <c r="D53" s="561"/>
      <c r="E53" s="1098">
        <v>1.52</v>
      </c>
      <c r="F53" s="883">
        <f t="shared" si="5"/>
        <v>0</v>
      </c>
      <c r="G53" s="883">
        <f t="shared" si="3"/>
        <v>0</v>
      </c>
      <c r="H53" s="560"/>
      <c r="I53" s="433"/>
      <c r="J53" s="486"/>
      <c r="K53" s="433"/>
      <c r="L53" s="486"/>
    </row>
    <row r="54" spans="1:12" ht="12.75">
      <c r="A54" s="1011">
        <f t="shared" si="4"/>
        <v>1404</v>
      </c>
      <c r="B54" s="827" t="s">
        <v>248</v>
      </c>
      <c r="C54" s="486"/>
      <c r="D54" s="561"/>
      <c r="E54" s="1098">
        <v>1.23</v>
      </c>
      <c r="F54" s="883">
        <f t="shared" si="5"/>
        <v>0</v>
      </c>
      <c r="G54" s="883">
        <f t="shared" si="3"/>
        <v>0</v>
      </c>
      <c r="H54" s="560"/>
      <c r="I54" s="433"/>
      <c r="J54" s="486"/>
      <c r="K54" s="433"/>
      <c r="L54" s="486"/>
    </row>
    <row r="55" spans="1:12" ht="12.75">
      <c r="A55" s="1011">
        <f t="shared" si="4"/>
        <v>1405</v>
      </c>
      <c r="B55" s="827" t="s">
        <v>249</v>
      </c>
      <c r="C55" s="486"/>
      <c r="D55" s="561"/>
      <c r="E55" s="1098">
        <v>0.88</v>
      </c>
      <c r="F55" s="883">
        <f t="shared" si="5"/>
        <v>0</v>
      </c>
      <c r="G55" s="883">
        <f t="shared" si="3"/>
        <v>0</v>
      </c>
      <c r="H55" s="560"/>
      <c r="I55" s="433"/>
      <c r="J55" s="486"/>
      <c r="K55" s="433"/>
      <c r="L55" s="486"/>
    </row>
    <row r="56" spans="1:12" ht="12.75">
      <c r="A56" s="1011">
        <f t="shared" si="4"/>
        <v>1406</v>
      </c>
      <c r="B56" s="827" t="s">
        <v>250</v>
      </c>
      <c r="C56" s="486"/>
      <c r="D56" s="561"/>
      <c r="E56" s="1098">
        <v>1.26</v>
      </c>
      <c r="F56" s="883">
        <f t="shared" si="5"/>
        <v>0</v>
      </c>
      <c r="G56" s="883">
        <f t="shared" si="3"/>
        <v>0</v>
      </c>
      <c r="H56" s="560"/>
      <c r="I56" s="433"/>
      <c r="J56" s="486"/>
      <c r="K56" s="433"/>
      <c r="L56" s="486"/>
    </row>
    <row r="57" spans="1:12" ht="12.75">
      <c r="A57" s="1011">
        <f t="shared" si="4"/>
        <v>1407</v>
      </c>
      <c r="B57" s="827" t="s">
        <v>251</v>
      </c>
      <c r="C57" s="486"/>
      <c r="D57" s="561"/>
      <c r="E57" s="1098">
        <v>0.2</v>
      </c>
      <c r="F57" s="883">
        <f t="shared" si="5"/>
        <v>0</v>
      </c>
      <c r="G57" s="883">
        <f t="shared" si="3"/>
        <v>0</v>
      </c>
      <c r="H57" s="560"/>
      <c r="I57" s="433"/>
      <c r="J57" s="486"/>
      <c r="K57" s="433"/>
      <c r="L57" s="486"/>
    </row>
    <row r="58" spans="1:12" ht="12.75">
      <c r="A58" s="1011">
        <f t="shared" si="4"/>
        <v>1408</v>
      </c>
      <c r="B58" s="827" t="s">
        <v>252</v>
      </c>
      <c r="C58" s="486"/>
      <c r="D58" s="561"/>
      <c r="E58" s="1098">
        <v>0.73</v>
      </c>
      <c r="F58" s="883">
        <f t="shared" si="5"/>
        <v>0</v>
      </c>
      <c r="G58" s="883">
        <f t="shared" si="3"/>
        <v>0</v>
      </c>
      <c r="H58" s="560"/>
      <c r="I58" s="433"/>
      <c r="J58" s="486"/>
      <c r="K58" s="433"/>
      <c r="L58" s="486"/>
    </row>
    <row r="59" spans="1:12" ht="12.75">
      <c r="A59" s="1011">
        <f t="shared" si="4"/>
        <v>1409</v>
      </c>
      <c r="B59" s="827" t="s">
        <v>253</v>
      </c>
      <c r="C59" s="486"/>
      <c r="D59" s="561"/>
      <c r="E59" s="1098">
        <v>1.47</v>
      </c>
      <c r="F59" s="883">
        <f t="shared" si="5"/>
        <v>0</v>
      </c>
      <c r="G59" s="883">
        <f t="shared" si="3"/>
        <v>0</v>
      </c>
      <c r="H59" s="560"/>
      <c r="I59" s="433"/>
      <c r="J59" s="486"/>
      <c r="K59" s="433"/>
      <c r="L59" s="486"/>
    </row>
    <row r="60" spans="1:12" ht="12.75">
      <c r="A60" s="1011">
        <f t="shared" si="4"/>
        <v>1410</v>
      </c>
      <c r="B60" s="827" t="s">
        <v>254</v>
      </c>
      <c r="C60" s="486"/>
      <c r="D60" s="561"/>
      <c r="E60" s="1098">
        <v>1.45</v>
      </c>
      <c r="F60" s="883">
        <f t="shared" si="5"/>
        <v>0</v>
      </c>
      <c r="G60" s="883">
        <f>ROUND(D60*E60,0)</f>
        <v>0</v>
      </c>
      <c r="H60" s="560"/>
      <c r="I60" s="433"/>
      <c r="J60" s="486"/>
      <c r="K60" s="433"/>
      <c r="L60" s="486"/>
    </row>
    <row r="61" spans="1:12" ht="12.75">
      <c r="A61" s="1011">
        <f t="shared" si="4"/>
        <v>1411</v>
      </c>
      <c r="B61" s="827" t="s">
        <v>255</v>
      </c>
      <c r="C61" s="486"/>
      <c r="D61" s="561"/>
      <c r="E61" s="1098">
        <v>0.93</v>
      </c>
      <c r="F61" s="883">
        <f t="shared" si="5"/>
        <v>0</v>
      </c>
      <c r="G61" s="883">
        <f t="shared" si="3"/>
        <v>0</v>
      </c>
      <c r="H61" s="560"/>
      <c r="I61" s="433"/>
      <c r="J61" s="486"/>
      <c r="K61" s="433"/>
      <c r="L61" s="486"/>
    </row>
    <row r="62" spans="1:12" ht="12.75">
      <c r="A62" s="1011">
        <f t="shared" si="4"/>
        <v>1412</v>
      </c>
      <c r="B62" s="827" t="s">
        <v>259</v>
      </c>
      <c r="C62" s="486"/>
      <c r="D62" s="561"/>
      <c r="E62" s="1098">
        <v>0.66</v>
      </c>
      <c r="F62" s="883">
        <f t="shared" si="5"/>
        <v>0</v>
      </c>
      <c r="G62" s="883">
        <f t="shared" si="3"/>
        <v>0</v>
      </c>
      <c r="H62" s="560"/>
      <c r="I62" s="433"/>
      <c r="J62" s="486"/>
      <c r="K62" s="433"/>
      <c r="L62" s="486"/>
    </row>
    <row r="63" spans="1:12" ht="12.75">
      <c r="A63" s="1011">
        <f t="shared" si="4"/>
        <v>1413</v>
      </c>
      <c r="B63" s="827" t="s">
        <v>260</v>
      </c>
      <c r="C63" s="486"/>
      <c r="D63" s="561"/>
      <c r="E63" s="1098">
        <v>1.09</v>
      </c>
      <c r="F63" s="883">
        <f t="shared" si="5"/>
        <v>0</v>
      </c>
      <c r="G63" s="883">
        <f t="shared" si="3"/>
        <v>0</v>
      </c>
      <c r="H63" s="560"/>
      <c r="I63" s="433"/>
      <c r="J63" s="486"/>
      <c r="K63" s="433"/>
      <c r="L63" s="486"/>
    </row>
    <row r="64" spans="1:12" ht="12.75">
      <c r="A64" s="1011">
        <f t="shared" si="4"/>
        <v>1414</v>
      </c>
      <c r="B64" s="827" t="s">
        <v>261</v>
      </c>
      <c r="C64" s="486"/>
      <c r="D64" s="561"/>
      <c r="E64" s="1098">
        <v>2.14</v>
      </c>
      <c r="F64" s="883">
        <f t="shared" si="5"/>
        <v>0</v>
      </c>
      <c r="G64" s="883">
        <f t="shared" si="3"/>
        <v>0</v>
      </c>
      <c r="H64" s="560"/>
      <c r="I64" s="433"/>
      <c r="J64" s="486"/>
      <c r="K64" s="433"/>
      <c r="L64" s="486"/>
    </row>
    <row r="65" spans="1:12" ht="12.75">
      <c r="A65" s="1011">
        <f t="shared" si="4"/>
        <v>1415</v>
      </c>
      <c r="B65" s="827" t="s">
        <v>262</v>
      </c>
      <c r="C65" s="486"/>
      <c r="D65" s="561"/>
      <c r="E65" s="1098">
        <v>0.73</v>
      </c>
      <c r="F65" s="883">
        <f t="shared" si="5"/>
        <v>0</v>
      </c>
      <c r="G65" s="883">
        <f t="shared" si="3"/>
        <v>0</v>
      </c>
      <c r="H65" s="560"/>
      <c r="I65" s="433"/>
      <c r="J65" s="486"/>
      <c r="K65" s="433"/>
      <c r="L65" s="486"/>
    </row>
    <row r="66" spans="1:12" ht="12.75">
      <c r="A66" s="1011">
        <f t="shared" si="4"/>
        <v>1416</v>
      </c>
      <c r="B66" s="827" t="s">
        <v>263</v>
      </c>
      <c r="C66" s="486"/>
      <c r="D66" s="561"/>
      <c r="E66" s="1098">
        <v>0.18</v>
      </c>
      <c r="F66" s="883">
        <f t="shared" si="5"/>
        <v>0</v>
      </c>
      <c r="G66" s="883">
        <f t="shared" si="3"/>
        <v>0</v>
      </c>
      <c r="H66" s="560"/>
      <c r="I66" s="433"/>
      <c r="J66" s="486"/>
      <c r="K66" s="433"/>
      <c r="L66" s="486"/>
    </row>
    <row r="67" spans="1:12" ht="12.75">
      <c r="A67" s="1011">
        <f t="shared" si="4"/>
        <v>1417</v>
      </c>
      <c r="B67" s="827" t="s">
        <v>783</v>
      </c>
      <c r="C67" s="486"/>
      <c r="D67" s="561"/>
      <c r="E67" s="1098">
        <v>0.25</v>
      </c>
      <c r="F67" s="883">
        <f t="shared" si="5"/>
        <v>0</v>
      </c>
      <c r="G67" s="883">
        <f t="shared" si="3"/>
        <v>0</v>
      </c>
      <c r="H67" s="560"/>
      <c r="I67" s="433"/>
      <c r="J67" s="486"/>
      <c r="K67" s="433"/>
      <c r="L67" s="486"/>
    </row>
    <row r="68" spans="1:12" ht="12.75">
      <c r="A68" s="1011">
        <f t="shared" si="4"/>
        <v>1418</v>
      </c>
      <c r="B68" s="827" t="s">
        <v>264</v>
      </c>
      <c r="C68" s="486"/>
      <c r="D68" s="561"/>
      <c r="E68" s="1098">
        <v>0.37</v>
      </c>
      <c r="F68" s="883">
        <f>ROUND(C68*E68,0)</f>
        <v>0</v>
      </c>
      <c r="G68" s="883">
        <f t="shared" si="3"/>
        <v>0</v>
      </c>
      <c r="H68" s="560"/>
      <c r="I68" s="433"/>
      <c r="J68" s="486"/>
      <c r="K68" s="433"/>
      <c r="L68" s="486"/>
    </row>
    <row r="69" spans="1:12" ht="12.75">
      <c r="A69" s="1011">
        <f t="shared" si="4"/>
        <v>1419</v>
      </c>
      <c r="B69" s="827" t="s">
        <v>265</v>
      </c>
      <c r="C69" s="486"/>
      <c r="D69" s="561"/>
      <c r="E69" s="1098">
        <v>1.24</v>
      </c>
      <c r="F69" s="883">
        <f t="shared" si="5"/>
        <v>0</v>
      </c>
      <c r="G69" s="883">
        <f t="shared" si="3"/>
        <v>0</v>
      </c>
      <c r="H69" s="560"/>
      <c r="I69" s="433"/>
      <c r="J69" s="486"/>
      <c r="K69" s="433"/>
      <c r="L69" s="486"/>
    </row>
    <row r="70" spans="1:12" ht="12.75">
      <c r="A70" s="1011">
        <f t="shared" si="4"/>
        <v>1420</v>
      </c>
      <c r="B70" s="827" t="s">
        <v>266</v>
      </c>
      <c r="C70" s="486"/>
      <c r="D70" s="561"/>
      <c r="E70" s="1098">
        <v>0.9</v>
      </c>
      <c r="F70" s="883">
        <f t="shared" si="5"/>
        <v>0</v>
      </c>
      <c r="G70" s="883">
        <f>ROUND(D70*E70,0)</f>
        <v>0</v>
      </c>
      <c r="H70" s="560"/>
      <c r="I70" s="433"/>
      <c r="J70" s="486"/>
      <c r="K70" s="433"/>
      <c r="L70" s="486"/>
    </row>
    <row r="71" spans="1:12" ht="12.75">
      <c r="A71" s="1011">
        <f t="shared" si="4"/>
        <v>1421</v>
      </c>
      <c r="B71" s="827" t="s">
        <v>267</v>
      </c>
      <c r="C71" s="869"/>
      <c r="D71" s="869"/>
      <c r="E71" s="1099"/>
      <c r="F71" s="850"/>
      <c r="G71" s="850"/>
      <c r="H71" s="560"/>
      <c r="I71" s="869"/>
      <c r="J71" s="869"/>
      <c r="K71" s="869"/>
      <c r="L71" s="869"/>
    </row>
    <row r="72" spans="1:12" ht="12.75">
      <c r="A72" s="1011">
        <f t="shared" si="4"/>
        <v>1422</v>
      </c>
      <c r="B72" s="827" t="s">
        <v>268</v>
      </c>
      <c r="C72" s="869"/>
      <c r="D72" s="869"/>
      <c r="E72" s="1099"/>
      <c r="F72" s="850"/>
      <c r="G72" s="850"/>
      <c r="H72" s="560"/>
      <c r="I72" s="869"/>
      <c r="J72" s="869"/>
      <c r="K72" s="869"/>
      <c r="L72" s="869"/>
    </row>
    <row r="73" spans="1:12" ht="12.75">
      <c r="A73" s="1011">
        <f t="shared" si="4"/>
        <v>1423</v>
      </c>
      <c r="B73" s="827" t="s">
        <v>269</v>
      </c>
      <c r="C73" s="486"/>
      <c r="D73" s="561"/>
      <c r="E73" s="1098">
        <v>0.66</v>
      </c>
      <c r="F73" s="883">
        <f>ROUND(C73*E73,0)</f>
        <v>0</v>
      </c>
      <c r="G73" s="883">
        <f>ROUND(D73*E73,0)</f>
        <v>0</v>
      </c>
      <c r="H73" s="560"/>
      <c r="I73" s="433"/>
      <c r="J73" s="486"/>
      <c r="K73" s="433"/>
      <c r="L73" s="486"/>
    </row>
    <row r="74" spans="1:12" ht="12.75">
      <c r="A74" s="1011">
        <f t="shared" si="4"/>
        <v>1424</v>
      </c>
      <c r="B74" s="827" t="s">
        <v>270</v>
      </c>
      <c r="C74" s="1030"/>
      <c r="D74" s="850"/>
      <c r="E74" s="1099"/>
      <c r="F74" s="850"/>
      <c r="G74" s="850"/>
      <c r="H74" s="560"/>
      <c r="I74" s="850"/>
      <c r="J74" s="850"/>
      <c r="K74" s="850"/>
      <c r="L74" s="850"/>
    </row>
    <row r="75" spans="1:12" ht="12.75">
      <c r="A75" s="1011">
        <f t="shared" si="4"/>
        <v>1425</v>
      </c>
      <c r="B75" s="827" t="s">
        <v>271</v>
      </c>
      <c r="C75" s="850"/>
      <c r="D75" s="850"/>
      <c r="E75" s="1099"/>
      <c r="F75" s="850"/>
      <c r="G75" s="850"/>
      <c r="H75" s="836"/>
      <c r="I75" s="850"/>
      <c r="J75" s="850"/>
      <c r="K75" s="850"/>
      <c r="L75" s="850"/>
    </row>
    <row r="76" spans="1:12" ht="12.75">
      <c r="A76" s="1011">
        <f t="shared" si="4"/>
        <v>1426</v>
      </c>
      <c r="B76" s="1031" t="s">
        <v>834</v>
      </c>
      <c r="C76" s="486"/>
      <c r="D76" s="561"/>
      <c r="E76" s="1098">
        <v>0.53</v>
      </c>
      <c r="F76" s="883">
        <f>ROUND(C76*E76,0)</f>
        <v>0</v>
      </c>
      <c r="G76" s="883">
        <f>ROUND(D76*E76,0)</f>
        <v>0</v>
      </c>
      <c r="H76" s="560"/>
      <c r="I76" s="433"/>
      <c r="J76" s="561"/>
      <c r="K76" s="433"/>
      <c r="L76" s="561"/>
    </row>
    <row r="77" spans="1:12" ht="12.75">
      <c r="A77" s="1011">
        <f t="shared" si="4"/>
        <v>1427</v>
      </c>
      <c r="B77" s="1031" t="s">
        <v>835</v>
      </c>
      <c r="C77" s="486"/>
      <c r="D77" s="561"/>
      <c r="E77" s="1098">
        <v>0.37</v>
      </c>
      <c r="F77" s="883">
        <f>ROUND(C77*E77,0)</f>
        <v>0</v>
      </c>
      <c r="G77" s="883">
        <f>ROUND(D77*E77,0)</f>
        <v>0</v>
      </c>
      <c r="H77" s="560"/>
      <c r="I77" s="433"/>
      <c r="J77" s="561"/>
      <c r="K77" s="433"/>
      <c r="L77" s="561"/>
    </row>
    <row r="78" spans="1:12" ht="12.75">
      <c r="A78" s="1011">
        <f t="shared" si="4"/>
        <v>1428</v>
      </c>
      <c r="B78" s="827" t="s">
        <v>315</v>
      </c>
      <c r="C78" s="486"/>
      <c r="D78" s="561"/>
      <c r="E78" s="1098">
        <v>1.64</v>
      </c>
      <c r="F78" s="883">
        <f>ROUND(C78*E78,0)</f>
        <v>0</v>
      </c>
      <c r="G78" s="883">
        <f>ROUND(D78*E78,0)</f>
        <v>0</v>
      </c>
      <c r="H78" s="560"/>
      <c r="I78" s="433"/>
      <c r="J78" s="561"/>
      <c r="K78" s="433"/>
      <c r="L78" s="561"/>
    </row>
    <row r="79" spans="1:12" ht="12.75">
      <c r="A79" s="849"/>
      <c r="B79" s="560"/>
      <c r="C79" s="847"/>
      <c r="D79" s="847"/>
      <c r="E79" s="560"/>
      <c r="F79" s="847"/>
      <c r="G79" s="847"/>
      <c r="H79" s="560"/>
      <c r="I79" s="847"/>
      <c r="J79" s="847"/>
      <c r="K79" s="847"/>
      <c r="L79" s="847"/>
    </row>
    <row r="80" spans="1:12" ht="12.75">
      <c r="A80" s="1011">
        <f>A78+1</f>
        <v>1429</v>
      </c>
      <c r="B80" s="953" t="s">
        <v>836</v>
      </c>
      <c r="C80" s="1010">
        <f>SUM(C51:C78)-C71-C72-C74-C75</f>
        <v>0</v>
      </c>
      <c r="D80" s="1010">
        <f>SUM(D51:D78)-D71-D72-D74-D75</f>
        <v>0</v>
      </c>
      <c r="E80" s="849"/>
      <c r="F80" s="1010">
        <f>SUM(F51:F78)-F71-F72-F74-F75</f>
        <v>0</v>
      </c>
      <c r="G80" s="1010">
        <f>SUM(G51:G78)-G71-G72-G74-G75</f>
        <v>0</v>
      </c>
      <c r="H80" s="849"/>
      <c r="I80" s="1010">
        <f>SUM(I51:I78)-I71-I72-I74-I75</f>
        <v>0</v>
      </c>
      <c r="J80" s="1010">
        <f>SUM(J51:J78)-J71-J72-J74-J75</f>
        <v>0</v>
      </c>
      <c r="K80" s="1010">
        <f>SUM(K51:K78)-K71-K72-K74-K75</f>
        <v>0</v>
      </c>
      <c r="L80" s="1010">
        <f>SUM(L51:L78)-L71-L72-L74-L75</f>
        <v>0</v>
      </c>
    </row>
    <row r="81" spans="1:10" ht="12.75">
      <c r="A81" s="1012" t="str">
        <f>A40</f>
        <v>N.b. Voor de kolom rekenstaat 2005 zie het voorlopige nacalculatieformulier 2005</v>
      </c>
      <c r="B81" s="560"/>
      <c r="C81" s="847"/>
      <c r="D81" s="847"/>
      <c r="E81" s="560"/>
      <c r="F81" s="847"/>
      <c r="G81" s="847"/>
      <c r="H81" s="560"/>
      <c r="I81" s="847"/>
      <c r="J81" s="847"/>
    </row>
    <row r="82" spans="1:10" ht="12.75">
      <c r="A82" s="849"/>
      <c r="B82" s="560"/>
      <c r="C82" s="847"/>
      <c r="D82" s="847"/>
      <c r="E82" s="560"/>
      <c r="F82" s="847"/>
      <c r="G82" s="847"/>
      <c r="H82" s="560"/>
      <c r="I82" s="847"/>
      <c r="J82" s="847"/>
    </row>
    <row r="83" spans="1:10" ht="12.75">
      <c r="A83" s="849"/>
      <c r="C83" s="847"/>
      <c r="D83" s="847"/>
      <c r="E83" s="560"/>
      <c r="F83" s="847"/>
      <c r="G83" s="847"/>
      <c r="H83" s="560"/>
      <c r="I83" s="847"/>
      <c r="J83" s="847"/>
    </row>
    <row r="84" spans="1:10" ht="12.75">
      <c r="A84" s="849"/>
      <c r="B84" s="560"/>
      <c r="C84" s="847"/>
      <c r="D84" s="847"/>
      <c r="E84" s="560"/>
      <c r="F84" s="847"/>
      <c r="G84" s="847"/>
      <c r="H84" s="560"/>
      <c r="I84" s="847"/>
      <c r="J84" s="847"/>
    </row>
    <row r="85" spans="5:10" ht="12.75">
      <c r="E85"/>
      <c r="F85" s="841"/>
      <c r="H85"/>
      <c r="J85" s="841"/>
    </row>
    <row r="86" spans="5:10" ht="12.75">
      <c r="E86"/>
      <c r="F86" s="841"/>
      <c r="H86"/>
      <c r="J86" s="841"/>
    </row>
  </sheetData>
  <sheetProtection password="CCBC" sheet="1" objects="1" scenarios="1"/>
  <mergeCells count="13">
    <mergeCell ref="C7:D7"/>
    <mergeCell ref="F7:G7"/>
    <mergeCell ref="C6:G6"/>
    <mergeCell ref="I6:J6"/>
    <mergeCell ref="I7:I8"/>
    <mergeCell ref="J7:J8"/>
    <mergeCell ref="K47:L47"/>
    <mergeCell ref="K48:L48"/>
    <mergeCell ref="C47:G47"/>
    <mergeCell ref="C48:D48"/>
    <mergeCell ref="F48:G48"/>
    <mergeCell ref="I47:J47"/>
    <mergeCell ref="I48:J48"/>
  </mergeCells>
  <conditionalFormatting sqref="C51:D70 I51:L70 I73:L73 C76:D78 C73:D73 I76:L78 C10:D29 I10:J29 C32:D33 C35:D37 I32:J33 I35:J37">
    <cfRule type="expression" priority="1" dxfId="0" stopIfTrue="1">
      <formula>$G$2=TRUE</formula>
    </cfRule>
  </conditionalFormatting>
  <printOptions/>
  <pageMargins left="0.3937007874015748" right="0.3937007874015748" top="0.1968503937007874" bottom="0.1968503937007874" header="0.03937007874015748" footer="0.11811023622047245"/>
  <pageSetup horizontalDpi="1200" verticalDpi="1200" orientation="landscape" paperSize="9" r:id="rId2"/>
  <rowBreaks count="1" manualBreakCount="1">
    <brk id="41" max="11" man="1"/>
  </rowBreaks>
  <drawing r:id="rId1"/>
</worksheet>
</file>

<file path=xl/worksheets/sheet11.xml><?xml version="1.0" encoding="utf-8"?>
<worksheet xmlns="http://schemas.openxmlformats.org/spreadsheetml/2006/main" xmlns:r="http://schemas.openxmlformats.org/officeDocument/2006/relationships">
  <sheetPr codeName="Blad10"/>
  <dimension ref="A1:M79"/>
  <sheetViews>
    <sheetView showGridLines="0" showRowColHeaders="0" showZeros="0" showOutlineSymbols="0" view="pageBreakPreview" zoomScale="75" zoomScaleNormal="86" zoomScaleSheetLayoutView="75" workbookViewId="0" topLeftCell="A1">
      <selection activeCell="C9" sqref="C9"/>
    </sheetView>
  </sheetViews>
  <sheetFormatPr defaultColWidth="9.140625" defaultRowHeight="12.75"/>
  <cols>
    <col min="1" max="1" width="5.28125" style="0" customWidth="1"/>
    <col min="2" max="2" width="34.7109375" style="0" customWidth="1"/>
    <col min="3" max="8" width="15.7109375" style="0" customWidth="1"/>
    <col min="9" max="9" width="14.28125" style="0" customWidth="1"/>
  </cols>
  <sheetData>
    <row r="1" spans="1:12" ht="12" customHeight="1">
      <c r="A1" s="786"/>
      <c r="B1" s="912"/>
      <c r="C1" s="458"/>
      <c r="D1" s="458"/>
      <c r="E1" s="558"/>
      <c r="F1" s="458"/>
      <c r="G1" s="458"/>
      <c r="H1" s="456"/>
      <c r="I1" s="454"/>
      <c r="J1" s="454"/>
      <c r="K1" s="456"/>
      <c r="L1" s="454"/>
    </row>
    <row r="2" spans="1:10" ht="15.75" customHeight="1">
      <c r="A2" s="1055" t="str">
        <f>CONCATENATE("Nacalculatieformulier ",Voorblad!D3)</f>
        <v>Nacalculatieformulier 2005</v>
      </c>
      <c r="B2" s="842"/>
      <c r="C2" s="593"/>
      <c r="D2" s="593"/>
      <c r="E2" s="593"/>
      <c r="F2" s="593"/>
      <c r="G2" s="597" t="b">
        <f>Voorblad!D30</f>
        <v>1</v>
      </c>
      <c r="H2" s="592">
        <f>'Prod.1.5'!L43+1</f>
        <v>15</v>
      </c>
      <c r="I2" s="91"/>
      <c r="J2" s="797"/>
    </row>
    <row r="3" spans="1:10" ht="12" customHeight="1">
      <c r="A3" s="937"/>
      <c r="B3" s="797"/>
      <c r="C3" s="836"/>
      <c r="D3" s="797"/>
      <c r="E3" s="91"/>
      <c r="F3" s="91"/>
      <c r="G3" s="91"/>
      <c r="H3" s="938"/>
      <c r="I3" s="91"/>
      <c r="J3" s="589"/>
    </row>
    <row r="4" spans="1:12" ht="12" customHeight="1">
      <c r="A4" s="849" t="s">
        <v>212</v>
      </c>
      <c r="B4" s="849" t="s">
        <v>140</v>
      </c>
      <c r="C4" s="786"/>
      <c r="D4" s="937"/>
      <c r="E4" s="91"/>
      <c r="F4" s="91"/>
      <c r="G4" s="91"/>
      <c r="H4" s="91"/>
      <c r="I4" s="91"/>
      <c r="J4" s="938"/>
      <c r="K4" s="91"/>
      <c r="L4" s="91"/>
    </row>
    <row r="5" spans="3:12" ht="12" customHeight="1">
      <c r="C5" s="1012"/>
      <c r="D5" s="1012"/>
      <c r="E5" s="1012"/>
      <c r="F5" s="1012"/>
      <c r="G5" s="1012"/>
      <c r="H5" s="1012"/>
      <c r="I5" s="1012"/>
      <c r="J5" s="1012"/>
      <c r="K5" s="1012"/>
      <c r="L5" s="1012"/>
    </row>
    <row r="6" spans="1:9" ht="12" customHeight="1">
      <c r="A6" s="836"/>
      <c r="B6" s="985"/>
      <c r="C6" s="1511" t="s">
        <v>199</v>
      </c>
      <c r="D6" s="1511"/>
      <c r="E6" s="1511" t="str">
        <f>CONCATENATE("In rekenstaat ",Voorblad!D3)</f>
        <v>In rekenstaat 2005</v>
      </c>
      <c r="F6" s="1511"/>
      <c r="G6" s="1511" t="s">
        <v>200</v>
      </c>
      <c r="H6" s="1511"/>
      <c r="I6" s="1012"/>
    </row>
    <row r="7" spans="1:9" ht="12" customHeight="1">
      <c r="A7" s="836"/>
      <c r="B7" s="921" t="s">
        <v>142</v>
      </c>
      <c r="C7" s="922" t="s">
        <v>553</v>
      </c>
      <c r="D7" s="922" t="s">
        <v>554</v>
      </c>
      <c r="E7" s="922" t="s">
        <v>553</v>
      </c>
      <c r="F7" s="922" t="s">
        <v>554</v>
      </c>
      <c r="G7" s="922" t="s">
        <v>553</v>
      </c>
      <c r="H7" s="922" t="s">
        <v>554</v>
      </c>
      <c r="I7" s="1012"/>
    </row>
    <row r="8" spans="1:9" ht="12" customHeight="1">
      <c r="A8" s="836"/>
      <c r="B8" s="1037"/>
      <c r="C8" s="1033"/>
      <c r="D8" s="1033"/>
      <c r="E8" s="1033"/>
      <c r="F8" s="1033"/>
      <c r="G8" s="1033"/>
      <c r="H8" s="1033"/>
      <c r="I8" s="1012"/>
    </row>
    <row r="9" spans="1:9" ht="12" customHeight="1">
      <c r="A9" s="988">
        <f>H2*100+1</f>
        <v>1501</v>
      </c>
      <c r="B9" s="827" t="s">
        <v>245</v>
      </c>
      <c r="C9" s="1118"/>
      <c r="D9" s="1118"/>
      <c r="E9" s="1118"/>
      <c r="F9" s="1118"/>
      <c r="G9" s="1098">
        <f>C9-E9</f>
        <v>0</v>
      </c>
      <c r="H9" s="1098">
        <f>D9-F9</f>
        <v>0</v>
      </c>
      <c r="I9" s="1012"/>
    </row>
    <row r="10" spans="1:9" ht="12" customHeight="1">
      <c r="A10" s="988">
        <f>A9+1</f>
        <v>1502</v>
      </c>
      <c r="B10" s="827" t="s">
        <v>246</v>
      </c>
      <c r="C10" s="1118"/>
      <c r="D10" s="1118"/>
      <c r="E10" s="1118"/>
      <c r="F10" s="1118"/>
      <c r="G10" s="1098">
        <f aca="true" t="shared" si="0" ref="G10:G37">C10-E10</f>
        <v>0</v>
      </c>
      <c r="H10" s="1098">
        <f aca="true" t="shared" si="1" ref="H10:H37">D10-F10</f>
        <v>0</v>
      </c>
      <c r="I10" s="1012"/>
    </row>
    <row r="11" spans="1:9" ht="12" customHeight="1">
      <c r="A11" s="988">
        <f>A10+1</f>
        <v>1503</v>
      </c>
      <c r="B11" s="827" t="s">
        <v>247</v>
      </c>
      <c r="C11" s="1118"/>
      <c r="D11" s="1118"/>
      <c r="E11" s="1118"/>
      <c r="F11" s="1118"/>
      <c r="G11" s="1098">
        <f t="shared" si="0"/>
        <v>0</v>
      </c>
      <c r="H11" s="1098">
        <f t="shared" si="1"/>
        <v>0</v>
      </c>
      <c r="I11" s="1012"/>
    </row>
    <row r="12" spans="1:9" ht="12" customHeight="1">
      <c r="A12" s="988">
        <f aca="true" t="shared" si="2" ref="A12:A38">A11+1</f>
        <v>1504</v>
      </c>
      <c r="B12" s="827" t="s">
        <v>248</v>
      </c>
      <c r="C12" s="1118"/>
      <c r="D12" s="1118"/>
      <c r="E12" s="1118"/>
      <c r="F12" s="1118"/>
      <c r="G12" s="1098">
        <f t="shared" si="0"/>
        <v>0</v>
      </c>
      <c r="H12" s="1098">
        <f t="shared" si="1"/>
        <v>0</v>
      </c>
      <c r="I12" s="1012"/>
    </row>
    <row r="13" spans="1:9" ht="12" customHeight="1">
      <c r="A13" s="988">
        <f t="shared" si="2"/>
        <v>1505</v>
      </c>
      <c r="B13" s="827" t="s">
        <v>249</v>
      </c>
      <c r="C13" s="1118"/>
      <c r="D13" s="1118"/>
      <c r="E13" s="1118"/>
      <c r="F13" s="1118"/>
      <c r="G13" s="1098">
        <f t="shared" si="0"/>
        <v>0</v>
      </c>
      <c r="H13" s="1098">
        <f t="shared" si="1"/>
        <v>0</v>
      </c>
      <c r="I13" s="1012"/>
    </row>
    <row r="14" spans="1:9" ht="12" customHeight="1">
      <c r="A14" s="988">
        <f t="shared" si="2"/>
        <v>1506</v>
      </c>
      <c r="B14" s="827" t="s">
        <v>146</v>
      </c>
      <c r="C14" s="1118"/>
      <c r="D14" s="1118"/>
      <c r="E14" s="1118"/>
      <c r="F14" s="1118"/>
      <c r="G14" s="1098">
        <f t="shared" si="0"/>
        <v>0</v>
      </c>
      <c r="H14" s="1098">
        <f t="shared" si="1"/>
        <v>0</v>
      </c>
      <c r="I14" s="1012"/>
    </row>
    <row r="15" spans="1:9" ht="12" customHeight="1">
      <c r="A15" s="988">
        <f t="shared" si="2"/>
        <v>1507</v>
      </c>
      <c r="B15" s="827" t="s">
        <v>251</v>
      </c>
      <c r="C15" s="1118"/>
      <c r="D15" s="1118"/>
      <c r="E15" s="1118"/>
      <c r="F15" s="1118"/>
      <c r="G15" s="1098">
        <f t="shared" si="0"/>
        <v>0</v>
      </c>
      <c r="H15" s="1098">
        <f t="shared" si="1"/>
        <v>0</v>
      </c>
      <c r="I15" s="1012"/>
    </row>
    <row r="16" spans="1:9" ht="12" customHeight="1">
      <c r="A16" s="988">
        <f t="shared" si="2"/>
        <v>1508</v>
      </c>
      <c r="B16" s="827" t="s">
        <v>252</v>
      </c>
      <c r="C16" s="1118"/>
      <c r="D16" s="1118"/>
      <c r="E16" s="1118"/>
      <c r="F16" s="1118"/>
      <c r="G16" s="1098">
        <f t="shared" si="0"/>
        <v>0</v>
      </c>
      <c r="H16" s="1098">
        <f t="shared" si="1"/>
        <v>0</v>
      </c>
      <c r="I16" s="1012"/>
    </row>
    <row r="17" spans="1:9" ht="12" customHeight="1">
      <c r="A17" s="988">
        <f t="shared" si="2"/>
        <v>1509</v>
      </c>
      <c r="B17" s="827" t="s">
        <v>253</v>
      </c>
      <c r="C17" s="1118"/>
      <c r="D17" s="1118"/>
      <c r="E17" s="1118"/>
      <c r="F17" s="1118"/>
      <c r="G17" s="1098">
        <f t="shared" si="0"/>
        <v>0</v>
      </c>
      <c r="H17" s="1098">
        <f t="shared" si="1"/>
        <v>0</v>
      </c>
      <c r="I17" s="1012"/>
    </row>
    <row r="18" spans="1:9" ht="12" customHeight="1">
      <c r="A18" s="988">
        <f t="shared" si="2"/>
        <v>1510</v>
      </c>
      <c r="B18" s="827" t="s">
        <v>254</v>
      </c>
      <c r="C18" s="1118"/>
      <c r="D18" s="1118"/>
      <c r="E18" s="1118"/>
      <c r="F18" s="1118"/>
      <c r="G18" s="1098">
        <f t="shared" si="0"/>
        <v>0</v>
      </c>
      <c r="H18" s="1098">
        <f t="shared" si="1"/>
        <v>0</v>
      </c>
      <c r="I18" s="1012"/>
    </row>
    <row r="19" spans="1:9" ht="12" customHeight="1">
      <c r="A19" s="988">
        <f t="shared" si="2"/>
        <v>1511</v>
      </c>
      <c r="B19" s="827" t="s">
        <v>255</v>
      </c>
      <c r="C19" s="1118"/>
      <c r="D19" s="1118"/>
      <c r="E19" s="1118"/>
      <c r="F19" s="1118"/>
      <c r="G19" s="1098">
        <f t="shared" si="0"/>
        <v>0</v>
      </c>
      <c r="H19" s="1098">
        <f t="shared" si="1"/>
        <v>0</v>
      </c>
      <c r="I19" s="1012"/>
    </row>
    <row r="20" spans="1:9" ht="12" customHeight="1">
      <c r="A20" s="988">
        <f t="shared" si="2"/>
        <v>1512</v>
      </c>
      <c r="B20" s="827" t="s">
        <v>259</v>
      </c>
      <c r="C20" s="1118"/>
      <c r="D20" s="1118"/>
      <c r="E20" s="1118"/>
      <c r="F20" s="1118"/>
      <c r="G20" s="1098">
        <f t="shared" si="0"/>
        <v>0</v>
      </c>
      <c r="H20" s="1098">
        <f t="shared" si="1"/>
        <v>0</v>
      </c>
      <c r="I20" s="1012"/>
    </row>
    <row r="21" spans="1:9" ht="12" customHeight="1">
      <c r="A21" s="988">
        <f t="shared" si="2"/>
        <v>1513</v>
      </c>
      <c r="B21" s="827" t="s">
        <v>260</v>
      </c>
      <c r="C21" s="1118"/>
      <c r="D21" s="1118"/>
      <c r="E21" s="1118"/>
      <c r="F21" s="1118"/>
      <c r="G21" s="1098">
        <f t="shared" si="0"/>
        <v>0</v>
      </c>
      <c r="H21" s="1098">
        <f t="shared" si="1"/>
        <v>0</v>
      </c>
      <c r="I21" s="1012"/>
    </row>
    <row r="22" spans="1:9" ht="12" customHeight="1">
      <c r="A22" s="988">
        <f t="shared" si="2"/>
        <v>1514</v>
      </c>
      <c r="B22" s="827" t="s">
        <v>147</v>
      </c>
      <c r="C22" s="1118"/>
      <c r="D22" s="1118"/>
      <c r="E22" s="1118"/>
      <c r="F22" s="1118"/>
      <c r="G22" s="1098">
        <f t="shared" si="0"/>
        <v>0</v>
      </c>
      <c r="H22" s="1098">
        <f t="shared" si="1"/>
        <v>0</v>
      </c>
      <c r="I22" s="1012"/>
    </row>
    <row r="23" spans="1:9" ht="12" customHeight="1">
      <c r="A23" s="988">
        <f t="shared" si="2"/>
        <v>1515</v>
      </c>
      <c r="B23" s="827" t="s">
        <v>262</v>
      </c>
      <c r="C23" s="1118"/>
      <c r="D23" s="1118"/>
      <c r="E23" s="1118"/>
      <c r="F23" s="1118"/>
      <c r="G23" s="1098">
        <f t="shared" si="0"/>
        <v>0</v>
      </c>
      <c r="H23" s="1098">
        <f t="shared" si="1"/>
        <v>0</v>
      </c>
      <c r="I23" s="1012"/>
    </row>
    <row r="24" spans="1:9" ht="12" customHeight="1">
      <c r="A24" s="988">
        <f t="shared" si="2"/>
        <v>1516</v>
      </c>
      <c r="B24" s="827" t="s">
        <v>263</v>
      </c>
      <c r="C24" s="1118"/>
      <c r="D24" s="1118"/>
      <c r="E24" s="1118"/>
      <c r="F24" s="1118"/>
      <c r="G24" s="1098">
        <f t="shared" si="0"/>
        <v>0</v>
      </c>
      <c r="H24" s="1098">
        <f t="shared" si="1"/>
        <v>0</v>
      </c>
      <c r="I24" s="1012"/>
    </row>
    <row r="25" spans="1:9" ht="12" customHeight="1">
      <c r="A25" s="988">
        <f t="shared" si="2"/>
        <v>1517</v>
      </c>
      <c r="B25" s="827" t="s">
        <v>783</v>
      </c>
      <c r="C25" s="1118"/>
      <c r="D25" s="1118"/>
      <c r="E25" s="1118"/>
      <c r="F25" s="1118"/>
      <c r="G25" s="1098">
        <f t="shared" si="0"/>
        <v>0</v>
      </c>
      <c r="H25" s="1098">
        <f t="shared" si="1"/>
        <v>0</v>
      </c>
      <c r="I25" s="1012"/>
    </row>
    <row r="26" spans="1:9" ht="12" customHeight="1">
      <c r="A26" s="988">
        <f t="shared" si="2"/>
        <v>1518</v>
      </c>
      <c r="B26" s="827" t="s">
        <v>264</v>
      </c>
      <c r="C26" s="1118"/>
      <c r="D26" s="1118"/>
      <c r="E26" s="1118"/>
      <c r="F26" s="1118"/>
      <c r="G26" s="1098">
        <f t="shared" si="0"/>
        <v>0</v>
      </c>
      <c r="H26" s="1098">
        <f t="shared" si="1"/>
        <v>0</v>
      </c>
      <c r="I26" s="1012"/>
    </row>
    <row r="27" spans="1:9" ht="12" customHeight="1">
      <c r="A27" s="988">
        <f t="shared" si="2"/>
        <v>1519</v>
      </c>
      <c r="B27" s="827" t="s">
        <v>265</v>
      </c>
      <c r="C27" s="1118"/>
      <c r="D27" s="1118"/>
      <c r="E27" s="1118"/>
      <c r="F27" s="1118"/>
      <c r="G27" s="1098">
        <f>C27-E27</f>
        <v>0</v>
      </c>
      <c r="H27" s="1098">
        <f t="shared" si="1"/>
        <v>0</v>
      </c>
      <c r="I27" s="1012"/>
    </row>
    <row r="28" spans="1:9" ht="12" customHeight="1">
      <c r="A28" s="988">
        <f t="shared" si="2"/>
        <v>1520</v>
      </c>
      <c r="B28" s="827" t="s">
        <v>148</v>
      </c>
      <c r="C28" s="1118"/>
      <c r="D28" s="1118"/>
      <c r="E28" s="1118"/>
      <c r="F28" s="1118"/>
      <c r="G28" s="1098">
        <f t="shared" si="0"/>
        <v>0</v>
      </c>
      <c r="H28" s="1098">
        <f t="shared" si="1"/>
        <v>0</v>
      </c>
      <c r="I28" s="1012"/>
    </row>
    <row r="29" spans="1:9" ht="12" customHeight="1">
      <c r="A29" s="988">
        <f t="shared" si="2"/>
        <v>1521</v>
      </c>
      <c r="B29" s="827" t="s">
        <v>269</v>
      </c>
      <c r="C29" s="1118"/>
      <c r="D29" s="1118"/>
      <c r="E29" s="1118"/>
      <c r="F29" s="1118"/>
      <c r="G29" s="1098">
        <f t="shared" si="0"/>
        <v>0</v>
      </c>
      <c r="H29" s="1098">
        <f t="shared" si="1"/>
        <v>0</v>
      </c>
      <c r="I29" s="1012"/>
    </row>
    <row r="30" spans="1:9" ht="12" customHeight="1">
      <c r="A30" s="988">
        <f t="shared" si="2"/>
        <v>1522</v>
      </c>
      <c r="B30" s="827" t="s">
        <v>192</v>
      </c>
      <c r="C30" s="1118"/>
      <c r="D30" s="1118"/>
      <c r="E30" s="1118"/>
      <c r="F30" s="1118"/>
      <c r="G30" s="1098">
        <f t="shared" si="0"/>
        <v>0</v>
      </c>
      <c r="H30" s="1098">
        <f t="shared" si="1"/>
        <v>0</v>
      </c>
      <c r="I30" s="1012"/>
    </row>
    <row r="31" spans="1:9" ht="12" customHeight="1">
      <c r="A31" s="988">
        <f t="shared" si="2"/>
        <v>1523</v>
      </c>
      <c r="B31" s="827" t="s">
        <v>193</v>
      </c>
      <c r="C31" s="1118"/>
      <c r="D31" s="1118"/>
      <c r="E31" s="1118"/>
      <c r="F31" s="1118"/>
      <c r="G31" s="1098">
        <f t="shared" si="0"/>
        <v>0</v>
      </c>
      <c r="H31" s="1098">
        <f t="shared" si="1"/>
        <v>0</v>
      </c>
      <c r="I31" s="1012"/>
    </row>
    <row r="32" spans="1:9" ht="12" customHeight="1">
      <c r="A32" s="988">
        <f>A31+1</f>
        <v>1524</v>
      </c>
      <c r="B32" s="827" t="s">
        <v>194</v>
      </c>
      <c r="C32" s="1118"/>
      <c r="D32" s="1118"/>
      <c r="E32" s="1118"/>
      <c r="F32" s="1118"/>
      <c r="G32" s="1098">
        <f t="shared" si="0"/>
        <v>0</v>
      </c>
      <c r="H32" s="1098">
        <f t="shared" si="1"/>
        <v>0</v>
      </c>
      <c r="I32" s="1012"/>
    </row>
    <row r="33" spans="1:9" ht="12" customHeight="1">
      <c r="A33" s="988">
        <f t="shared" si="2"/>
        <v>1525</v>
      </c>
      <c r="B33" s="827" t="s">
        <v>195</v>
      </c>
      <c r="C33" s="1118"/>
      <c r="D33" s="1118"/>
      <c r="E33" s="1118"/>
      <c r="F33" s="1118"/>
      <c r="G33" s="1098">
        <f t="shared" si="0"/>
        <v>0</v>
      </c>
      <c r="H33" s="1098">
        <f t="shared" si="1"/>
        <v>0</v>
      </c>
      <c r="I33" s="1012"/>
    </row>
    <row r="34" spans="1:9" ht="12" customHeight="1">
      <c r="A34" s="988">
        <f t="shared" si="2"/>
        <v>1526</v>
      </c>
      <c r="B34" s="827" t="s">
        <v>196</v>
      </c>
      <c r="C34" s="1118"/>
      <c r="D34" s="1118"/>
      <c r="E34" s="1118"/>
      <c r="F34" s="1118"/>
      <c r="G34" s="1098">
        <f t="shared" si="0"/>
        <v>0</v>
      </c>
      <c r="H34" s="1098">
        <f t="shared" si="1"/>
        <v>0</v>
      </c>
      <c r="I34" s="1012"/>
    </row>
    <row r="35" spans="1:9" ht="12" customHeight="1">
      <c r="A35" s="988">
        <f t="shared" si="2"/>
        <v>1527</v>
      </c>
      <c r="B35" s="827" t="s">
        <v>270</v>
      </c>
      <c r="C35" s="1118"/>
      <c r="D35" s="1118"/>
      <c r="E35" s="1118"/>
      <c r="F35" s="1118"/>
      <c r="G35" s="1098">
        <f t="shared" si="0"/>
        <v>0</v>
      </c>
      <c r="H35" s="1098">
        <f t="shared" si="1"/>
        <v>0</v>
      </c>
      <c r="I35" s="1012"/>
    </row>
    <row r="36" spans="1:9" ht="12" customHeight="1">
      <c r="A36" s="988">
        <f t="shared" si="2"/>
        <v>1528</v>
      </c>
      <c r="B36" s="827" t="s">
        <v>197</v>
      </c>
      <c r="C36" s="1118"/>
      <c r="D36" s="1118"/>
      <c r="E36" s="1118"/>
      <c r="F36" s="1118"/>
      <c r="G36" s="1098">
        <f t="shared" si="0"/>
        <v>0</v>
      </c>
      <c r="H36" s="1098">
        <f>D36-F36</f>
        <v>0</v>
      </c>
      <c r="I36" s="1012"/>
    </row>
    <row r="37" spans="1:9" ht="12" customHeight="1">
      <c r="A37" s="988">
        <f t="shared" si="2"/>
        <v>1529</v>
      </c>
      <c r="B37" s="827" t="s">
        <v>198</v>
      </c>
      <c r="C37" s="1118"/>
      <c r="D37" s="1118"/>
      <c r="E37" s="1118"/>
      <c r="F37" s="1118"/>
      <c r="G37" s="1098">
        <f t="shared" si="0"/>
        <v>0</v>
      </c>
      <c r="H37" s="1098">
        <f t="shared" si="1"/>
        <v>0</v>
      </c>
      <c r="I37" s="1012"/>
    </row>
    <row r="38" spans="1:9" ht="12" customHeight="1">
      <c r="A38" s="988">
        <f t="shared" si="2"/>
        <v>1530</v>
      </c>
      <c r="B38" s="953" t="s">
        <v>389</v>
      </c>
      <c r="C38" s="1119">
        <f aca="true" t="shared" si="3" ref="C38:H38">SUM(C9:C37)</f>
        <v>0</v>
      </c>
      <c r="D38" s="1119">
        <f t="shared" si="3"/>
        <v>0</v>
      </c>
      <c r="E38" s="1119">
        <f t="shared" si="3"/>
        <v>0</v>
      </c>
      <c r="F38" s="1119">
        <f t="shared" si="3"/>
        <v>0</v>
      </c>
      <c r="G38" s="1119">
        <f t="shared" si="3"/>
        <v>0</v>
      </c>
      <c r="H38" s="1119">
        <f t="shared" si="3"/>
        <v>0</v>
      </c>
      <c r="I38" s="1012"/>
    </row>
    <row r="39" ht="12" customHeight="1">
      <c r="I39" s="1012"/>
    </row>
    <row r="40" spans="2:12" ht="12" customHeight="1">
      <c r="B40" s="1012"/>
      <c r="C40" s="1012"/>
      <c r="D40" s="1012"/>
      <c r="E40" s="1012"/>
      <c r="F40" s="1012"/>
      <c r="G40" s="1012"/>
      <c r="H40" s="1012"/>
      <c r="I40" s="1019"/>
      <c r="J40" s="1019"/>
      <c r="K40" s="1019"/>
      <c r="L40" s="1012"/>
    </row>
    <row r="41" spans="1:12" ht="12" customHeight="1">
      <c r="A41" s="988">
        <f>A38+1</f>
        <v>1531</v>
      </c>
      <c r="B41" s="1034" t="s">
        <v>455</v>
      </c>
      <c r="C41" s="980"/>
      <c r="D41" s="980"/>
      <c r="E41" s="980"/>
      <c r="F41" s="980"/>
      <c r="G41" s="980"/>
      <c r="H41" s="433"/>
      <c r="I41" s="1012"/>
      <c r="J41" s="1012"/>
      <c r="K41" s="1012"/>
      <c r="L41" s="1012"/>
    </row>
    <row r="42" spans="1:12" ht="12" customHeight="1">
      <c r="A42" s="988">
        <f>A41+1</f>
        <v>1532</v>
      </c>
      <c r="B42" s="1035" t="s">
        <v>456</v>
      </c>
      <c r="C42" s="1036"/>
      <c r="D42" s="1036"/>
      <c r="E42" s="1036"/>
      <c r="F42" s="1036"/>
      <c r="G42" s="1036"/>
      <c r="H42" s="433"/>
      <c r="J42" s="560"/>
      <c r="K42" s="1012"/>
      <c r="L42" s="1012"/>
    </row>
    <row r="43" spans="1:12" ht="12" customHeight="1">
      <c r="A43" s="1313" t="s">
        <v>457</v>
      </c>
      <c r="C43" s="1072"/>
      <c r="D43" s="1072"/>
      <c r="E43" s="1072"/>
      <c r="F43" s="1072"/>
      <c r="G43" s="1072"/>
      <c r="H43" s="560"/>
      <c r="J43" s="560"/>
      <c r="K43" s="1012"/>
      <c r="L43" s="1012"/>
    </row>
    <row r="44" spans="1:12" ht="12" customHeight="1">
      <c r="A44" s="1019" t="s">
        <v>13</v>
      </c>
      <c r="C44" s="560"/>
      <c r="D44" s="560"/>
      <c r="E44" s="560"/>
      <c r="F44" s="560"/>
      <c r="G44" s="560"/>
      <c r="H44" s="560"/>
      <c r="J44" s="560"/>
      <c r="K44" s="1012"/>
      <c r="L44" s="1012"/>
    </row>
    <row r="45" spans="1:12" ht="12" customHeight="1">
      <c r="A45" s="1012" t="s">
        <v>207</v>
      </c>
      <c r="C45" s="560"/>
      <c r="D45" s="560"/>
      <c r="E45" s="560"/>
      <c r="F45" s="560"/>
      <c r="G45" s="560"/>
      <c r="H45" s="560"/>
      <c r="J45" s="560"/>
      <c r="K45" s="1012"/>
      <c r="L45" s="1012"/>
    </row>
    <row r="46" spans="1:12" ht="12" customHeight="1">
      <c r="A46" s="560"/>
      <c r="B46" s="1028"/>
      <c r="C46" s="560"/>
      <c r="D46" s="560"/>
      <c r="E46" s="560"/>
      <c r="F46" s="560"/>
      <c r="G46" s="560"/>
      <c r="H46" s="560"/>
      <c r="I46" s="560"/>
      <c r="J46" s="560"/>
      <c r="K46" s="1012"/>
      <c r="L46" s="1012"/>
    </row>
    <row r="47" spans="1:12" ht="12" customHeight="1">
      <c r="A47" s="560"/>
      <c r="B47" s="786"/>
      <c r="C47" s="912"/>
      <c r="D47" s="458"/>
      <c r="E47" s="458"/>
      <c r="F47" s="558"/>
      <c r="G47" s="1018"/>
      <c r="H47" s="458"/>
      <c r="I47" s="560"/>
      <c r="J47" s="560"/>
      <c r="K47" s="1012"/>
      <c r="L47" s="1012"/>
    </row>
    <row r="48" spans="1:11" ht="12" customHeight="1">
      <c r="A48" s="1055" t="str">
        <f>CONCATENATE("Nacalculatieformulier ",Voorblad!D3)</f>
        <v>Nacalculatieformulier 2005</v>
      </c>
      <c r="B48" s="911"/>
      <c r="C48" s="842"/>
      <c r="D48" s="593"/>
      <c r="E48" s="593"/>
      <c r="F48" s="593"/>
      <c r="G48" s="593"/>
      <c r="H48" s="592">
        <f>'Prod.1.6'!H2+1</f>
        <v>16</v>
      </c>
      <c r="I48" s="458"/>
      <c r="J48" s="454"/>
      <c r="K48" s="454"/>
    </row>
    <row r="49" spans="1:10" ht="12" customHeight="1">
      <c r="A49" s="937"/>
      <c r="B49" s="836"/>
      <c r="C49" s="797"/>
      <c r="D49" s="91"/>
      <c r="E49" s="91"/>
      <c r="F49" s="91"/>
      <c r="G49" s="91"/>
      <c r="H49" s="938"/>
      <c r="J49" s="91"/>
    </row>
    <row r="50" spans="1:11" ht="12" customHeight="1">
      <c r="A50" s="560"/>
      <c r="B50" s="786"/>
      <c r="C50" s="937"/>
      <c r="D50" s="91"/>
      <c r="E50" s="91"/>
      <c r="F50" s="91"/>
      <c r="G50" s="91"/>
      <c r="H50" s="91"/>
      <c r="I50" s="836"/>
      <c r="J50" s="91"/>
      <c r="K50" s="589"/>
    </row>
    <row r="51" spans="1:11" ht="15.75" customHeight="1">
      <c r="A51" s="849" t="s">
        <v>213</v>
      </c>
      <c r="B51" s="849" t="s">
        <v>546</v>
      </c>
      <c r="C51" s="964"/>
      <c r="D51" s="964"/>
      <c r="E51" s="964"/>
      <c r="F51" s="964"/>
      <c r="G51" s="964"/>
      <c r="H51" s="964"/>
      <c r="I51" s="938"/>
      <c r="J51" s="91"/>
      <c r="K51" s="91"/>
    </row>
    <row r="52" spans="1:11" ht="12" customHeight="1">
      <c r="A52" s="560"/>
      <c r="B52" s="899"/>
      <c r="C52" s="1007"/>
      <c r="D52" s="1007"/>
      <c r="E52" s="560"/>
      <c r="F52" s="560"/>
      <c r="G52" s="988" t="s">
        <v>208</v>
      </c>
      <c r="H52" s="988" t="s">
        <v>209</v>
      </c>
      <c r="I52" s="964"/>
      <c r="J52" s="560"/>
      <c r="K52" s="560"/>
    </row>
    <row r="53" spans="1:10" ht="12" customHeight="1">
      <c r="A53" s="988">
        <f>(100*H48)+1</f>
        <v>1601</v>
      </c>
      <c r="B53" s="1013" t="s">
        <v>547</v>
      </c>
      <c r="C53" s="1014"/>
      <c r="D53" s="1518"/>
      <c r="E53" s="1518"/>
      <c r="F53" s="1519"/>
      <c r="G53" s="1118"/>
      <c r="H53" s="1168"/>
      <c r="I53" s="1246"/>
      <c r="J53" s="560"/>
    </row>
    <row r="54" spans="1:10" ht="12" customHeight="1">
      <c r="A54" s="988">
        <f>A53+1</f>
        <v>1602</v>
      </c>
      <c r="B54" s="1008" t="str">
        <f>CONCATENATE("Aantal agio´s ingestroomd na 1-1-2001 (instroom 2001 t/m",Voorblad!$D$3,")")</f>
        <v>Aantal agio´s ingestroomd na 1-1-2001 (instroom 2001 t/m2005)</v>
      </c>
      <c r="C54" s="1015"/>
      <c r="D54" s="1015"/>
      <c r="E54" s="1514"/>
      <c r="F54" s="1515"/>
      <c r="G54" s="1118"/>
      <c r="H54" s="1168"/>
      <c r="I54" s="1246"/>
      <c r="J54" s="560"/>
    </row>
    <row r="55" spans="1:10" ht="12" customHeight="1">
      <c r="A55" s="988">
        <f>A54+1</f>
        <v>1603</v>
      </c>
      <c r="B55" s="1008" t="str">
        <f>CONCATENATE("Aantal agio´s uitgestroomd na 1-1-2001 (instroom 2001 t/m",Voorblad!$D$3,")")</f>
        <v>Aantal agio´s uitgestroomd na 1-1-2001 (instroom 2001 t/m2005)</v>
      </c>
      <c r="C55" s="1015"/>
      <c r="D55" s="1015"/>
      <c r="E55" s="1514"/>
      <c r="F55" s="1515"/>
      <c r="G55" s="1118"/>
      <c r="H55" s="1168"/>
      <c r="I55" s="1247"/>
      <c r="J55" s="560"/>
    </row>
    <row r="56" spans="1:10" ht="12.75">
      <c r="A56" s="988">
        <f>A55+1</f>
        <v>1604</v>
      </c>
      <c r="B56" s="1016" t="str">
        <f>CONCATENATE("Aantal agio´s ultimo ",Voorblad!D3)</f>
        <v>Aantal agio´s ultimo 2005</v>
      </c>
      <c r="C56" s="1017"/>
      <c r="D56" s="1017"/>
      <c r="E56" s="1516"/>
      <c r="F56" s="1517"/>
      <c r="G56" s="1120">
        <f>G53+G54-G55</f>
        <v>0</v>
      </c>
      <c r="H56" s="1121">
        <f>H53+H54-H55</f>
        <v>0</v>
      </c>
      <c r="I56" s="1246"/>
      <c r="J56" s="560"/>
    </row>
    <row r="57" spans="1:10" ht="12.75">
      <c r="A57" s="988">
        <f>A56+1</f>
        <v>1605</v>
      </c>
      <c r="B57" s="1015" t="str">
        <f>CONCATENATE("Aantal overeengekomen agio´s ultimo ",Voorblad!$D$3)</f>
        <v>Aantal overeengekomen agio´s ultimo 2005</v>
      </c>
      <c r="C57" s="1015"/>
      <c r="D57" s="1015"/>
      <c r="E57" s="1015"/>
      <c r="F57" s="1015"/>
      <c r="G57" s="1118"/>
      <c r="H57" s="1168"/>
      <c r="I57" s="1248"/>
      <c r="J57" s="560"/>
    </row>
    <row r="58" spans="1:10" ht="12.75">
      <c r="A58" s="988">
        <f>+A57+1</f>
        <v>1606</v>
      </c>
      <c r="B58" s="1015" t="str">
        <f>CONCATENATE("Opgenomen in rekenstaat ",Voorblad!$D$3)</f>
        <v>Opgenomen in rekenstaat 2005</v>
      </c>
      <c r="C58" s="1015"/>
      <c r="D58" s="1015"/>
      <c r="E58" s="1015"/>
      <c r="F58" s="1015"/>
      <c r="G58" s="1168"/>
      <c r="H58" s="1168"/>
      <c r="I58" s="1138"/>
      <c r="J58" s="560"/>
    </row>
    <row r="59" spans="9:10" ht="12.75">
      <c r="I59" s="560"/>
      <c r="J59" s="560"/>
    </row>
    <row r="60" spans="1:10" ht="12.75">
      <c r="A60" s="988">
        <f>+A58+1</f>
        <v>1607</v>
      </c>
      <c r="B60" s="1354" t="s">
        <v>823</v>
      </c>
      <c r="C60" s="1355"/>
      <c r="D60" s="1355"/>
      <c r="E60" s="1356"/>
      <c r="F60" s="1356"/>
      <c r="G60" s="1149">
        <f>ROUND(G58*60279*1.0092,0)</f>
        <v>0</v>
      </c>
      <c r="H60" s="1149">
        <f>IF(H58&gt;H53,(H58-H53)*60279*1.0092+(H53)*42195*1.0092,H58*42195*1.0092)</f>
        <v>0</v>
      </c>
      <c r="I60" s="560"/>
      <c r="J60" s="560"/>
    </row>
    <row r="61" spans="1:10" ht="12.75">
      <c r="A61" s="988">
        <f>+A60+1</f>
        <v>1608</v>
      </c>
      <c r="B61" s="1354" t="s">
        <v>389</v>
      </c>
      <c r="C61" s="1355"/>
      <c r="D61" s="1355"/>
      <c r="E61" s="1356"/>
      <c r="F61" s="1356"/>
      <c r="G61" s="1149">
        <f>ROUND(G57*60279*1.0092,0)</f>
        <v>0</v>
      </c>
      <c r="H61" s="1149">
        <f>IF(H57&gt;H53,(H57-H53)*60279*1.0092+H53*42195*1.0092,H57*42195*1.0092)</f>
        <v>0</v>
      </c>
      <c r="I61" s="560"/>
      <c r="J61" s="560"/>
    </row>
    <row r="62" spans="1:10" ht="12.75">
      <c r="A62" s="988">
        <f>+A61+1</f>
        <v>1609</v>
      </c>
      <c r="B62" s="1357" t="str">
        <f>CONCATENATE("Budgetmutatie (",A61," - ",A60,")")</f>
        <v>Budgetmutatie (1608 - 1607)</v>
      </c>
      <c r="C62" s="1169"/>
      <c r="D62" s="1169"/>
      <c r="E62" s="1164"/>
      <c r="F62" s="1164"/>
      <c r="G62" s="1149">
        <f>ROUND(G59*60279*1.0092,0)</f>
        <v>0</v>
      </c>
      <c r="H62" s="1149">
        <f>IF(H$57&lt;=H$56,IF(H$57&gt;H$53,IF(H$58&gt;H$53,(H$57-H$58)*60279*1.0092,(H$57-H$53)*60279*1.0092+(H$53-H$58)*42195*1.0092),IF(H$58&gt;H$53,(H$57-H$53)*42195*1.0092+(H$53-H$58)*60279*1.0092,(H$57-H$58)*42195*1.0092)),0)</f>
        <v>0</v>
      </c>
      <c r="I62" s="560"/>
      <c r="J62" s="560"/>
    </row>
    <row r="63" spans="1:11" ht="12.75" customHeight="1">
      <c r="A63" s="560"/>
      <c r="B63" s="560"/>
      <c r="C63" s="560"/>
      <c r="D63" s="560"/>
      <c r="E63" s="560"/>
      <c r="F63" s="560"/>
      <c r="G63" s="560"/>
      <c r="H63" s="560"/>
      <c r="I63" s="560"/>
      <c r="J63" s="836"/>
      <c r="K63" s="560"/>
    </row>
    <row r="64" spans="1:11" ht="15" customHeight="1">
      <c r="A64" s="849" t="s">
        <v>214</v>
      </c>
      <c r="B64" s="849" t="str">
        <f>CONCATENATE("Gerealiseerde extra opleidingsplaatsen ",Voorblad!D3)</f>
        <v>Gerealiseerde extra opleidingsplaatsen 2005</v>
      </c>
      <c r="C64" s="560"/>
      <c r="D64" s="1150"/>
      <c r="E64" s="560"/>
      <c r="F64" s="560"/>
      <c r="G64" s="560"/>
      <c r="H64" s="560"/>
      <c r="I64" s="560"/>
      <c r="J64" s="560"/>
      <c r="K64" s="560"/>
    </row>
    <row r="65" spans="1:11" ht="15" customHeight="1">
      <c r="A65" s="560"/>
      <c r="B65" s="560"/>
      <c r="C65" s="560"/>
      <c r="D65" s="922" t="s">
        <v>507</v>
      </c>
      <c r="E65" s="922" t="str">
        <f>CONCATENATE("1 okt.",Voorblad!D3)</f>
        <v>1 okt.2005</v>
      </c>
      <c r="F65" s="922" t="s">
        <v>211</v>
      </c>
      <c r="G65" s="922" t="s">
        <v>210</v>
      </c>
      <c r="H65" s="922" t="s">
        <v>389</v>
      </c>
      <c r="I65" s="560"/>
      <c r="J65" s="836"/>
      <c r="K65" s="560"/>
    </row>
    <row r="66" spans="1:11" ht="15" customHeight="1">
      <c r="A66" s="560"/>
      <c r="B66" s="560"/>
      <c r="C66" s="560"/>
      <c r="D66" s="1033"/>
      <c r="E66" s="1033"/>
      <c r="F66" s="1033"/>
      <c r="G66" s="1033"/>
      <c r="H66" s="1033"/>
      <c r="I66" s="560"/>
      <c r="J66" s="836"/>
      <c r="K66" s="560"/>
    </row>
    <row r="67" spans="1:13" ht="15" customHeight="1">
      <c r="A67" s="988">
        <f>+A62+1</f>
        <v>1610</v>
      </c>
      <c r="B67" s="910" t="s">
        <v>548</v>
      </c>
      <c r="C67" s="1021"/>
      <c r="D67" s="1122"/>
      <c r="E67" s="1122"/>
      <c r="F67" s="1123">
        <f aca="true" t="shared" si="4" ref="F67:F72">E67-D67</f>
        <v>0</v>
      </c>
      <c r="G67" s="1173">
        <f>ROUND(23788*1.0092,0)</f>
        <v>24007</v>
      </c>
      <c r="H67" s="1135">
        <f aca="true" t="shared" si="5" ref="H67:H72">IF(F67*G67&gt;0,F67*G67,0)</f>
        <v>0</v>
      </c>
      <c r="I67" s="985"/>
      <c r="J67" s="560"/>
      <c r="M67" s="1132"/>
    </row>
    <row r="68" spans="1:10" ht="15" customHeight="1">
      <c r="A68" s="988">
        <f aca="true" t="shared" si="6" ref="A68:A74">A67+1</f>
        <v>1611</v>
      </c>
      <c r="B68" s="910" t="s">
        <v>549</v>
      </c>
      <c r="C68" s="1021"/>
      <c r="D68" s="1122"/>
      <c r="E68" s="1122"/>
      <c r="F68" s="1123">
        <f t="shared" si="4"/>
        <v>0</v>
      </c>
      <c r="G68" s="1173">
        <f>ROUND(23788*1.0092,0)</f>
        <v>24007</v>
      </c>
      <c r="H68" s="1135">
        <f t="shared" si="5"/>
        <v>0</v>
      </c>
      <c r="I68" s="985"/>
      <c r="J68" s="560"/>
    </row>
    <row r="69" spans="1:10" ht="15" customHeight="1">
      <c r="A69" s="988">
        <f t="shared" si="6"/>
        <v>1612</v>
      </c>
      <c r="B69" s="910" t="s">
        <v>550</v>
      </c>
      <c r="C69" s="1021"/>
      <c r="D69" s="1122"/>
      <c r="E69" s="1122"/>
      <c r="F69" s="1123">
        <f t="shared" si="4"/>
        <v>0</v>
      </c>
      <c r="G69" s="1173">
        <f>ROUND(36631*1.0092,0)</f>
        <v>36968</v>
      </c>
      <c r="H69" s="1135">
        <f t="shared" si="5"/>
        <v>0</v>
      </c>
      <c r="I69" s="985"/>
      <c r="J69" s="560"/>
    </row>
    <row r="70" spans="1:10" ht="15" customHeight="1">
      <c r="A70" s="988">
        <f t="shared" si="6"/>
        <v>1613</v>
      </c>
      <c r="B70" s="910" t="s">
        <v>551</v>
      </c>
      <c r="C70" s="1021"/>
      <c r="D70" s="1122"/>
      <c r="E70" s="1122"/>
      <c r="F70" s="1123">
        <f t="shared" si="4"/>
        <v>0</v>
      </c>
      <c r="G70" s="1173">
        <f>ROUND(36631*1.0092,0)</f>
        <v>36968</v>
      </c>
      <c r="H70" s="1135">
        <f t="shared" si="5"/>
        <v>0</v>
      </c>
      <c r="I70" s="985"/>
      <c r="J70" s="560"/>
    </row>
    <row r="71" spans="1:10" ht="15" customHeight="1">
      <c r="A71" s="988">
        <f t="shared" si="6"/>
        <v>1614</v>
      </c>
      <c r="B71" s="910" t="s">
        <v>552</v>
      </c>
      <c r="C71" s="1021"/>
      <c r="D71" s="1122"/>
      <c r="E71" s="1122"/>
      <c r="F71" s="1123">
        <f t="shared" si="4"/>
        <v>0</v>
      </c>
      <c r="G71" s="1173">
        <f>ROUND(23788*1.0092,0)</f>
        <v>24007</v>
      </c>
      <c r="H71" s="1135">
        <f t="shared" si="5"/>
        <v>0</v>
      </c>
      <c r="I71" s="985"/>
      <c r="J71" s="560"/>
    </row>
    <row r="72" spans="1:10" ht="12.75">
      <c r="A72" s="988">
        <f t="shared" si="6"/>
        <v>1615</v>
      </c>
      <c r="B72" s="910" t="s">
        <v>508</v>
      </c>
      <c r="C72" s="1109"/>
      <c r="D72" s="1122"/>
      <c r="E72" s="1122"/>
      <c r="F72" s="1123">
        <f t="shared" si="4"/>
        <v>0</v>
      </c>
      <c r="G72" s="1173">
        <f>ROUND(23788*1.0092,0)</f>
        <v>24007</v>
      </c>
      <c r="H72" s="1135">
        <f t="shared" si="5"/>
        <v>0</v>
      </c>
      <c r="I72" s="985"/>
      <c r="J72" s="560"/>
    </row>
    <row r="73" spans="1:10" ht="12.75">
      <c r="A73" s="988">
        <f t="shared" si="6"/>
        <v>1616</v>
      </c>
      <c r="B73" s="1034" t="str">
        <f>CONCATENATE("Totaal extra opleidingsplaatsen ",Voorblad!D3)</f>
        <v>Totaal extra opleidingsplaatsen 2005</v>
      </c>
      <c r="C73" s="1330"/>
      <c r="D73" s="1330"/>
      <c r="E73" s="1330"/>
      <c r="F73" s="1330"/>
      <c r="G73" s="1331"/>
      <c r="H73" s="1340">
        <f>SUM(H67:H72)</f>
        <v>0</v>
      </c>
      <c r="I73" s="560"/>
      <c r="J73" s="560"/>
    </row>
    <row r="74" spans="1:10" ht="12.75">
      <c r="A74" s="988">
        <f t="shared" si="6"/>
        <v>1617</v>
      </c>
      <c r="B74" s="1034" t="s">
        <v>617</v>
      </c>
      <c r="C74" s="1330"/>
      <c r="D74" s="1330"/>
      <c r="E74" s="1330"/>
      <c r="F74" s="1330"/>
      <c r="G74" s="1331"/>
      <c r="H74" s="433"/>
      <c r="I74" s="560"/>
      <c r="J74" s="560"/>
    </row>
    <row r="75" spans="1:9" ht="12.75">
      <c r="A75" s="988">
        <f>A74+1</f>
        <v>1618</v>
      </c>
      <c r="B75" s="915" t="s">
        <v>598</v>
      </c>
      <c r="C75" s="990"/>
      <c r="D75" s="990"/>
      <c r="E75" s="990"/>
      <c r="F75" s="990"/>
      <c r="G75" s="991"/>
      <c r="H75" s="954">
        <f>H73-H74</f>
        <v>0</v>
      </c>
      <c r="I75" s="560"/>
    </row>
    <row r="76" spans="1:11" ht="12.75">
      <c r="A76" s="560"/>
      <c r="B76" s="560"/>
      <c r="C76" s="560"/>
      <c r="E76" s="560"/>
      <c r="F76" s="560"/>
      <c r="G76" s="560"/>
      <c r="H76" s="560"/>
      <c r="I76" s="560"/>
      <c r="J76" s="560"/>
      <c r="K76" s="560"/>
    </row>
    <row r="77" spans="1:11" ht="12.75">
      <c r="A77" s="560" t="s">
        <v>509</v>
      </c>
      <c r="B77" s="560"/>
      <c r="C77" s="560"/>
      <c r="D77" s="560"/>
      <c r="E77" s="560"/>
      <c r="F77" s="560"/>
      <c r="G77" s="560"/>
      <c r="H77" s="560"/>
      <c r="I77" s="560"/>
      <c r="J77" s="560"/>
      <c r="K77" s="560"/>
    </row>
    <row r="78" spans="1:11" ht="12.75">
      <c r="A78" s="560"/>
      <c r="B78" s="560"/>
      <c r="C78" s="560"/>
      <c r="D78" s="560"/>
      <c r="E78" s="560"/>
      <c r="F78" s="560"/>
      <c r="G78" s="560"/>
      <c r="H78" s="560"/>
      <c r="I78" s="560"/>
      <c r="J78" s="560"/>
      <c r="K78" s="560"/>
    </row>
    <row r="79" spans="9:11" ht="12.75">
      <c r="I79" s="560"/>
      <c r="J79" s="560"/>
      <c r="K79" s="560"/>
    </row>
  </sheetData>
  <sheetProtection password="CCBC" sheet="1" objects="1" scenarios="1"/>
  <mergeCells count="7">
    <mergeCell ref="E55:F55"/>
    <mergeCell ref="E56:F56"/>
    <mergeCell ref="G6:H6"/>
    <mergeCell ref="C6:D6"/>
    <mergeCell ref="E6:F6"/>
    <mergeCell ref="D53:F53"/>
    <mergeCell ref="E54:F54"/>
  </mergeCells>
  <conditionalFormatting sqref="D67:E72 H74 G57:H58 G53:H55 C9:F37 H41:H42">
    <cfRule type="expression" priority="1" dxfId="0" stopIfTrue="1">
      <formula>$G$2=TRUE</formula>
    </cfRule>
  </conditionalFormatting>
  <printOptions/>
  <pageMargins left="0.3937007874015748" right="0.3937007874015748" top="0.1968503937007874" bottom="0.1968503937007874" header="0.03937007874015748" footer="0.11811023622047245"/>
  <pageSetup horizontalDpi="600" verticalDpi="600" orientation="landscape" paperSize="9" r:id="rId2"/>
  <rowBreaks count="1" manualBreakCount="1">
    <brk id="46" max="255" man="1"/>
  </rowBreaks>
  <drawing r:id="rId1"/>
</worksheet>
</file>

<file path=xl/worksheets/sheet12.xml><?xml version="1.0" encoding="utf-8"?>
<worksheet xmlns="http://schemas.openxmlformats.org/spreadsheetml/2006/main" xmlns:r="http://schemas.openxmlformats.org/officeDocument/2006/relationships">
  <sheetPr codeName="Blad11"/>
  <dimension ref="A1:P39"/>
  <sheetViews>
    <sheetView showGridLines="0" showRowColHeaders="0" showZeros="0" showOutlineSymbols="0" view="pageBreakPreview" zoomScale="75" zoomScaleNormal="86" zoomScaleSheetLayoutView="75" workbookViewId="0" topLeftCell="A1">
      <selection activeCell="E9" sqref="E9"/>
    </sheetView>
  </sheetViews>
  <sheetFormatPr defaultColWidth="9.140625" defaultRowHeight="12.75"/>
  <cols>
    <col min="1" max="1" width="5.421875" style="457" customWidth="1"/>
    <col min="2" max="2" width="7.57421875" style="458" customWidth="1"/>
    <col min="3" max="3" width="25.57421875" style="458" customWidth="1"/>
    <col min="4" max="4" width="43.421875" style="461" customWidth="1"/>
    <col min="5" max="5" width="12.8515625" style="458" customWidth="1"/>
    <col min="6" max="6" width="9.421875" style="458" customWidth="1"/>
    <col min="7" max="7" width="5.28125" style="460" customWidth="1"/>
    <col min="8" max="8" width="33.57421875" style="457" customWidth="1"/>
    <col min="9" max="9" width="37.8515625" style="458" customWidth="1"/>
    <col min="10" max="10" width="11.8515625" style="468" customWidth="1"/>
    <col min="11" max="11" width="10.28125" style="458" customWidth="1"/>
    <col min="12" max="12" width="8.7109375" style="458" customWidth="1"/>
    <col min="13" max="13" width="12.7109375" style="458" customWidth="1"/>
    <col min="14" max="14" width="1.7109375" style="456" customWidth="1"/>
    <col min="15" max="15" width="10.7109375" style="456" customWidth="1"/>
    <col min="16" max="16" width="10.7109375" style="454" customWidth="1"/>
    <col min="17" max="21" width="10.7109375" style="456" customWidth="1"/>
    <col min="22" max="29" width="9.140625" style="456" customWidth="1"/>
    <col min="30" max="30" width="1.7109375" style="456" customWidth="1"/>
    <col min="31" max="16384" width="9.140625" style="456" customWidth="1"/>
  </cols>
  <sheetData>
    <row r="1" ht="15.75" customHeight="1">
      <c r="L1" s="468"/>
    </row>
    <row r="2" spans="1:16" s="499" customFormat="1" ht="15.75" customHeight="1">
      <c r="A2" s="1055" t="str">
        <f>CONCATENATE("Nacalculatieformulier ",Voorblad!D3)</f>
        <v>Nacalculatieformulier 2005</v>
      </c>
      <c r="B2" s="593"/>
      <c r="C2" s="593"/>
      <c r="D2" s="594"/>
      <c r="E2" s="595"/>
      <c r="F2" s="595"/>
      <c r="G2" s="596" t="b">
        <f>Voorblad!D30</f>
        <v>1</v>
      </c>
      <c r="H2" s="595"/>
      <c r="I2" s="593"/>
      <c r="J2" s="592">
        <f>'Prod.1.6'!H48+1</f>
        <v>17</v>
      </c>
      <c r="L2" s="938"/>
      <c r="P2" s="500"/>
    </row>
    <row r="3" spans="1:16" ht="12">
      <c r="A3" s="41"/>
      <c r="B3" s="42"/>
      <c r="C3" s="42"/>
      <c r="D3" s="43"/>
      <c r="E3" s="42"/>
      <c r="F3" s="42"/>
      <c r="G3" s="41"/>
      <c r="H3" s="90"/>
      <c r="I3" s="42"/>
      <c r="J3" s="90"/>
      <c r="K3" s="456"/>
      <c r="L3" s="454"/>
      <c r="M3" s="454"/>
      <c r="P3" s="456"/>
    </row>
    <row r="4" spans="1:16" ht="12.75" customHeight="1">
      <c r="A4" s="14" t="str">
        <f>CONCATENATE("RUBRIEK 2: WERKELIJKE OPBRENGSTEN ")</f>
        <v>RUBRIEK 2: WERKELIJKE OPBRENGSTEN </v>
      </c>
      <c r="B4" s="95"/>
      <c r="C4" s="95"/>
      <c r="D4" s="598"/>
      <c r="E4" s="387"/>
      <c r="F4" s="599"/>
      <c r="G4" s="95"/>
      <c r="H4" s="42"/>
      <c r="I4" s="95"/>
      <c r="J4" s="95"/>
      <c r="K4" s="95"/>
      <c r="L4" s="454"/>
      <c r="M4" s="456"/>
      <c r="P4" s="456"/>
    </row>
    <row r="5" spans="1:16" ht="12.75" customHeight="1">
      <c r="A5" s="41"/>
      <c r="B5" s="601"/>
      <c r="C5" s="601"/>
      <c r="D5" s="601"/>
      <c r="E5" s="601"/>
      <c r="F5" s="601"/>
      <c r="G5" s="601"/>
      <c r="H5" s="601"/>
      <c r="I5" s="601"/>
      <c r="J5" s="601"/>
      <c r="K5" s="456"/>
      <c r="L5" s="456"/>
      <c r="M5" s="456"/>
      <c r="P5" s="456"/>
    </row>
    <row r="6" spans="1:10" s="499" customFormat="1" ht="12.75" customHeight="1">
      <c r="A6" s="587"/>
      <c r="B6" s="602" t="s">
        <v>529</v>
      </c>
      <c r="C6" s="1526" t="s">
        <v>339</v>
      </c>
      <c r="D6" s="1527"/>
      <c r="E6" s="603" t="s">
        <v>393</v>
      </c>
      <c r="F6" s="604"/>
      <c r="G6" s="605"/>
      <c r="H6" s="1526" t="s">
        <v>339</v>
      </c>
      <c r="I6" s="1527"/>
      <c r="J6" s="603" t="s">
        <v>393</v>
      </c>
    </row>
    <row r="7" spans="1:16" ht="12.75" customHeight="1">
      <c r="A7" s="557"/>
      <c r="B7" s="557"/>
      <c r="C7" s="557"/>
      <c r="E7" s="606"/>
      <c r="F7" s="557"/>
      <c r="G7" s="557"/>
      <c r="H7" s="557"/>
      <c r="I7" s="557"/>
      <c r="J7" s="557"/>
      <c r="K7" s="456"/>
      <c r="L7" s="456"/>
      <c r="M7" s="456"/>
      <c r="P7" s="456"/>
    </row>
    <row r="8" spans="1:10" s="454" customFormat="1" ht="12.75" customHeight="1">
      <c r="A8" s="26" t="s">
        <v>579</v>
      </c>
      <c r="B8" s="1528" t="s">
        <v>792</v>
      </c>
      <c r="C8" s="1528"/>
      <c r="D8" s="1528"/>
      <c r="E8" s="453"/>
      <c r="F8" s="557"/>
      <c r="G8" s="71" t="s">
        <v>581</v>
      </c>
      <c r="H8" s="944" t="s">
        <v>599</v>
      </c>
      <c r="I8" s="944"/>
      <c r="J8" s="945"/>
    </row>
    <row r="9" spans="1:10" s="454" customFormat="1" ht="12.75" customHeight="1">
      <c r="A9" s="708">
        <f>(100*J2)+1</f>
        <v>1701</v>
      </c>
      <c r="B9" s="1523" t="s">
        <v>288</v>
      </c>
      <c r="C9" s="1524"/>
      <c r="D9" s="1525"/>
      <c r="E9" s="433"/>
      <c r="F9" s="451"/>
      <c r="G9" s="708">
        <f>A33+1</f>
        <v>1720</v>
      </c>
      <c r="H9" s="910" t="s">
        <v>158</v>
      </c>
      <c r="I9" s="1021"/>
      <c r="J9" s="433"/>
    </row>
    <row r="10" spans="1:16" ht="12.75" customHeight="1">
      <c r="A10" s="708">
        <f aca="true" t="shared" si="0" ref="A10:A16">A9+1</f>
        <v>1702</v>
      </c>
      <c r="B10" s="1523" t="s">
        <v>289</v>
      </c>
      <c r="C10" s="1524"/>
      <c r="D10" s="1525"/>
      <c r="E10" s="433"/>
      <c r="F10" s="451"/>
      <c r="G10" s="708">
        <f aca="true" t="shared" si="1" ref="G10:G15">G9+1</f>
        <v>1721</v>
      </c>
      <c r="H10" s="456" t="s">
        <v>650</v>
      </c>
      <c r="J10" s="433"/>
      <c r="L10" s="456"/>
      <c r="M10" s="456"/>
      <c r="P10" s="456"/>
    </row>
    <row r="11" spans="1:16" ht="12.75" customHeight="1">
      <c r="A11" s="708">
        <f t="shared" si="0"/>
        <v>1703</v>
      </c>
      <c r="B11" s="1523" t="s">
        <v>510</v>
      </c>
      <c r="C11" s="1524"/>
      <c r="D11" s="1525"/>
      <c r="E11" s="433"/>
      <c r="F11" s="455"/>
      <c r="G11" s="708">
        <f t="shared" si="1"/>
        <v>1722</v>
      </c>
      <c r="H11" s="910" t="s">
        <v>787</v>
      </c>
      <c r="I11" s="1021"/>
      <c r="J11" s="433"/>
      <c r="L11" s="456"/>
      <c r="M11" s="456"/>
      <c r="P11" s="456"/>
    </row>
    <row r="12" spans="1:16" ht="12.75" customHeight="1">
      <c r="A12" s="708">
        <f t="shared" si="0"/>
        <v>1704</v>
      </c>
      <c r="B12" s="1497" t="s">
        <v>291</v>
      </c>
      <c r="C12" s="1522"/>
      <c r="D12" s="1498"/>
      <c r="E12" s="433"/>
      <c r="F12" s="455"/>
      <c r="G12" s="708">
        <f t="shared" si="1"/>
        <v>1723</v>
      </c>
      <c r="H12" s="1258"/>
      <c r="I12" s="1259"/>
      <c r="J12" s="433"/>
      <c r="L12" s="456"/>
      <c r="M12" s="456"/>
      <c r="P12" s="456"/>
    </row>
    <row r="13" spans="1:16" ht="12.75" customHeight="1">
      <c r="A13" s="708">
        <f t="shared" si="0"/>
        <v>1705</v>
      </c>
      <c r="B13" s="1497" t="s">
        <v>290</v>
      </c>
      <c r="C13" s="1522"/>
      <c r="D13" s="1498"/>
      <c r="E13" s="433"/>
      <c r="F13" s="455"/>
      <c r="G13" s="708">
        <f t="shared" si="1"/>
        <v>1724</v>
      </c>
      <c r="H13" s="1258"/>
      <c r="I13" s="1259"/>
      <c r="J13" s="433"/>
      <c r="L13" s="456"/>
      <c r="M13" s="456"/>
      <c r="P13" s="456"/>
    </row>
    <row r="14" spans="1:16" ht="12.75" customHeight="1">
      <c r="A14" s="708">
        <f t="shared" si="0"/>
        <v>1706</v>
      </c>
      <c r="B14" s="1497" t="s">
        <v>819</v>
      </c>
      <c r="C14" s="1522"/>
      <c r="D14" s="1498"/>
      <c r="E14" s="433"/>
      <c r="F14" s="455"/>
      <c r="G14" s="708">
        <f t="shared" si="1"/>
        <v>1725</v>
      </c>
      <c r="H14" s="1258"/>
      <c r="I14" s="1259"/>
      <c r="J14" s="433"/>
      <c r="L14" s="456"/>
      <c r="M14" s="454"/>
      <c r="P14" s="456"/>
    </row>
    <row r="15" spans="1:16" ht="12.75" customHeight="1">
      <c r="A15" s="708">
        <f t="shared" si="0"/>
        <v>1707</v>
      </c>
      <c r="B15" s="1497" t="s">
        <v>512</v>
      </c>
      <c r="C15" s="1522"/>
      <c r="D15" s="1498"/>
      <c r="E15" s="433"/>
      <c r="F15" s="455"/>
      <c r="G15" s="708">
        <f t="shared" si="1"/>
        <v>1726</v>
      </c>
      <c r="H15" s="1520" t="str">
        <f>CONCATENATE("Totaal overige vergoedingen (",G9," t/m ",G14,")")</f>
        <v>Totaal overige vergoedingen (1720 t/m 1725)</v>
      </c>
      <c r="I15" s="1521"/>
      <c r="J15" s="729">
        <f>SUM(J9:J14)</f>
        <v>0</v>
      </c>
      <c r="K15" s="456"/>
      <c r="L15" s="456"/>
      <c r="M15" s="454"/>
      <c r="P15" s="456"/>
    </row>
    <row r="16" spans="1:16" ht="12.75" customHeight="1">
      <c r="A16" s="708">
        <f t="shared" si="0"/>
        <v>1708</v>
      </c>
      <c r="B16" s="1250" t="str">
        <f>CONCATENATE("Subtotaal  (",A9," t/m ",A15,")")</f>
        <v>Subtotaal  (1701 t/m 1707)</v>
      </c>
      <c r="C16" s="1254"/>
      <c r="D16" s="1251"/>
      <c r="E16" s="710">
        <f>SUM(E9:E15)</f>
        <v>0</v>
      </c>
      <c r="F16" s="455"/>
      <c r="G16" s="1335"/>
      <c r="H16" s="946"/>
      <c r="I16" s="946"/>
      <c r="J16" s="945"/>
      <c r="K16" s="456"/>
      <c r="L16" s="456"/>
      <c r="M16" s="454"/>
      <c r="P16" s="456"/>
    </row>
    <row r="17" spans="6:16" ht="12.75" customHeight="1">
      <c r="F17" s="455"/>
      <c r="G17" s="708">
        <f>G15+1</f>
        <v>1727</v>
      </c>
      <c r="H17" s="1332" t="s">
        <v>511</v>
      </c>
      <c r="I17" s="1333"/>
      <c r="J17" s="1334">
        <f>0.125*J22</f>
        <v>0</v>
      </c>
      <c r="L17" s="456"/>
      <c r="M17" s="454"/>
      <c r="P17" s="456"/>
    </row>
    <row r="18" spans="1:16" ht="12.75" customHeight="1">
      <c r="A18" s="26" t="s">
        <v>580</v>
      </c>
      <c r="B18" s="1253" t="s">
        <v>15</v>
      </c>
      <c r="C18" s="1253"/>
      <c r="D18" s="1253"/>
      <c r="E18" s="453"/>
      <c r="F18" s="455"/>
      <c r="K18" s="456"/>
      <c r="L18" s="456"/>
      <c r="M18" s="454"/>
      <c r="P18" s="456"/>
    </row>
    <row r="19" spans="1:16" ht="12.75" customHeight="1">
      <c r="A19" s="708">
        <f>A16+1</f>
        <v>1709</v>
      </c>
      <c r="B19" s="1336" t="s">
        <v>513</v>
      </c>
      <c r="C19" s="1244"/>
      <c r="D19" s="1245"/>
      <c r="E19" s="433"/>
      <c r="F19" s="459"/>
      <c r="G19" s="708">
        <f>G17+1</f>
        <v>1728</v>
      </c>
      <c r="H19" s="947" t="str">
        <f>CONCATENATE("Totaal opbrengsten ",Voorblad!D3," ter dekking van het budget")</f>
        <v>Totaal opbrengsten 2005 ter dekking van het budget</v>
      </c>
      <c r="I19" s="947"/>
      <c r="J19" s="943">
        <f>E20+E27+E33+J15+J17</f>
        <v>0</v>
      </c>
      <c r="K19" s="456"/>
      <c r="L19" s="456"/>
      <c r="M19" s="454"/>
      <c r="P19" s="456"/>
    </row>
    <row r="20" spans="1:16" ht="12.75" customHeight="1">
      <c r="A20" s="708">
        <f>A19+1</f>
        <v>1710</v>
      </c>
      <c r="B20" s="1250" t="str">
        <f>CONCATENATE("Totaal DBC-A opbrengst (",A16," - ",A19,")")</f>
        <v>Totaal DBC-A opbrengst (1708 - 1709)</v>
      </c>
      <c r="C20" s="1254"/>
      <c r="D20" s="1251"/>
      <c r="E20" s="1044">
        <f>E16-E19</f>
        <v>0</v>
      </c>
      <c r="F20" s="460"/>
      <c r="K20" s="456"/>
      <c r="L20" s="456"/>
      <c r="M20" s="454"/>
      <c r="P20" s="456"/>
    </row>
    <row r="21" spans="6:16" ht="12.75" customHeight="1">
      <c r="F21" s="451"/>
      <c r="G21" s="26" t="s">
        <v>524</v>
      </c>
      <c r="H21" s="27" t="s">
        <v>795</v>
      </c>
      <c r="I21" s="452"/>
      <c r="J21" s="458"/>
      <c r="K21" s="456"/>
      <c r="L21" s="456"/>
      <c r="M21" s="454"/>
      <c r="P21" s="456"/>
    </row>
    <row r="22" spans="1:11" s="454" customFormat="1" ht="12.75" customHeight="1">
      <c r="A22" s="26" t="s">
        <v>399</v>
      </c>
      <c r="B22" s="1253" t="s">
        <v>794</v>
      </c>
      <c r="C22" s="1253"/>
      <c r="D22" s="1253"/>
      <c r="E22" s="452"/>
      <c r="F22" s="451"/>
      <c r="G22" s="708">
        <f>G19+1</f>
        <v>1729</v>
      </c>
      <c r="H22" s="910" t="s">
        <v>293</v>
      </c>
      <c r="I22" s="1021"/>
      <c r="J22" s="433"/>
      <c r="K22" s="456"/>
    </row>
    <row r="23" spans="1:11" s="454" customFormat="1" ht="12.75" customHeight="1">
      <c r="A23" s="708">
        <f>A20+1</f>
        <v>1711</v>
      </c>
      <c r="B23" s="1249">
        <v>190031</v>
      </c>
      <c r="C23" s="910" t="s">
        <v>784</v>
      </c>
      <c r="D23" s="1021"/>
      <c r="E23" s="788"/>
      <c r="F23" s="455"/>
      <c r="G23" s="708">
        <f>G22+1</f>
        <v>1730</v>
      </c>
      <c r="H23" s="910" t="s">
        <v>294</v>
      </c>
      <c r="I23" s="1021"/>
      <c r="J23" s="433"/>
      <c r="K23" s="456"/>
    </row>
    <row r="24" spans="1:16" ht="12.75" customHeight="1">
      <c r="A24" s="708">
        <f>A23+1</f>
        <v>1712</v>
      </c>
      <c r="B24" s="1249">
        <v>190032</v>
      </c>
      <c r="C24" s="910" t="s">
        <v>785</v>
      </c>
      <c r="D24" s="1021"/>
      <c r="E24" s="788"/>
      <c r="F24" s="455"/>
      <c r="G24" s="708">
        <f>G23+1</f>
        <v>1731</v>
      </c>
      <c r="H24" s="1328" t="str">
        <f>CONCATENATE("Totaal opbrengsten B-segment (",G22," t/m ",G23,")")</f>
        <v>Totaal opbrengsten B-segment (1729 t/m 1730)</v>
      </c>
      <c r="I24" s="1329"/>
      <c r="J24" s="729">
        <f>SUM(J22:J23)</f>
        <v>0</v>
      </c>
      <c r="K24" s="454"/>
      <c r="L24" s="456"/>
      <c r="M24" s="456"/>
      <c r="P24" s="456"/>
    </row>
    <row r="25" spans="1:16" ht="12.75" customHeight="1">
      <c r="A25" s="708">
        <f>A24+1</f>
        <v>1713</v>
      </c>
      <c r="B25" s="1249">
        <v>190033</v>
      </c>
      <c r="C25" s="910" t="s">
        <v>786</v>
      </c>
      <c r="D25" s="1021"/>
      <c r="E25" s="788"/>
      <c r="F25" s="455"/>
      <c r="K25" s="454"/>
      <c r="L25" s="456"/>
      <c r="M25" s="456"/>
      <c r="P25" s="456"/>
    </row>
    <row r="26" spans="1:16" ht="12.75" customHeight="1">
      <c r="A26" s="708">
        <f>A25+1</f>
        <v>1714</v>
      </c>
      <c r="B26" s="1249">
        <v>190203</v>
      </c>
      <c r="C26" s="910" t="s">
        <v>292</v>
      </c>
      <c r="D26" s="1021"/>
      <c r="E26" s="788"/>
      <c r="F26" s="455"/>
      <c r="G26" s="71" t="s">
        <v>408</v>
      </c>
      <c r="H26" s="946" t="s">
        <v>802</v>
      </c>
      <c r="I26" s="946"/>
      <c r="J26" s="945"/>
      <c r="K26" s="454"/>
      <c r="L26" s="456"/>
      <c r="M26" s="456"/>
      <c r="P26" s="456"/>
    </row>
    <row r="27" spans="1:16" ht="12.75" customHeight="1">
      <c r="A27" s="708">
        <f>A26+1</f>
        <v>1715</v>
      </c>
      <c r="B27" s="1250" t="str">
        <f>CONCATENATE("Totaal opbrengst trajecten  (",A23," t/m ",A26,")")</f>
        <v>Totaal opbrengst trajecten  (1711 t/m 1714)</v>
      </c>
      <c r="C27" s="1254"/>
      <c r="D27" s="1251"/>
      <c r="E27" s="1044">
        <f>SUM(E23:E26)</f>
        <v>0</v>
      </c>
      <c r="F27" s="455"/>
      <c r="G27" s="708">
        <f>G24+1</f>
        <v>1732</v>
      </c>
      <c r="H27" s="1252" t="s">
        <v>297</v>
      </c>
      <c r="I27" s="1257"/>
      <c r="J27" s="433"/>
      <c r="K27" s="454"/>
      <c r="L27" s="456"/>
      <c r="M27" s="454"/>
      <c r="P27" s="456"/>
    </row>
    <row r="28" spans="6:16" ht="12.75" customHeight="1">
      <c r="F28" s="452"/>
      <c r="G28" s="708">
        <f aca="true" t="shared" si="2" ref="G28:G38">G27+1</f>
        <v>1733</v>
      </c>
      <c r="H28" s="1252" t="s">
        <v>788</v>
      </c>
      <c r="I28" s="1257"/>
      <c r="J28" s="433"/>
      <c r="K28" s="456"/>
      <c r="L28" s="456"/>
      <c r="M28" s="454"/>
      <c r="P28" s="456"/>
    </row>
    <row r="29" spans="1:11" s="454" customFormat="1" ht="12.75" customHeight="1">
      <c r="A29" s="26" t="s">
        <v>403</v>
      </c>
      <c r="B29" s="27" t="s">
        <v>600</v>
      </c>
      <c r="C29" s="452"/>
      <c r="E29" s="458"/>
      <c r="F29" s="451"/>
      <c r="G29" s="708">
        <f t="shared" si="2"/>
        <v>1734</v>
      </c>
      <c r="H29" s="1252" t="s">
        <v>159</v>
      </c>
      <c r="I29" s="1257"/>
      <c r="J29" s="433"/>
      <c r="K29" s="456"/>
    </row>
    <row r="30" spans="1:11" s="454" customFormat="1" ht="12.75" customHeight="1">
      <c r="A30" s="708">
        <f>A27+1</f>
        <v>1716</v>
      </c>
      <c r="B30" s="910" t="s">
        <v>623</v>
      </c>
      <c r="C30" s="1109"/>
      <c r="D30" s="1021"/>
      <c r="E30" s="433"/>
      <c r="F30" s="451"/>
      <c r="G30" s="708">
        <f t="shared" si="2"/>
        <v>1735</v>
      </c>
      <c r="H30" s="1252" t="s">
        <v>514</v>
      </c>
      <c r="I30" s="1257"/>
      <c r="J30" s="433"/>
      <c r="K30" s="456"/>
    </row>
    <row r="31" spans="1:16" ht="12.75" customHeight="1">
      <c r="A31" s="708">
        <f>A30+1</f>
        <v>1717</v>
      </c>
      <c r="B31" s="458" t="s">
        <v>287</v>
      </c>
      <c r="C31" s="1109"/>
      <c r="D31" s="1021"/>
      <c r="E31" s="433"/>
      <c r="F31" s="455"/>
      <c r="G31" s="708">
        <f t="shared" si="2"/>
        <v>1736</v>
      </c>
      <c r="H31" s="1252" t="s">
        <v>789</v>
      </c>
      <c r="I31" s="1257"/>
      <c r="J31" s="433"/>
      <c r="K31" s="456"/>
      <c r="L31" s="456"/>
      <c r="M31" s="456"/>
      <c r="P31" s="456"/>
    </row>
    <row r="32" spans="1:16" ht="12.75" customHeight="1">
      <c r="A32" s="708">
        <f>A31+1</f>
        <v>1718</v>
      </c>
      <c r="B32" s="910" t="s">
        <v>793</v>
      </c>
      <c r="C32" s="1109"/>
      <c r="D32" s="1021"/>
      <c r="E32" s="433"/>
      <c r="F32" s="455"/>
      <c r="G32" s="708">
        <f t="shared" si="2"/>
        <v>1737</v>
      </c>
      <c r="H32" s="1252" t="s">
        <v>790</v>
      </c>
      <c r="I32" s="1257"/>
      <c r="J32" s="433"/>
      <c r="K32" s="456"/>
      <c r="L32" s="456"/>
      <c r="M32" s="456"/>
      <c r="P32" s="456"/>
    </row>
    <row r="33" spans="1:16" ht="12.75" customHeight="1">
      <c r="A33" s="708">
        <f>A32+1</f>
        <v>1719</v>
      </c>
      <c r="B33" s="1250" t="str">
        <f>CONCATENATE("Totaal overige opbrengsten  (",A30," t/m ",A32,")")</f>
        <v>Totaal overige opbrengsten  (1716 t/m 1718)</v>
      </c>
      <c r="C33" s="990"/>
      <c r="D33" s="991"/>
      <c r="E33" s="729">
        <f>SUM(E30:E32)</f>
        <v>0</v>
      </c>
      <c r="F33" s="455"/>
      <c r="G33" s="708">
        <f t="shared" si="2"/>
        <v>1738</v>
      </c>
      <c r="H33" s="1252" t="s">
        <v>791</v>
      </c>
      <c r="I33" s="1257"/>
      <c r="J33" s="433"/>
      <c r="K33" s="456"/>
      <c r="L33" s="456"/>
      <c r="M33" s="456"/>
      <c r="P33" s="456"/>
    </row>
    <row r="34" spans="6:16" ht="12.75" customHeight="1">
      <c r="F34" s="942"/>
      <c r="G34" s="708">
        <f t="shared" si="2"/>
        <v>1739</v>
      </c>
      <c r="H34" s="1252" t="s">
        <v>651</v>
      </c>
      <c r="I34" s="1257"/>
      <c r="J34" s="433"/>
      <c r="K34" s="456"/>
      <c r="L34" s="456"/>
      <c r="M34" s="456"/>
      <c r="P34" s="456"/>
    </row>
    <row r="35" spans="7:16" ht="12.75" customHeight="1">
      <c r="G35" s="708">
        <f t="shared" si="2"/>
        <v>1740</v>
      </c>
      <c r="H35" s="1252" t="s">
        <v>295</v>
      </c>
      <c r="I35" s="1257"/>
      <c r="J35" s="433"/>
      <c r="K35" s="456"/>
      <c r="L35" s="456"/>
      <c r="M35" s="454"/>
      <c r="P35" s="456"/>
    </row>
    <row r="36" spans="7:16" ht="12.75">
      <c r="G36" s="708">
        <f t="shared" si="2"/>
        <v>1741</v>
      </c>
      <c r="H36" s="1252" t="s">
        <v>296</v>
      </c>
      <c r="I36" s="1257"/>
      <c r="J36" s="433"/>
      <c r="K36" s="797"/>
      <c r="L36" s="456"/>
      <c r="M36" s="454"/>
      <c r="P36" s="456"/>
    </row>
    <row r="37" spans="7:10" ht="12">
      <c r="G37" s="708">
        <f t="shared" si="2"/>
        <v>1742</v>
      </c>
      <c r="H37" s="1252" t="s">
        <v>600</v>
      </c>
      <c r="I37" s="1257"/>
      <c r="J37" s="433"/>
    </row>
    <row r="38" spans="7:10" ht="12.75" customHeight="1">
      <c r="G38" s="708">
        <f t="shared" si="2"/>
        <v>1743</v>
      </c>
      <c r="H38" s="1328" t="str">
        <f>CONCATENATE("Totaal aanvullende inkomsten ",Voorblad!D3," (",G27," t/m ",G37,")")</f>
        <v>Totaal aanvullende inkomsten 2005 (1732 t/m 1742)</v>
      </c>
      <c r="I38" s="1329"/>
      <c r="J38" s="710">
        <f>SUM(J27:J37)</f>
        <v>0</v>
      </c>
    </row>
    <row r="39" ht="12.75" customHeight="1">
      <c r="A39" s="1311" t="s">
        <v>811</v>
      </c>
    </row>
    <row r="40" ht="12.75" customHeight="1"/>
    <row r="41" ht="12.75" customHeight="1"/>
  </sheetData>
  <sheetProtection password="CCBC" sheet="1" objects="1" scenarios="1"/>
  <mergeCells count="11">
    <mergeCell ref="H6:I6"/>
    <mergeCell ref="C6:D6"/>
    <mergeCell ref="B9:D9"/>
    <mergeCell ref="B10:D10"/>
    <mergeCell ref="B8:D8"/>
    <mergeCell ref="H15:I15"/>
    <mergeCell ref="B12:D12"/>
    <mergeCell ref="B11:D11"/>
    <mergeCell ref="B15:D15"/>
    <mergeCell ref="B13:D13"/>
    <mergeCell ref="B14:D14"/>
  </mergeCells>
  <conditionalFormatting sqref="E30:E32 E23:E26 E19 J22:J23 H12:I14 E9:E15 J9:J14 J27:J37">
    <cfRule type="expression" priority="1" dxfId="0" stopIfTrue="1">
      <formula>$G$2=TRUE</formula>
    </cfRule>
  </conditionalFormatting>
  <printOptions/>
  <pageMargins left="0.3937007874015748" right="0.3937007874015748" top="0.3937007874015748" bottom="0.3937007874015748" header="0.6299212598425197" footer="0.11811023622047245"/>
  <pageSetup horizontalDpi="300" verticalDpi="300" orientation="landscape" paperSize="9" scale="72" r:id="rId2"/>
  <headerFooter alignWithMargins="0">
    <oddHeader xml:space="preserve">&amp;R&amp;9 </oddHeader>
  </headerFooter>
  <drawing r:id="rId1"/>
</worksheet>
</file>

<file path=xl/worksheets/sheet13.xml><?xml version="1.0" encoding="utf-8"?>
<worksheet xmlns="http://schemas.openxmlformats.org/spreadsheetml/2006/main" xmlns:r="http://schemas.openxmlformats.org/officeDocument/2006/relationships">
  <sheetPr codeName="Blad12"/>
  <dimension ref="A1:K23"/>
  <sheetViews>
    <sheetView showGridLines="0" showZeros="0" showOutlineSymbols="0" view="pageBreakPreview" zoomScale="75" zoomScaleNormal="86" zoomScaleSheetLayoutView="75" workbookViewId="0" topLeftCell="A1">
      <selection activeCell="D12" sqref="D12"/>
    </sheetView>
  </sheetViews>
  <sheetFormatPr defaultColWidth="9.140625" defaultRowHeight="12.75"/>
  <cols>
    <col min="1" max="1" width="6.8515625" style="560" customWidth="1"/>
    <col min="2" max="2" width="37.7109375" style="560" customWidth="1"/>
    <col min="3" max="3" width="15.421875" style="560" bestFit="1" customWidth="1"/>
    <col min="4" max="4" width="17.57421875" style="560" bestFit="1" customWidth="1"/>
    <col min="5" max="5" width="15.8515625" style="560" bestFit="1" customWidth="1"/>
    <col min="6" max="7" width="17.00390625" style="560" bestFit="1" customWidth="1"/>
    <col min="8" max="8" width="13.7109375" style="560" customWidth="1"/>
    <col min="9" max="9" width="7.8515625" style="560" customWidth="1"/>
    <col min="10" max="16384" width="9.140625" style="560" customWidth="1"/>
  </cols>
  <sheetData>
    <row r="1" spans="1:11" s="456" customFormat="1" ht="15.75" customHeight="1">
      <c r="A1" s="457"/>
      <c r="B1" s="458"/>
      <c r="C1" s="461"/>
      <c r="D1" s="458"/>
      <c r="E1" s="458"/>
      <c r="F1" s="460"/>
      <c r="G1" s="457"/>
      <c r="H1" s="458"/>
      <c r="I1" s="468"/>
      <c r="K1" s="454"/>
    </row>
    <row r="2" spans="1:11" s="499" customFormat="1" ht="15.75" customHeight="1">
      <c r="A2" s="1055" t="str">
        <f>CONCATENATE("Nacalculatieformulier ",Voorblad!D3)</f>
        <v>Nacalculatieformulier 2005</v>
      </c>
      <c r="B2" s="593"/>
      <c r="C2" s="594"/>
      <c r="D2" s="595"/>
      <c r="E2" s="595"/>
      <c r="F2" s="596" t="b">
        <f>Voorblad!D30</f>
        <v>1</v>
      </c>
      <c r="G2" s="595"/>
      <c r="H2" s="592">
        <f>Opbrengsten!J2+1</f>
        <v>18</v>
      </c>
      <c r="I2" s="588"/>
      <c r="K2" s="500"/>
    </row>
    <row r="3" spans="1:11" s="456" customFormat="1" ht="12.75" customHeight="1">
      <c r="A3" s="41"/>
      <c r="B3" s="42"/>
      <c r="C3" s="43"/>
      <c r="D3" s="42"/>
      <c r="E3" s="42"/>
      <c r="F3" s="45"/>
      <c r="G3" s="41"/>
      <c r="H3" s="42"/>
      <c r="I3" s="90"/>
      <c r="J3" s="567"/>
      <c r="K3" s="454"/>
    </row>
    <row r="4" spans="1:10" s="456" customFormat="1" ht="12.75" customHeight="1">
      <c r="A4" s="14" t="s">
        <v>582</v>
      </c>
      <c r="B4" s="95"/>
      <c r="C4" s="598"/>
      <c r="D4" s="95"/>
      <c r="E4" s="95"/>
      <c r="F4" s="33"/>
      <c r="G4" s="14"/>
      <c r="H4" s="600"/>
      <c r="I4" s="95"/>
      <c r="J4" s="567"/>
    </row>
    <row r="5" ht="12">
      <c r="A5" s="849"/>
    </row>
    <row r="6" spans="1:2" ht="12">
      <c r="A6" s="849" t="s">
        <v>534</v>
      </c>
      <c r="B6" s="849" t="s">
        <v>803</v>
      </c>
    </row>
    <row r="8" spans="3:7" ht="12">
      <c r="C8" s="1005" t="s">
        <v>652</v>
      </c>
      <c r="D8" s="929" t="s">
        <v>415</v>
      </c>
      <c r="E8" s="875" t="s">
        <v>376</v>
      </c>
      <c r="F8" s="875" t="s">
        <v>106</v>
      </c>
      <c r="G8" s="1005" t="s">
        <v>807</v>
      </c>
    </row>
    <row r="9" spans="3:7" ht="12">
      <c r="C9" s="1062" t="s">
        <v>806</v>
      </c>
      <c r="D9" s="932">
        <f>Voorblad!D3-1</f>
        <v>2004</v>
      </c>
      <c r="E9" s="933" t="s">
        <v>378</v>
      </c>
      <c r="F9" s="933" t="s">
        <v>653</v>
      </c>
      <c r="G9" s="933">
        <f>E10</f>
        <v>2005</v>
      </c>
    </row>
    <row r="10" spans="3:7" ht="12">
      <c r="C10" s="1101"/>
      <c r="D10" s="936" t="s">
        <v>88</v>
      </c>
      <c r="E10" s="896">
        <f>Voorblad!D3</f>
        <v>2005</v>
      </c>
      <c r="F10" s="896" t="str">
        <f>CONCATENATE("of vrijval ",Voorblad!D3)</f>
        <v>of vrijval 2005</v>
      </c>
      <c r="G10" s="896"/>
    </row>
    <row r="11" spans="4:7" ht="12">
      <c r="D11" s="858"/>
      <c r="E11" s="858"/>
      <c r="F11" s="858"/>
      <c r="G11" s="858"/>
    </row>
    <row r="12" spans="1:7" ht="12">
      <c r="A12" s="988">
        <f>(100*H2)+1</f>
        <v>1801</v>
      </c>
      <c r="B12" s="827" t="s">
        <v>589</v>
      </c>
      <c r="C12" s="1100">
        <v>0.025</v>
      </c>
      <c r="D12" s="433"/>
      <c r="E12" s="433"/>
      <c r="F12" s="920"/>
      <c r="G12" s="1102">
        <f aca="true" t="shared" si="0" ref="G12:G18">D12+E12-F12</f>
        <v>0</v>
      </c>
    </row>
    <row r="13" spans="1:7" ht="12">
      <c r="A13" s="988">
        <f>A12+1</f>
        <v>1802</v>
      </c>
      <c r="B13" s="827" t="s">
        <v>523</v>
      </c>
      <c r="C13" s="951">
        <v>0</v>
      </c>
      <c r="D13" s="433"/>
      <c r="E13" s="433"/>
      <c r="F13" s="920"/>
      <c r="G13" s="1102">
        <f t="shared" si="0"/>
        <v>0</v>
      </c>
    </row>
    <row r="14" spans="1:7" ht="12">
      <c r="A14" s="988">
        <f>A13+1</f>
        <v>1803</v>
      </c>
      <c r="B14" s="827" t="s">
        <v>804</v>
      </c>
      <c r="C14" s="951">
        <v>0.05</v>
      </c>
      <c r="D14" s="433"/>
      <c r="E14" s="433"/>
      <c r="F14" s="920"/>
      <c r="G14" s="1102">
        <f t="shared" si="0"/>
        <v>0</v>
      </c>
    </row>
    <row r="15" spans="1:7" ht="12">
      <c r="A15" s="988">
        <f aca="true" t="shared" si="1" ref="A15:A21">A14+1</f>
        <v>1804</v>
      </c>
      <c r="B15" s="827" t="s">
        <v>590</v>
      </c>
      <c r="C15" s="951">
        <v>0.02</v>
      </c>
      <c r="D15" s="433"/>
      <c r="E15" s="433"/>
      <c r="F15" s="920"/>
      <c r="G15" s="1102">
        <f t="shared" si="0"/>
        <v>0</v>
      </c>
    </row>
    <row r="16" spans="1:7" ht="12">
      <c r="A16" s="988">
        <f t="shared" si="1"/>
        <v>1805</v>
      </c>
      <c r="B16" s="827" t="s">
        <v>805</v>
      </c>
      <c r="C16" s="952">
        <v>0.05</v>
      </c>
      <c r="D16" s="433"/>
      <c r="E16" s="433"/>
      <c r="F16" s="920"/>
      <c r="G16" s="1102">
        <f t="shared" si="0"/>
        <v>0</v>
      </c>
    </row>
    <row r="17" spans="1:7" ht="12">
      <c r="A17" s="988">
        <f t="shared" si="1"/>
        <v>1806</v>
      </c>
      <c r="B17" s="827" t="s">
        <v>342</v>
      </c>
      <c r="C17" s="952">
        <v>0.05</v>
      </c>
      <c r="D17" s="433"/>
      <c r="E17" s="433"/>
      <c r="F17" s="920"/>
      <c r="G17" s="1102">
        <f t="shared" si="0"/>
        <v>0</v>
      </c>
    </row>
    <row r="18" spans="1:7" ht="12">
      <c r="A18" s="988">
        <f t="shared" si="1"/>
        <v>1807</v>
      </c>
      <c r="B18" s="827" t="s">
        <v>591</v>
      </c>
      <c r="C18" s="829"/>
      <c r="D18" s="433"/>
      <c r="E18" s="433"/>
      <c r="F18" s="920"/>
      <c r="G18" s="1102">
        <f t="shared" si="0"/>
        <v>0</v>
      </c>
    </row>
    <row r="19" spans="1:7" s="849" customFormat="1" ht="12">
      <c r="A19" s="988">
        <f t="shared" si="1"/>
        <v>1808</v>
      </c>
      <c r="B19" s="1344" t="s">
        <v>592</v>
      </c>
      <c r="C19" s="1345"/>
      <c r="D19" s="954">
        <f>SUM(D12:D18)</f>
        <v>0</v>
      </c>
      <c r="E19" s="954">
        <f>SUM(E12:E18)</f>
        <v>0</v>
      </c>
      <c r="F19" s="954">
        <f>SUM(F12:F18)</f>
        <v>0</v>
      </c>
      <c r="G19" s="954">
        <f>SUM(G12:G18)</f>
        <v>0</v>
      </c>
    </row>
    <row r="20" spans="1:7" ht="12">
      <c r="A20" s="988">
        <f t="shared" si="1"/>
        <v>1809</v>
      </c>
      <c r="B20" s="827" t="s">
        <v>593</v>
      </c>
      <c r="C20" s="829"/>
      <c r="D20" s="433"/>
      <c r="E20" s="433"/>
      <c r="F20" s="920"/>
      <c r="G20" s="1102">
        <f>D20+E20-F20</f>
        <v>0</v>
      </c>
    </row>
    <row r="21" spans="1:7" s="849" customFormat="1" ht="12">
      <c r="A21" s="988">
        <f t="shared" si="1"/>
        <v>1810</v>
      </c>
      <c r="B21" s="1344" t="s">
        <v>393</v>
      </c>
      <c r="C21" s="1345"/>
      <c r="D21" s="1051">
        <f>D19+D20</f>
        <v>0</v>
      </c>
      <c r="E21" s="1051">
        <f>E19+E20</f>
        <v>0</v>
      </c>
      <c r="F21" s="1346">
        <f>F19+F20</f>
        <v>0</v>
      </c>
      <c r="G21" s="954">
        <f>G19+G20</f>
        <v>0</v>
      </c>
    </row>
    <row r="22" spans="1:7" ht="12">
      <c r="A22" s="988">
        <f>A21+1</f>
        <v>1811</v>
      </c>
      <c r="B22" s="1156" t="s">
        <v>617</v>
      </c>
      <c r="C22" s="1341"/>
      <c r="D22" s="1342"/>
      <c r="E22" s="1342"/>
      <c r="F22" s="1343"/>
      <c r="G22" s="920"/>
    </row>
    <row r="23" spans="1:7" ht="12">
      <c r="A23" s="988">
        <f>A22+1</f>
        <v>1812</v>
      </c>
      <c r="B23" s="1344" t="s">
        <v>818</v>
      </c>
      <c r="C23" s="1345"/>
      <c r="D23" s="1051"/>
      <c r="E23" s="1051"/>
      <c r="F23" s="1346"/>
      <c r="G23" s="954">
        <f>G19-G22</f>
        <v>0</v>
      </c>
    </row>
    <row r="25" s="849" customFormat="1" ht="12"/>
    <row r="27" ht="12.75" customHeight="1"/>
    <row r="30" s="870" customFormat="1" ht="12"/>
  </sheetData>
  <sheetProtection sheet="1" objects="1" scenarios="1"/>
  <conditionalFormatting sqref="D12:F18 D20:F20 G22">
    <cfRule type="expression" priority="1" dxfId="0" stopIfTrue="1">
      <formula>$F$2=TRUE</formula>
    </cfRule>
  </conditionalFormatting>
  <printOptions/>
  <pageMargins left="0.3937007874015748" right="0.3937007874015748" top="0.1968503937007874" bottom="0.1968503937007874" header="0.03937007874015748" footer="0.11811023622047245"/>
  <pageSetup horizontalDpi="1200" verticalDpi="1200" orientation="landscape" paperSize="9" scale="98" r:id="rId2"/>
  <drawing r:id="rId1"/>
</worksheet>
</file>

<file path=xl/worksheets/sheet14.xml><?xml version="1.0" encoding="utf-8"?>
<worksheet xmlns="http://schemas.openxmlformats.org/spreadsheetml/2006/main" xmlns:r="http://schemas.openxmlformats.org/officeDocument/2006/relationships">
  <sheetPr codeName="Blad13"/>
  <dimension ref="A1:O38"/>
  <sheetViews>
    <sheetView showGridLines="0" showRowColHeaders="0" showZeros="0" showOutlineSymbols="0" view="pageBreakPreview" zoomScale="75" zoomScaleNormal="86" zoomScaleSheetLayoutView="75" workbookViewId="0" topLeftCell="A1">
      <selection activeCell="B8" sqref="B8:F8"/>
    </sheetView>
  </sheetViews>
  <sheetFormatPr defaultColWidth="9.140625" defaultRowHeight="12.75"/>
  <cols>
    <col min="1" max="1" width="6.7109375" style="466" customWidth="1"/>
    <col min="2" max="2" width="15.7109375" style="458" customWidth="1"/>
    <col min="3" max="4" width="10.421875" style="458" customWidth="1"/>
    <col min="5" max="5" width="10.57421875" style="458" customWidth="1"/>
    <col min="6" max="6" width="11.28125" style="458" customWidth="1"/>
    <col min="7" max="7" width="1.1484375" style="456" customWidth="1"/>
    <col min="8" max="8" width="5.28125" style="466" customWidth="1"/>
    <col min="9" max="9" width="15.7109375" style="458" customWidth="1"/>
    <col min="10" max="10" width="11.28125" style="458" customWidth="1"/>
    <col min="11" max="12" width="10.7109375" style="458" customWidth="1"/>
    <col min="13" max="13" width="11.28125" style="458" customWidth="1"/>
    <col min="14" max="16384" width="9.140625" style="456" customWidth="1"/>
  </cols>
  <sheetData>
    <row r="1" spans="1:13" ht="15.75" customHeight="1">
      <c r="A1" s="615"/>
      <c r="B1" s="42"/>
      <c r="C1" s="42"/>
      <c r="D1" s="42"/>
      <c r="E1" s="42"/>
      <c r="F1" s="42"/>
      <c r="G1" s="567"/>
      <c r="H1" s="615"/>
      <c r="I1" s="42"/>
      <c r="J1" s="42"/>
      <c r="K1" s="42"/>
      <c r="L1" s="42"/>
      <c r="M1" s="42"/>
    </row>
    <row r="2" spans="1:13" s="499" customFormat="1" ht="15.75" customHeight="1">
      <c r="A2" s="1055" t="str">
        <f>CONCATENATE("Nacalculatieformulier ",Voorblad!D3)</f>
        <v>Nacalculatieformulier 2005</v>
      </c>
      <c r="B2" s="593"/>
      <c r="C2" s="595"/>
      <c r="D2" s="596"/>
      <c r="E2" s="596"/>
      <c r="F2" s="596"/>
      <c r="G2" s="596" t="b">
        <f>Voorblad!D30</f>
        <v>1</v>
      </c>
      <c r="H2" s="596"/>
      <c r="I2" s="596"/>
      <c r="J2" s="596">
        <f>Voorblad!I30</f>
        <v>0</v>
      </c>
      <c r="K2" s="596"/>
      <c r="L2" s="770"/>
      <c r="M2" s="592">
        <f>Afschrijvingen!H2+1</f>
        <v>19</v>
      </c>
    </row>
    <row r="3" spans="1:13" s="499" customFormat="1" ht="15.75" customHeight="1">
      <c r="A3" s="590"/>
      <c r="B3" s="91"/>
      <c r="C3" s="587"/>
      <c r="D3" s="588"/>
      <c r="E3" s="588"/>
      <c r="F3" s="588"/>
      <c r="G3" s="588"/>
      <c r="H3" s="588"/>
      <c r="I3" s="588"/>
      <c r="J3" s="588"/>
      <c r="K3" s="588"/>
      <c r="L3" s="588"/>
      <c r="M3" s="589"/>
    </row>
    <row r="4" spans="1:13" ht="12.75" customHeight="1">
      <c r="A4" s="615"/>
      <c r="B4" s="42"/>
      <c r="C4" s="42"/>
      <c r="D4" s="42"/>
      <c r="E4" s="42"/>
      <c r="F4" s="42"/>
      <c r="G4" s="567"/>
      <c r="H4" s="615"/>
      <c r="I4" s="42"/>
      <c r="J4" s="42"/>
      <c r="K4" s="42"/>
      <c r="L4" s="42"/>
      <c r="M4" s="42"/>
    </row>
    <row r="5" spans="1:13" ht="12.75" customHeight="1">
      <c r="A5" s="14" t="s">
        <v>535</v>
      </c>
      <c r="B5" s="618" t="s">
        <v>611</v>
      </c>
      <c r="C5" s="619"/>
      <c r="D5" s="42"/>
      <c r="E5" s="42"/>
      <c r="F5" s="42"/>
      <c r="G5" s="567"/>
      <c r="H5" s="615"/>
      <c r="I5" s="42"/>
      <c r="J5" s="42"/>
      <c r="K5" s="42"/>
      <c r="L5" s="42"/>
      <c r="M5" s="42"/>
    </row>
    <row r="6" spans="1:13" ht="12.75" customHeight="1">
      <c r="A6" s="14"/>
      <c r="B6" s="618"/>
      <c r="C6" s="619"/>
      <c r="D6" s="42"/>
      <c r="E6" s="42"/>
      <c r="F6" s="42"/>
      <c r="G6" s="567"/>
      <c r="H6" s="615"/>
      <c r="I6" s="42"/>
      <c r="J6" s="42"/>
      <c r="K6" s="42"/>
      <c r="L6" s="42"/>
      <c r="M6" s="42"/>
    </row>
    <row r="7" spans="1:13" ht="12.75" customHeight="1">
      <c r="A7" s="615"/>
      <c r="B7" s="1551" t="s">
        <v>559</v>
      </c>
      <c r="C7" s="1552"/>
      <c r="D7" s="1552"/>
      <c r="E7" s="1552"/>
      <c r="F7" s="1553"/>
      <c r="G7" s="567"/>
      <c r="H7" s="615"/>
      <c r="I7" s="1551" t="s">
        <v>563</v>
      </c>
      <c r="J7" s="1552"/>
      <c r="K7" s="1552"/>
      <c r="L7" s="1552"/>
      <c r="M7" s="1553"/>
    </row>
    <row r="8" spans="1:13" ht="12.75" customHeight="1">
      <c r="A8" s="711">
        <f>(100*M2)+1</f>
        <v>1901</v>
      </c>
      <c r="B8" s="1554"/>
      <c r="C8" s="1555"/>
      <c r="D8" s="1555"/>
      <c r="E8" s="1555"/>
      <c r="F8" s="1556"/>
      <c r="H8" s="708">
        <f>A36+1</f>
        <v>1921</v>
      </c>
      <c r="I8" s="1554"/>
      <c r="J8" s="1555"/>
      <c r="K8" s="1555"/>
      <c r="L8" s="1555"/>
      <c r="M8" s="1556"/>
    </row>
    <row r="9" spans="1:13" s="499" customFormat="1" ht="12.75" customHeight="1">
      <c r="A9" s="559"/>
      <c r="B9" s="1557" t="s">
        <v>558</v>
      </c>
      <c r="C9" s="1558"/>
      <c r="D9" s="620" t="s">
        <v>354</v>
      </c>
      <c r="E9" s="1539" t="s">
        <v>560</v>
      </c>
      <c r="F9" s="1540"/>
      <c r="G9" s="92"/>
      <c r="H9" s="587"/>
      <c r="I9" s="1557" t="s">
        <v>558</v>
      </c>
      <c r="J9" s="1558"/>
      <c r="K9" s="620" t="s">
        <v>354</v>
      </c>
      <c r="L9" s="1539" t="s">
        <v>560</v>
      </c>
      <c r="M9" s="1540"/>
    </row>
    <row r="10" spans="1:13" s="499" customFormat="1" ht="12.75" customHeight="1">
      <c r="A10" s="711">
        <f>A8+1</f>
        <v>1902</v>
      </c>
      <c r="B10" s="1545"/>
      <c r="C10" s="1546"/>
      <c r="D10" s="550"/>
      <c r="E10" s="1547"/>
      <c r="F10" s="1548"/>
      <c r="G10" s="560"/>
      <c r="H10" s="708">
        <f>H8+1</f>
        <v>1922</v>
      </c>
      <c r="I10" s="1545"/>
      <c r="J10" s="1546"/>
      <c r="K10" s="550"/>
      <c r="L10" s="1547"/>
      <c r="M10" s="1548"/>
    </row>
    <row r="11" spans="1:13" s="499" customFormat="1" ht="12.75" customHeight="1">
      <c r="A11" s="711">
        <f>A10+1</f>
        <v>1903</v>
      </c>
      <c r="B11" s="1549"/>
      <c r="C11" s="1550"/>
      <c r="D11" s="551"/>
      <c r="E11" s="1543"/>
      <c r="F11" s="1544"/>
      <c r="G11" s="560"/>
      <c r="H11" s="708">
        <f>H10+1</f>
        <v>1923</v>
      </c>
      <c r="I11" s="1549"/>
      <c r="J11" s="1550"/>
      <c r="K11" s="551"/>
      <c r="L11" s="1543"/>
      <c r="M11" s="1544"/>
    </row>
    <row r="12" spans="1:13" s="963" customFormat="1" ht="12.75" customHeight="1">
      <c r="A12" s="957"/>
      <c r="B12" s="958"/>
      <c r="C12" s="1541" t="s">
        <v>830</v>
      </c>
      <c r="D12" s="1542"/>
      <c r="E12" s="646" t="s">
        <v>829</v>
      </c>
      <c r="F12" s="646" t="s">
        <v>377</v>
      </c>
      <c r="G12" s="962"/>
      <c r="H12" s="957"/>
      <c r="I12" s="958"/>
      <c r="J12" s="1541" t="s">
        <v>830</v>
      </c>
      <c r="K12" s="1542"/>
      <c r="L12" s="646" t="s">
        <v>829</v>
      </c>
      <c r="M12" s="646" t="s">
        <v>377</v>
      </c>
    </row>
    <row r="13" spans="1:13" s="963" customFormat="1" ht="12.75" customHeight="1">
      <c r="A13" s="957"/>
      <c r="B13" s="960"/>
      <c r="C13" s="1537" t="s">
        <v>831</v>
      </c>
      <c r="D13" s="1538"/>
      <c r="E13" s="961" t="s">
        <v>588</v>
      </c>
      <c r="F13" s="961">
        <f>Voorblad!D3</f>
        <v>2005</v>
      </c>
      <c r="G13" s="962"/>
      <c r="H13" s="957"/>
      <c r="I13" s="960"/>
      <c r="J13" s="1537" t="s">
        <v>831</v>
      </c>
      <c r="K13" s="1538"/>
      <c r="L13" s="961" t="s">
        <v>588</v>
      </c>
      <c r="M13" s="961">
        <f>Voorblad!D3</f>
        <v>2005</v>
      </c>
    </row>
    <row r="14" spans="1:13" ht="12.75" customHeight="1">
      <c r="A14" s="708">
        <f>A11+1</f>
        <v>1904</v>
      </c>
      <c r="B14" s="827" t="s">
        <v>824</v>
      </c>
      <c r="C14" s="1535"/>
      <c r="D14" s="1536"/>
      <c r="E14" s="564"/>
      <c r="F14" s="564"/>
      <c r="H14" s="708">
        <f>H11+1</f>
        <v>1924</v>
      </c>
      <c r="I14" s="827" t="s">
        <v>824</v>
      </c>
      <c r="J14" s="1535"/>
      <c r="K14" s="1536"/>
      <c r="L14" s="564"/>
      <c r="M14" s="564"/>
    </row>
    <row r="15" spans="1:13" ht="12.75" customHeight="1">
      <c r="A15" s="708">
        <f aca="true" t="shared" si="0" ref="A15:A20">A14+1</f>
        <v>1905</v>
      </c>
      <c r="B15" s="827" t="s">
        <v>523</v>
      </c>
      <c r="C15" s="1531"/>
      <c r="D15" s="1532"/>
      <c r="E15" s="565"/>
      <c r="F15" s="565"/>
      <c r="H15" s="708">
        <f aca="true" t="shared" si="1" ref="H15:H20">H14+1</f>
        <v>1925</v>
      </c>
      <c r="I15" s="827" t="s">
        <v>523</v>
      </c>
      <c r="J15" s="1531"/>
      <c r="K15" s="1532"/>
      <c r="L15" s="565"/>
      <c r="M15" s="565"/>
    </row>
    <row r="16" spans="1:13" ht="12.75" customHeight="1">
      <c r="A16" s="708">
        <f t="shared" si="0"/>
        <v>1906</v>
      </c>
      <c r="B16" s="827" t="s">
        <v>825</v>
      </c>
      <c r="C16" s="1531"/>
      <c r="D16" s="1532"/>
      <c r="E16" s="565"/>
      <c r="F16" s="565"/>
      <c r="H16" s="708">
        <f t="shared" si="1"/>
        <v>1926</v>
      </c>
      <c r="I16" s="827" t="s">
        <v>825</v>
      </c>
      <c r="J16" s="1531"/>
      <c r="K16" s="1532"/>
      <c r="L16" s="565"/>
      <c r="M16" s="565"/>
    </row>
    <row r="17" spans="1:13" ht="12.75" customHeight="1">
      <c r="A17" s="708">
        <f t="shared" si="0"/>
        <v>1907</v>
      </c>
      <c r="B17" s="827" t="s">
        <v>590</v>
      </c>
      <c r="C17" s="1531"/>
      <c r="D17" s="1532"/>
      <c r="E17" s="565"/>
      <c r="F17" s="565"/>
      <c r="H17" s="708">
        <f t="shared" si="1"/>
        <v>1927</v>
      </c>
      <c r="I17" s="827" t="s">
        <v>590</v>
      </c>
      <c r="J17" s="1531"/>
      <c r="K17" s="1532"/>
      <c r="L17" s="565"/>
      <c r="M17" s="565"/>
    </row>
    <row r="18" spans="1:13" ht="12.75" customHeight="1">
      <c r="A18" s="708">
        <f t="shared" si="0"/>
        <v>1908</v>
      </c>
      <c r="B18" s="827" t="s">
        <v>805</v>
      </c>
      <c r="C18" s="1531"/>
      <c r="D18" s="1532"/>
      <c r="E18" s="565"/>
      <c r="F18" s="565"/>
      <c r="H18" s="708">
        <f t="shared" si="1"/>
        <v>1928</v>
      </c>
      <c r="I18" s="827" t="s">
        <v>805</v>
      </c>
      <c r="J18" s="1531"/>
      <c r="K18" s="1532"/>
      <c r="L18" s="565"/>
      <c r="M18" s="565"/>
    </row>
    <row r="19" spans="1:13" ht="12.75" customHeight="1">
      <c r="A19" s="708">
        <f t="shared" si="0"/>
        <v>1909</v>
      </c>
      <c r="B19" s="827" t="s">
        <v>342</v>
      </c>
      <c r="C19" s="1531"/>
      <c r="D19" s="1532"/>
      <c r="E19" s="565"/>
      <c r="F19" s="565"/>
      <c r="H19" s="708">
        <f t="shared" si="1"/>
        <v>1929</v>
      </c>
      <c r="I19" s="827" t="s">
        <v>342</v>
      </c>
      <c r="J19" s="1531"/>
      <c r="K19" s="1532"/>
      <c r="L19" s="565"/>
      <c r="M19" s="565"/>
    </row>
    <row r="20" spans="1:13" ht="12.75" customHeight="1">
      <c r="A20" s="708">
        <f t="shared" si="0"/>
        <v>1910</v>
      </c>
      <c r="B20" s="722" t="s">
        <v>389</v>
      </c>
      <c r="C20" s="1533">
        <f>SUM(C14:C19)</f>
        <v>0</v>
      </c>
      <c r="D20" s="1534"/>
      <c r="E20" s="723">
        <f>SUM(E14:E19)</f>
        <v>0</v>
      </c>
      <c r="F20" s="723">
        <f>SUM(F14:F19)</f>
        <v>0</v>
      </c>
      <c r="H20" s="708">
        <f t="shared" si="1"/>
        <v>1930</v>
      </c>
      <c r="I20" s="722" t="s">
        <v>389</v>
      </c>
      <c r="J20" s="1533">
        <f>SUM(J14:K19)</f>
        <v>0</v>
      </c>
      <c r="K20" s="1534"/>
      <c r="L20" s="723">
        <f>SUM(L14:L19)</f>
        <v>0</v>
      </c>
      <c r="M20" s="723">
        <f>SUM(M14:M19)</f>
        <v>0</v>
      </c>
    </row>
    <row r="21" spans="1:13" s="482" customFormat="1" ht="12.75" customHeight="1">
      <c r="A21" s="71"/>
      <c r="B21" s="739"/>
      <c r="C21" s="955"/>
      <c r="D21" s="955"/>
      <c r="E21" s="956"/>
      <c r="F21" s="956"/>
      <c r="H21" s="71"/>
      <c r="I21" s="739"/>
      <c r="J21" s="955"/>
      <c r="K21" s="955"/>
      <c r="L21" s="956"/>
      <c r="M21" s="956"/>
    </row>
    <row r="22" spans="1:13" ht="12">
      <c r="A22" s="615"/>
      <c r="B22" s="42"/>
      <c r="C22" s="42"/>
      <c r="D22" s="42"/>
      <c r="E22" s="42"/>
      <c r="F22" s="42"/>
      <c r="G22" s="567"/>
      <c r="H22" s="615"/>
      <c r="I22" s="42"/>
      <c r="J22" s="42"/>
      <c r="K22" s="42"/>
      <c r="L22" s="42"/>
      <c r="M22" s="42"/>
    </row>
    <row r="23" spans="1:13" ht="12.75" customHeight="1">
      <c r="A23" s="615"/>
      <c r="B23" s="1551" t="s">
        <v>561</v>
      </c>
      <c r="C23" s="1552"/>
      <c r="D23" s="1552"/>
      <c r="E23" s="1552"/>
      <c r="F23" s="1553"/>
      <c r="G23" s="567"/>
      <c r="H23" s="615"/>
      <c r="I23" s="1551" t="s">
        <v>562</v>
      </c>
      <c r="J23" s="1552"/>
      <c r="K23" s="1552"/>
      <c r="L23" s="1552"/>
      <c r="M23" s="1553"/>
    </row>
    <row r="24" spans="1:13" ht="12.75" customHeight="1">
      <c r="A24" s="708">
        <f>A20+1</f>
        <v>1911</v>
      </c>
      <c r="B24" s="1554"/>
      <c r="C24" s="1555"/>
      <c r="D24" s="1555"/>
      <c r="E24" s="1555"/>
      <c r="F24" s="1556"/>
      <c r="H24" s="708">
        <f>H20+1</f>
        <v>1931</v>
      </c>
      <c r="I24" s="1554"/>
      <c r="J24" s="1555"/>
      <c r="K24" s="1555"/>
      <c r="L24" s="1555"/>
      <c r="M24" s="1556"/>
    </row>
    <row r="25" spans="1:13" ht="12.75" customHeight="1">
      <c r="A25" s="587"/>
      <c r="B25" s="1557" t="s">
        <v>558</v>
      </c>
      <c r="C25" s="1558"/>
      <c r="D25" s="620" t="s">
        <v>354</v>
      </c>
      <c r="E25" s="1539" t="s">
        <v>560</v>
      </c>
      <c r="F25" s="1540"/>
      <c r="G25" s="567"/>
      <c r="H25" s="587"/>
      <c r="I25" s="1557" t="s">
        <v>558</v>
      </c>
      <c r="J25" s="1558"/>
      <c r="K25" s="620" t="s">
        <v>354</v>
      </c>
      <c r="L25" s="1539" t="s">
        <v>560</v>
      </c>
      <c r="M25" s="1540"/>
    </row>
    <row r="26" spans="1:13" ht="12.75" customHeight="1">
      <c r="A26" s="708">
        <f>A24+1</f>
        <v>1912</v>
      </c>
      <c r="B26" s="1545"/>
      <c r="C26" s="1546"/>
      <c r="D26" s="550"/>
      <c r="E26" s="1547"/>
      <c r="F26" s="1548"/>
      <c r="H26" s="708">
        <f>H24+1</f>
        <v>1932</v>
      </c>
      <c r="I26" s="1545"/>
      <c r="J26" s="1546"/>
      <c r="K26" s="550"/>
      <c r="L26" s="1547"/>
      <c r="M26" s="1548"/>
    </row>
    <row r="27" spans="1:13" ht="12.75" customHeight="1">
      <c r="A27" s="708">
        <f>A26+1</f>
        <v>1913</v>
      </c>
      <c r="B27" s="1549"/>
      <c r="C27" s="1550"/>
      <c r="D27" s="551"/>
      <c r="E27" s="1543"/>
      <c r="F27" s="1544"/>
      <c r="H27" s="708">
        <f>H26+1</f>
        <v>1933</v>
      </c>
      <c r="I27" s="1549"/>
      <c r="J27" s="1550"/>
      <c r="K27" s="551"/>
      <c r="L27" s="1543"/>
      <c r="M27" s="1544"/>
    </row>
    <row r="28" spans="1:13" s="959" customFormat="1" ht="12.75" customHeight="1">
      <c r="A28" s="957"/>
      <c r="B28" s="958"/>
      <c r="C28" s="1541" t="s">
        <v>830</v>
      </c>
      <c r="D28" s="1542"/>
      <c r="E28" s="646" t="s">
        <v>829</v>
      </c>
      <c r="F28" s="646" t="s">
        <v>377</v>
      </c>
      <c r="G28" s="185"/>
      <c r="H28" s="957"/>
      <c r="I28" s="958"/>
      <c r="J28" s="1541" t="s">
        <v>830</v>
      </c>
      <c r="K28" s="1542"/>
      <c r="L28" s="646" t="s">
        <v>829</v>
      </c>
      <c r="M28" s="646" t="s">
        <v>377</v>
      </c>
    </row>
    <row r="29" spans="1:13" s="959" customFormat="1" ht="12.75" customHeight="1">
      <c r="A29" s="957"/>
      <c r="B29" s="960"/>
      <c r="C29" s="1537" t="s">
        <v>831</v>
      </c>
      <c r="D29" s="1538"/>
      <c r="E29" s="961" t="s">
        <v>588</v>
      </c>
      <c r="F29" s="961">
        <f>Voorblad!D3</f>
        <v>2005</v>
      </c>
      <c r="G29" s="185"/>
      <c r="H29" s="957"/>
      <c r="I29" s="960"/>
      <c r="J29" s="1537" t="s">
        <v>831</v>
      </c>
      <c r="K29" s="1538"/>
      <c r="L29" s="961" t="s">
        <v>588</v>
      </c>
      <c r="M29" s="961">
        <f>Voorblad!D3</f>
        <v>2005</v>
      </c>
    </row>
    <row r="30" spans="1:13" ht="12.75" customHeight="1">
      <c r="A30" s="708">
        <f>A27+1</f>
        <v>1914</v>
      </c>
      <c r="B30" s="827" t="s">
        <v>824</v>
      </c>
      <c r="C30" s="1535"/>
      <c r="D30" s="1536"/>
      <c r="E30" s="564"/>
      <c r="F30" s="564"/>
      <c r="H30" s="708">
        <f>H27+1</f>
        <v>1934</v>
      </c>
      <c r="I30" s="827" t="s">
        <v>824</v>
      </c>
      <c r="J30" s="1535"/>
      <c r="K30" s="1536"/>
      <c r="L30" s="564"/>
      <c r="M30" s="564"/>
    </row>
    <row r="31" spans="1:13" ht="12.75" customHeight="1">
      <c r="A31" s="708">
        <f aca="true" t="shared" si="2" ref="A31:A36">A30+1</f>
        <v>1915</v>
      </c>
      <c r="B31" s="827" t="s">
        <v>523</v>
      </c>
      <c r="C31" s="1531"/>
      <c r="D31" s="1532"/>
      <c r="E31" s="565"/>
      <c r="F31" s="565"/>
      <c r="H31" s="708">
        <f aca="true" t="shared" si="3" ref="H31:H36">H30+1</f>
        <v>1935</v>
      </c>
      <c r="I31" s="827" t="s">
        <v>523</v>
      </c>
      <c r="J31" s="1531"/>
      <c r="K31" s="1532"/>
      <c r="L31" s="565"/>
      <c r="M31" s="565"/>
    </row>
    <row r="32" spans="1:13" ht="12.75" customHeight="1">
      <c r="A32" s="708">
        <f t="shared" si="2"/>
        <v>1916</v>
      </c>
      <c r="B32" s="827" t="s">
        <v>825</v>
      </c>
      <c r="C32" s="1531"/>
      <c r="D32" s="1532"/>
      <c r="E32" s="565"/>
      <c r="F32" s="565"/>
      <c r="H32" s="708">
        <f t="shared" si="3"/>
        <v>1936</v>
      </c>
      <c r="I32" s="827" t="s">
        <v>825</v>
      </c>
      <c r="J32" s="1531"/>
      <c r="K32" s="1532"/>
      <c r="L32" s="565"/>
      <c r="M32" s="565"/>
    </row>
    <row r="33" spans="1:13" ht="12" customHeight="1">
      <c r="A33" s="708">
        <f t="shared" si="2"/>
        <v>1917</v>
      </c>
      <c r="B33" s="827" t="s">
        <v>590</v>
      </c>
      <c r="C33" s="1531"/>
      <c r="D33" s="1532"/>
      <c r="E33" s="565"/>
      <c r="F33" s="565"/>
      <c r="H33" s="708">
        <f t="shared" si="3"/>
        <v>1937</v>
      </c>
      <c r="I33" s="827" t="s">
        <v>590</v>
      </c>
      <c r="J33" s="1531"/>
      <c r="K33" s="1532"/>
      <c r="L33" s="565"/>
      <c r="M33" s="565"/>
    </row>
    <row r="34" spans="1:13" ht="12.75" customHeight="1">
      <c r="A34" s="708">
        <f t="shared" si="2"/>
        <v>1918</v>
      </c>
      <c r="B34" s="827" t="s">
        <v>805</v>
      </c>
      <c r="C34" s="1531"/>
      <c r="D34" s="1532"/>
      <c r="E34" s="565"/>
      <c r="F34" s="565"/>
      <c r="H34" s="708">
        <f t="shared" si="3"/>
        <v>1938</v>
      </c>
      <c r="I34" s="827" t="s">
        <v>805</v>
      </c>
      <c r="J34" s="1531"/>
      <c r="K34" s="1532"/>
      <c r="L34" s="565"/>
      <c r="M34" s="565"/>
    </row>
    <row r="35" spans="1:13" ht="12.75" customHeight="1">
      <c r="A35" s="708">
        <f t="shared" si="2"/>
        <v>1919</v>
      </c>
      <c r="B35" s="827" t="s">
        <v>342</v>
      </c>
      <c r="C35" s="1531"/>
      <c r="D35" s="1532"/>
      <c r="E35" s="565"/>
      <c r="F35" s="565"/>
      <c r="H35" s="708">
        <f t="shared" si="3"/>
        <v>1939</v>
      </c>
      <c r="I35" s="827" t="s">
        <v>342</v>
      </c>
      <c r="J35" s="1531"/>
      <c r="K35" s="1532"/>
      <c r="L35" s="565"/>
      <c r="M35" s="565"/>
    </row>
    <row r="36" spans="1:13" ht="12.75" customHeight="1">
      <c r="A36" s="708">
        <f t="shared" si="2"/>
        <v>1920</v>
      </c>
      <c r="B36" s="722" t="s">
        <v>389</v>
      </c>
      <c r="C36" s="1533">
        <f>SUM(C30:D35)</f>
        <v>0</v>
      </c>
      <c r="D36" s="1534"/>
      <c r="E36" s="723">
        <f>SUM(E30:E35)</f>
        <v>0</v>
      </c>
      <c r="F36" s="723">
        <f>SUM(F30:F35)</f>
        <v>0</v>
      </c>
      <c r="H36" s="708">
        <f t="shared" si="3"/>
        <v>1940</v>
      </c>
      <c r="I36" s="722" t="s">
        <v>389</v>
      </c>
      <c r="J36" s="1533">
        <f>SUM(J30:K35)</f>
        <v>0</v>
      </c>
      <c r="K36" s="1534"/>
      <c r="L36" s="723">
        <f>SUM(L30:L35)</f>
        <v>0</v>
      </c>
      <c r="M36" s="723">
        <f>SUM(M30:M35)</f>
        <v>0</v>
      </c>
    </row>
    <row r="37" spans="1:15" ht="12.75">
      <c r="A37"/>
      <c r="B37"/>
      <c r="C37"/>
      <c r="D37"/>
      <c r="E37"/>
      <c r="F37"/>
      <c r="G37"/>
      <c r="H37"/>
      <c r="I37"/>
      <c r="J37"/>
      <c r="K37"/>
      <c r="L37"/>
      <c r="M37"/>
      <c r="N37"/>
      <c r="O37"/>
    </row>
    <row r="38" spans="8:13" ht="12.75" customHeight="1">
      <c r="H38" s="708">
        <f>H36+1</f>
        <v>1941</v>
      </c>
      <c r="I38" s="722" t="str">
        <f>CONCATENATE("Totaal ",Voorblad!D3,)</f>
        <v>Totaal 2005</v>
      </c>
      <c r="J38" s="1529">
        <f>C20+C36+J20+J36</f>
        <v>0</v>
      </c>
      <c r="K38" s="1530"/>
      <c r="L38" s="724">
        <f>E20+E36+L20+L36</f>
        <v>0</v>
      </c>
      <c r="M38" s="724">
        <f>F20+F36+M20+M36</f>
        <v>0</v>
      </c>
    </row>
  </sheetData>
  <sheetProtection password="CCBC" sheet="1" objects="1" scenarios="1"/>
  <mergeCells count="69">
    <mergeCell ref="L25:M25"/>
    <mergeCell ref="B7:F7"/>
    <mergeCell ref="I11:J11"/>
    <mergeCell ref="B27:C27"/>
    <mergeCell ref="E27:F27"/>
    <mergeCell ref="I7:M7"/>
    <mergeCell ref="I8:M8"/>
    <mergeCell ref="I9:J9"/>
    <mergeCell ref="L9:M9"/>
    <mergeCell ref="L10:M10"/>
    <mergeCell ref="B10:C10"/>
    <mergeCell ref="E10:F10"/>
    <mergeCell ref="I10:J10"/>
    <mergeCell ref="B26:C26"/>
    <mergeCell ref="C12:D12"/>
    <mergeCell ref="C13:D13"/>
    <mergeCell ref="C14:D14"/>
    <mergeCell ref="J14:K14"/>
    <mergeCell ref="C16:D16"/>
    <mergeCell ref="C17:D17"/>
    <mergeCell ref="B8:F8"/>
    <mergeCell ref="E26:F26"/>
    <mergeCell ref="E11:F11"/>
    <mergeCell ref="B23:F23"/>
    <mergeCell ref="B24:F24"/>
    <mergeCell ref="B25:C25"/>
    <mergeCell ref="B9:C9"/>
    <mergeCell ref="E9:F9"/>
    <mergeCell ref="C15:D15"/>
    <mergeCell ref="B11:C11"/>
    <mergeCell ref="L11:M11"/>
    <mergeCell ref="I26:J26"/>
    <mergeCell ref="L26:M26"/>
    <mergeCell ref="I27:J27"/>
    <mergeCell ref="L27:M27"/>
    <mergeCell ref="I23:M23"/>
    <mergeCell ref="I24:M24"/>
    <mergeCell ref="I25:J25"/>
    <mergeCell ref="J12:K12"/>
    <mergeCell ref="J13:K13"/>
    <mergeCell ref="C18:D18"/>
    <mergeCell ref="C19:D19"/>
    <mergeCell ref="C36:D36"/>
    <mergeCell ref="J32:K32"/>
    <mergeCell ref="E25:F25"/>
    <mergeCell ref="J28:K28"/>
    <mergeCell ref="J29:K29"/>
    <mergeCell ref="C28:D28"/>
    <mergeCell ref="C32:D32"/>
    <mergeCell ref="C33:D33"/>
    <mergeCell ref="C34:D34"/>
    <mergeCell ref="C35:D35"/>
    <mergeCell ref="J15:K15"/>
    <mergeCell ref="J16:K16"/>
    <mergeCell ref="J17:K17"/>
    <mergeCell ref="J18:K18"/>
    <mergeCell ref="J19:K19"/>
    <mergeCell ref="J20:K20"/>
    <mergeCell ref="C30:D30"/>
    <mergeCell ref="C31:D31"/>
    <mergeCell ref="J30:K30"/>
    <mergeCell ref="J31:K31"/>
    <mergeCell ref="C29:D29"/>
    <mergeCell ref="C20:D20"/>
    <mergeCell ref="J38:K38"/>
    <mergeCell ref="J33:K33"/>
    <mergeCell ref="J34:K34"/>
    <mergeCell ref="J35:K35"/>
    <mergeCell ref="J36:K36"/>
  </mergeCells>
  <conditionalFormatting sqref="I26:I27 I24 B26:B27 B24 K26:M27 B8 D10:F11 B10:B11 K10:M11 I8 I10:I11 D26:F27 C14:C19 E14:F19 L30:M35 L14:M19 E30:F35 J14:J19 C30:C35 J30:J35">
    <cfRule type="expression" priority="1" dxfId="0" stopIfTrue="1">
      <formula>$G$2=TRUE</formula>
    </cfRule>
  </conditionalFormatting>
  <printOptions/>
  <pageMargins left="0.3937007874015748" right="0.3937007874015748" top="0.3937007874015748" bottom="0.3937007874015748" header="0.6299212598425197" footer="0.11811023622047245"/>
  <pageSetup horizontalDpi="300" verticalDpi="300" orientation="landscape" paperSize="9" r:id="rId2"/>
  <headerFooter alignWithMargins="0">
    <oddHeader xml:space="preserve">&amp;R&amp;9 </oddHeader>
  </headerFooter>
  <ignoredErrors>
    <ignoredError sqref="F20 M20 F36 M36" formulaRange="1"/>
  </ignoredErrors>
  <drawing r:id="rId1"/>
</worksheet>
</file>

<file path=xl/worksheets/sheet15.xml><?xml version="1.0" encoding="utf-8"?>
<worksheet xmlns="http://schemas.openxmlformats.org/spreadsheetml/2006/main" xmlns:r="http://schemas.openxmlformats.org/officeDocument/2006/relationships">
  <sheetPr codeName="Blad14"/>
  <dimension ref="A1:K57"/>
  <sheetViews>
    <sheetView showGridLines="0" showRowColHeaders="0" showZeros="0" showOutlineSymbols="0" view="pageBreakPreview" zoomScale="75" zoomScaleNormal="86" zoomScaleSheetLayoutView="75" workbookViewId="0" topLeftCell="A1">
      <selection activeCell="C10" sqref="C10"/>
    </sheetView>
  </sheetViews>
  <sheetFormatPr defaultColWidth="9.140625" defaultRowHeight="12.75"/>
  <cols>
    <col min="1" max="1" width="6.8515625" style="466" customWidth="1"/>
    <col min="2" max="2" width="33.140625" style="458" customWidth="1"/>
    <col min="3" max="4" width="15.7109375" style="458" customWidth="1"/>
    <col min="5" max="5" width="14.140625" style="458" customWidth="1"/>
    <col min="6" max="6" width="14.421875" style="458" customWidth="1"/>
    <col min="7" max="7" width="14.8515625" style="458" customWidth="1"/>
    <col min="8" max="10" width="13.7109375" style="458" customWidth="1"/>
    <col min="11" max="11" width="15.7109375" style="456" customWidth="1"/>
    <col min="12" max="16" width="10.7109375" style="456" customWidth="1"/>
    <col min="17" max="24" width="9.140625" style="456" customWidth="1"/>
    <col min="25" max="25" width="1.7109375" style="456" customWidth="1"/>
    <col min="26" max="16384" width="9.140625" style="456" customWidth="1"/>
  </cols>
  <sheetData>
    <row r="1" spans="1:11" ht="15.75" customHeight="1">
      <c r="A1" s="615"/>
      <c r="B1" s="42"/>
      <c r="C1" s="42"/>
      <c r="D1" s="42"/>
      <c r="E1" s="42"/>
      <c r="F1" s="42"/>
      <c r="G1" s="42"/>
      <c r="H1" s="42"/>
      <c r="I1" s="90"/>
      <c r="J1" s="42"/>
      <c r="K1" s="567"/>
    </row>
    <row r="2" spans="1:9" s="499" customFormat="1" ht="15.75" customHeight="1">
      <c r="A2" s="581" t="str">
        <f>Inhoud!$A$2</f>
        <v>Nacalculatieformulier 2005</v>
      </c>
      <c r="B2" s="593"/>
      <c r="C2" s="595"/>
      <c r="D2" s="593"/>
      <c r="E2" s="593"/>
      <c r="F2" s="596" t="b">
        <f>Voorblad!D30</f>
        <v>1</v>
      </c>
      <c r="G2" s="596"/>
      <c r="H2" s="595"/>
      <c r="I2" s="592">
        <f>WZV!M2+1</f>
        <v>20</v>
      </c>
    </row>
    <row r="3" spans="1:11" ht="12.75" customHeight="1">
      <c r="A3" s="615"/>
      <c r="B3" s="42"/>
      <c r="C3" s="42"/>
      <c r="D3" s="42"/>
      <c r="E3" s="42"/>
      <c r="F3" s="42"/>
      <c r="G3" s="42"/>
      <c r="H3" s="42"/>
      <c r="I3" s="42"/>
      <c r="J3" s="42"/>
      <c r="K3" s="567"/>
    </row>
    <row r="4" spans="1:11" ht="12.75" customHeight="1">
      <c r="A4" s="849" t="s">
        <v>536</v>
      </c>
      <c r="B4" s="849" t="s">
        <v>826</v>
      </c>
      <c r="C4" s="849"/>
      <c r="D4" s="849"/>
      <c r="E4" s="849"/>
      <c r="F4" s="849"/>
      <c r="G4" s="849"/>
      <c r="H4" s="849"/>
      <c r="I4" s="849"/>
      <c r="J4" s="42"/>
      <c r="K4" s="567"/>
    </row>
    <row r="5" spans="1:11" ht="12.75" customHeight="1">
      <c r="A5" s="560"/>
      <c r="B5" s="560"/>
      <c r="C5" s="560"/>
      <c r="D5" s="560"/>
      <c r="E5" s="560"/>
      <c r="F5" s="560"/>
      <c r="G5" s="560"/>
      <c r="H5" s="560"/>
      <c r="I5" s="560"/>
      <c r="J5" s="42"/>
      <c r="K5" s="567"/>
    </row>
    <row r="6" spans="1:11" ht="12.75" customHeight="1">
      <c r="A6" s="560"/>
      <c r="B6" s="560"/>
      <c r="C6" s="1059" t="s">
        <v>828</v>
      </c>
      <c r="D6" s="875" t="s">
        <v>567</v>
      </c>
      <c r="E6" s="875" t="s">
        <v>654</v>
      </c>
      <c r="F6" s="875" t="s">
        <v>828</v>
      </c>
      <c r="G6" s="1567" t="str">
        <f>CONCATENATE("Onderhanden werk ultimo ",Voorblad!D3)</f>
        <v>Onderhanden werk ultimo 2005</v>
      </c>
      <c r="H6" s="1559" t="str">
        <f>CONCATENATE("Verplichtingen ultimo ",Voorblad!D3)</f>
        <v>Verplichtingen ultimo 2005</v>
      </c>
      <c r="I6" s="1559" t="str">
        <f>CONCATENATE("'Vrij besteedbaar' ultimo ",Voorblad!D3)</f>
        <v>'Vrij besteedbaar' ultimo 2005</v>
      </c>
      <c r="J6" s="42"/>
      <c r="K6" s="567"/>
    </row>
    <row r="7" spans="1:11" ht="12.75" customHeight="1">
      <c r="A7" s="560"/>
      <c r="B7" s="560"/>
      <c r="C7" s="1060" t="s">
        <v>111</v>
      </c>
      <c r="D7" s="933" t="s">
        <v>655</v>
      </c>
      <c r="E7" s="1062" t="s">
        <v>378</v>
      </c>
      <c r="F7" s="1062" t="s">
        <v>111</v>
      </c>
      <c r="G7" s="1568"/>
      <c r="H7" s="1560"/>
      <c r="I7" s="1560"/>
      <c r="J7" s="42"/>
      <c r="K7" s="567"/>
    </row>
    <row r="8" spans="1:11" ht="12.75" customHeight="1">
      <c r="A8" s="560"/>
      <c r="B8" s="560"/>
      <c r="C8" s="1061" t="str">
        <f>CONCATENATE("ultimo ",Voorblad!D3-1)</f>
        <v>ultimo 2004</v>
      </c>
      <c r="D8" s="896" t="str">
        <f>CONCATENATE("ruimte ",Voorblad!D3)</f>
        <v>ruimte 2005</v>
      </c>
      <c r="E8" s="896">
        <f>Afschrijvingen!G9</f>
        <v>2005</v>
      </c>
      <c r="F8" s="896" t="str">
        <f>CONCATENATE("ultimo ",Voorblad!D3)</f>
        <v>ultimo 2005</v>
      </c>
      <c r="G8" s="1569"/>
      <c r="H8" s="1561"/>
      <c r="I8" s="1561"/>
      <c r="J8" s="42"/>
      <c r="K8" s="567"/>
    </row>
    <row r="9" spans="1:11" ht="12.75" customHeight="1">
      <c r="A9" s="870"/>
      <c r="B9" s="870"/>
      <c r="C9" s="964"/>
      <c r="D9" s="964"/>
      <c r="E9" s="964"/>
      <c r="F9" s="964"/>
      <c r="G9" s="964"/>
      <c r="H9" s="1058"/>
      <c r="I9" s="964"/>
      <c r="J9" s="42"/>
      <c r="K9" s="567"/>
    </row>
    <row r="10" spans="1:11" ht="12.75" customHeight="1">
      <c r="A10" s="1350">
        <f>(100*I2)+1</f>
        <v>2001</v>
      </c>
      <c r="B10" s="827" t="s">
        <v>383</v>
      </c>
      <c r="C10" s="433"/>
      <c r="D10" s="433"/>
      <c r="E10" s="1045">
        <f>Instandhouding!G37</f>
        <v>0</v>
      </c>
      <c r="F10" s="979">
        <f>C10+D10-E10</f>
        <v>0</v>
      </c>
      <c r="G10" s="433"/>
      <c r="H10" s="433"/>
      <c r="I10" s="883">
        <f>F10-G10-H10</f>
        <v>0</v>
      </c>
      <c r="J10" s="42"/>
      <c r="K10" s="567"/>
    </row>
    <row r="11" spans="1:11" ht="12.75" customHeight="1">
      <c r="A11" s="898">
        <f>A10+1</f>
        <v>2002</v>
      </c>
      <c r="B11" s="827" t="s">
        <v>827</v>
      </c>
      <c r="C11" s="433"/>
      <c r="D11" s="433"/>
      <c r="E11" s="979">
        <f>Instandhouding!H37</f>
        <v>0</v>
      </c>
      <c r="F11" s="979">
        <f>C11+D11-E11</f>
        <v>0</v>
      </c>
      <c r="G11" s="433"/>
      <c r="H11" s="433"/>
      <c r="I11" s="883">
        <f>F11-G11-H11</f>
        <v>0</v>
      </c>
      <c r="J11" s="42"/>
      <c r="K11" s="567"/>
    </row>
    <row r="12" spans="1:11" ht="12.75" customHeight="1">
      <c r="A12" s="42"/>
      <c r="B12" s="42"/>
      <c r="C12" s="42"/>
      <c r="D12" s="42"/>
      <c r="E12" s="42"/>
      <c r="F12" s="42"/>
      <c r="G12" s="42"/>
      <c r="H12" s="42"/>
      <c r="I12" s="42"/>
      <c r="J12" s="42"/>
      <c r="K12" s="567"/>
    </row>
    <row r="13" spans="1:10" s="499" customFormat="1" ht="12.75" customHeight="1">
      <c r="A13" s="14" t="s">
        <v>583</v>
      </c>
      <c r="B13" s="624" t="s">
        <v>501</v>
      </c>
      <c r="C13" s="92"/>
      <c r="D13" s="92"/>
      <c r="E13" s="92"/>
      <c r="F13" s="92"/>
      <c r="G13" s="92"/>
      <c r="H13" s="92"/>
      <c r="I13" s="92"/>
      <c r="J13" s="92"/>
    </row>
    <row r="14" spans="1:9" s="499" customFormat="1" ht="12.75" customHeight="1">
      <c r="A14" s="91"/>
      <c r="B14" s="500"/>
      <c r="C14" s="1562" t="s">
        <v>566</v>
      </c>
      <c r="D14" s="1563"/>
      <c r="E14" s="1564"/>
      <c r="F14" s="608" t="s">
        <v>105</v>
      </c>
      <c r="G14" s="1565" t="str">
        <f>CONCATENATE("In gebruik genomen ",Voorblad!D3)</f>
        <v>In gebruik genomen 2005</v>
      </c>
      <c r="H14" s="1566"/>
      <c r="I14" s="968" t="s">
        <v>833</v>
      </c>
    </row>
    <row r="15" spans="1:9" s="454" customFormat="1" ht="12.75" customHeight="1">
      <c r="A15" s="610"/>
      <c r="C15" s="966" t="s">
        <v>416</v>
      </c>
      <c r="D15" s="966" t="s">
        <v>614</v>
      </c>
      <c r="E15" s="966" t="s">
        <v>565</v>
      </c>
      <c r="F15" s="961" t="str">
        <f>CONCATENATE("nomen t/m ",Voorblad!D3-1)</f>
        <v>nomen t/m 2004</v>
      </c>
      <c r="G15" s="967" t="s">
        <v>832</v>
      </c>
      <c r="H15" s="967" t="s">
        <v>502</v>
      </c>
      <c r="I15" s="965" t="s">
        <v>223</v>
      </c>
    </row>
    <row r="16" spans="1:10" ht="4.5" customHeight="1">
      <c r="A16" s="456"/>
      <c r="B16" s="456"/>
      <c r="C16" s="471"/>
      <c r="D16" s="471"/>
      <c r="E16" s="472"/>
      <c r="F16" s="473"/>
      <c r="G16" s="473"/>
      <c r="H16" s="473"/>
      <c r="I16" s="473"/>
      <c r="J16" s="456"/>
    </row>
    <row r="17" spans="1:10" ht="12.75" customHeight="1">
      <c r="A17" s="1350">
        <f>A11+1</f>
        <v>2003</v>
      </c>
      <c r="B17" s="1334"/>
      <c r="C17" s="725"/>
      <c r="D17" s="838"/>
      <c r="E17" s="664"/>
      <c r="F17" s="664"/>
      <c r="G17" s="433"/>
      <c r="H17" s="920"/>
      <c r="I17" s="969">
        <f>0.05*H17</f>
        <v>0</v>
      </c>
      <c r="J17" s="456"/>
    </row>
    <row r="18" spans="1:10" ht="12.75" customHeight="1">
      <c r="A18" s="1350">
        <f>A10+1</f>
        <v>2002</v>
      </c>
      <c r="B18" s="1334"/>
      <c r="C18" s="725"/>
      <c r="D18" s="837"/>
      <c r="E18" s="664"/>
      <c r="F18" s="664"/>
      <c r="G18" s="433"/>
      <c r="H18" s="920"/>
      <c r="I18" s="969">
        <f aca="true" t="shared" si="0" ref="I18:I36">0.05*H18</f>
        <v>0</v>
      </c>
      <c r="J18" s="456"/>
    </row>
    <row r="19" spans="1:10" ht="12.75" customHeight="1">
      <c r="A19" s="1350">
        <f aca="true" t="shared" si="1" ref="A19:A30">A18+1</f>
        <v>2003</v>
      </c>
      <c r="B19" s="1334"/>
      <c r="C19" s="725"/>
      <c r="D19" s="478"/>
      <c r="E19" s="664"/>
      <c r="F19" s="664"/>
      <c r="G19" s="433"/>
      <c r="H19" s="920"/>
      <c r="I19" s="969">
        <f t="shared" si="0"/>
        <v>0</v>
      </c>
      <c r="J19" s="456"/>
    </row>
    <row r="20" spans="1:10" ht="12.75" customHeight="1">
      <c r="A20" s="1350">
        <f t="shared" si="1"/>
        <v>2004</v>
      </c>
      <c r="B20" s="1334"/>
      <c r="C20" s="725"/>
      <c r="D20" s="478"/>
      <c r="E20" s="664"/>
      <c r="F20" s="664"/>
      <c r="G20" s="433"/>
      <c r="H20" s="920"/>
      <c r="I20" s="969">
        <f t="shared" si="0"/>
        <v>0</v>
      </c>
      <c r="J20" s="456"/>
    </row>
    <row r="21" spans="1:10" ht="12.75" customHeight="1">
      <c r="A21" s="1350">
        <f t="shared" si="1"/>
        <v>2005</v>
      </c>
      <c r="B21" s="1334"/>
      <c r="C21" s="725"/>
      <c r="D21" s="478"/>
      <c r="E21" s="664"/>
      <c r="F21" s="664"/>
      <c r="G21" s="433"/>
      <c r="H21" s="920"/>
      <c r="I21" s="969">
        <f t="shared" si="0"/>
        <v>0</v>
      </c>
      <c r="J21" s="456"/>
    </row>
    <row r="22" spans="1:10" ht="12.75" customHeight="1">
      <c r="A22" s="1350">
        <f t="shared" si="1"/>
        <v>2006</v>
      </c>
      <c r="B22" s="1334"/>
      <c r="C22" s="725"/>
      <c r="D22" s="478"/>
      <c r="E22" s="664"/>
      <c r="F22" s="664"/>
      <c r="G22" s="433"/>
      <c r="H22" s="920"/>
      <c r="I22" s="969">
        <f t="shared" si="0"/>
        <v>0</v>
      </c>
      <c r="J22" s="456"/>
    </row>
    <row r="23" spans="1:10" ht="12.75" customHeight="1">
      <c r="A23" s="1350">
        <f t="shared" si="1"/>
        <v>2007</v>
      </c>
      <c r="B23" s="1334"/>
      <c r="C23" s="725"/>
      <c r="D23" s="478"/>
      <c r="E23" s="664"/>
      <c r="F23" s="664"/>
      <c r="G23" s="433"/>
      <c r="H23" s="920"/>
      <c r="I23" s="969">
        <f t="shared" si="0"/>
        <v>0</v>
      </c>
      <c r="J23" s="456"/>
    </row>
    <row r="24" spans="1:10" ht="12.75" customHeight="1">
      <c r="A24" s="1350">
        <f t="shared" si="1"/>
        <v>2008</v>
      </c>
      <c r="B24" s="1334"/>
      <c r="C24" s="725"/>
      <c r="D24" s="478"/>
      <c r="E24" s="664"/>
      <c r="F24" s="664"/>
      <c r="G24" s="433"/>
      <c r="H24" s="920"/>
      <c r="I24" s="969">
        <f t="shared" si="0"/>
        <v>0</v>
      </c>
      <c r="J24" s="456"/>
    </row>
    <row r="25" spans="1:10" ht="12.75" customHeight="1">
      <c r="A25" s="1350">
        <f t="shared" si="1"/>
        <v>2009</v>
      </c>
      <c r="B25" s="1334"/>
      <c r="C25" s="725"/>
      <c r="D25" s="478"/>
      <c r="E25" s="664"/>
      <c r="F25" s="664"/>
      <c r="G25" s="433"/>
      <c r="H25" s="920"/>
      <c r="I25" s="969">
        <f t="shared" si="0"/>
        <v>0</v>
      </c>
      <c r="J25" s="456"/>
    </row>
    <row r="26" spans="1:10" ht="12.75" customHeight="1">
      <c r="A26" s="1350">
        <f t="shared" si="1"/>
        <v>2010</v>
      </c>
      <c r="B26" s="1334"/>
      <c r="C26" s="725"/>
      <c r="D26" s="478"/>
      <c r="E26" s="664"/>
      <c r="F26" s="664"/>
      <c r="G26" s="433"/>
      <c r="H26" s="920"/>
      <c r="I26" s="969">
        <f t="shared" si="0"/>
        <v>0</v>
      </c>
      <c r="J26" s="456"/>
    </row>
    <row r="27" spans="1:10" ht="12.75" customHeight="1">
      <c r="A27" s="1350">
        <f t="shared" si="1"/>
        <v>2011</v>
      </c>
      <c r="B27" s="1334"/>
      <c r="C27" s="725"/>
      <c r="D27" s="478"/>
      <c r="E27" s="664"/>
      <c r="F27" s="664"/>
      <c r="G27" s="433"/>
      <c r="H27" s="920"/>
      <c r="I27" s="969">
        <f t="shared" si="0"/>
        <v>0</v>
      </c>
      <c r="J27" s="456"/>
    </row>
    <row r="28" spans="1:10" ht="12.75" customHeight="1">
      <c r="A28" s="1350">
        <f t="shared" si="1"/>
        <v>2012</v>
      </c>
      <c r="B28" s="1334"/>
      <c r="C28" s="725"/>
      <c r="D28" s="478"/>
      <c r="E28" s="664"/>
      <c r="F28" s="664"/>
      <c r="G28" s="433"/>
      <c r="H28" s="920"/>
      <c r="I28" s="969">
        <f t="shared" si="0"/>
        <v>0</v>
      </c>
      <c r="J28" s="456"/>
    </row>
    <row r="29" spans="1:10" ht="12.75" customHeight="1">
      <c r="A29" s="1350">
        <f t="shared" si="1"/>
        <v>2013</v>
      </c>
      <c r="B29" s="1334"/>
      <c r="C29" s="725"/>
      <c r="D29" s="478"/>
      <c r="E29" s="664"/>
      <c r="F29" s="664"/>
      <c r="G29" s="433"/>
      <c r="H29" s="920"/>
      <c r="I29" s="969">
        <f t="shared" si="0"/>
        <v>0</v>
      </c>
      <c r="J29" s="456"/>
    </row>
    <row r="30" spans="1:10" ht="12.75" customHeight="1">
      <c r="A30" s="1350">
        <f t="shared" si="1"/>
        <v>2014</v>
      </c>
      <c r="B30" s="1334"/>
      <c r="C30" s="725"/>
      <c r="D30" s="478"/>
      <c r="E30" s="664"/>
      <c r="F30" s="664"/>
      <c r="G30" s="433"/>
      <c r="H30" s="920"/>
      <c r="I30" s="969">
        <f t="shared" si="0"/>
        <v>0</v>
      </c>
      <c r="J30" s="456"/>
    </row>
    <row r="31" spans="1:10" ht="12.75" customHeight="1">
      <c r="A31" s="1350">
        <f aca="true" t="shared" si="2" ref="A31:A37">A30+1</f>
        <v>2015</v>
      </c>
      <c r="B31" s="1334"/>
      <c r="C31" s="725"/>
      <c r="D31" s="478"/>
      <c r="E31" s="664"/>
      <c r="F31" s="664"/>
      <c r="G31" s="433"/>
      <c r="H31" s="920"/>
      <c r="I31" s="969">
        <f t="shared" si="0"/>
        <v>0</v>
      </c>
      <c r="J31" s="456"/>
    </row>
    <row r="32" spans="1:10" ht="12.75" customHeight="1">
      <c r="A32" s="1350">
        <f t="shared" si="2"/>
        <v>2016</v>
      </c>
      <c r="B32" s="1334"/>
      <c r="C32" s="725"/>
      <c r="D32" s="478"/>
      <c r="E32" s="664"/>
      <c r="F32" s="664"/>
      <c r="G32" s="433"/>
      <c r="H32" s="920"/>
      <c r="I32" s="970">
        <f t="shared" si="0"/>
        <v>0</v>
      </c>
      <c r="J32" s="456"/>
    </row>
    <row r="33" spans="1:10" ht="12.75" customHeight="1">
      <c r="A33" s="1350">
        <f t="shared" si="2"/>
        <v>2017</v>
      </c>
      <c r="B33" s="1334"/>
      <c r="C33" s="725"/>
      <c r="D33" s="478"/>
      <c r="E33" s="664"/>
      <c r="F33" s="664"/>
      <c r="G33" s="433"/>
      <c r="H33" s="920"/>
      <c r="I33" s="970">
        <f t="shared" si="0"/>
        <v>0</v>
      </c>
      <c r="J33" s="456"/>
    </row>
    <row r="34" spans="1:10" ht="12.75" customHeight="1">
      <c r="A34" s="1350">
        <f t="shared" si="2"/>
        <v>2018</v>
      </c>
      <c r="B34" s="1334"/>
      <c r="C34" s="725"/>
      <c r="D34" s="478"/>
      <c r="E34" s="664"/>
      <c r="F34" s="664"/>
      <c r="G34" s="433"/>
      <c r="H34" s="920"/>
      <c r="I34" s="969">
        <f t="shared" si="0"/>
        <v>0</v>
      </c>
      <c r="J34" s="456"/>
    </row>
    <row r="35" spans="1:10" ht="12.75" customHeight="1">
      <c r="A35" s="1350">
        <f t="shared" si="2"/>
        <v>2019</v>
      </c>
      <c r="B35" s="1334"/>
      <c r="C35" s="725"/>
      <c r="D35" s="478"/>
      <c r="E35" s="664"/>
      <c r="F35" s="664"/>
      <c r="G35" s="433"/>
      <c r="H35" s="920"/>
      <c r="I35" s="969">
        <f t="shared" si="0"/>
        <v>0</v>
      </c>
      <c r="J35" s="456"/>
    </row>
    <row r="36" spans="1:10" ht="12.75" customHeight="1">
      <c r="A36" s="1350">
        <f t="shared" si="2"/>
        <v>2020</v>
      </c>
      <c r="B36" s="1334"/>
      <c r="C36" s="725"/>
      <c r="D36" s="726"/>
      <c r="E36" s="727"/>
      <c r="F36" s="727"/>
      <c r="G36" s="433"/>
      <c r="H36" s="920"/>
      <c r="I36" s="969">
        <f t="shared" si="0"/>
        <v>0</v>
      </c>
      <c r="J36" s="456"/>
    </row>
    <row r="37" spans="1:10" ht="12.75" customHeight="1">
      <c r="A37" s="708">
        <f t="shared" si="2"/>
        <v>2021</v>
      </c>
      <c r="B37" s="744" t="str">
        <f>CONCATENATE("Totaal regel ",A10," t/m ",A36)</f>
        <v>Totaal regel 2001 t/m 2020</v>
      </c>
      <c r="C37" s="1351"/>
      <c r="D37" s="1352"/>
      <c r="E37" s="729">
        <f>SUM(E17:E36)</f>
        <v>0</v>
      </c>
      <c r="F37" s="730">
        <f>SUM(F17:F36)</f>
        <v>0</v>
      </c>
      <c r="G37" s="730">
        <f>SUM(G17:G36)</f>
        <v>0</v>
      </c>
      <c r="H37" s="730">
        <f>SUM(H17:H36)</f>
        <v>0</v>
      </c>
      <c r="I37" s="730">
        <f>SUM(I17:I36)</f>
        <v>0</v>
      </c>
      <c r="J37" s="456"/>
    </row>
    <row r="38" spans="1:10" ht="12">
      <c r="A38" s="615"/>
      <c r="B38" s="42"/>
      <c r="C38" s="42"/>
      <c r="D38" s="42"/>
      <c r="E38" s="42"/>
      <c r="F38" s="42"/>
      <c r="G38" s="42"/>
      <c r="H38" s="42"/>
      <c r="I38" s="42"/>
      <c r="J38" s="42"/>
    </row>
    <row r="39" spans="1:10" ht="12">
      <c r="A39" s="456"/>
      <c r="B39" s="456"/>
      <c r="C39" s="456"/>
      <c r="D39" s="456"/>
      <c r="E39" s="456"/>
      <c r="F39" s="456"/>
      <c r="G39" s="456"/>
      <c r="H39" s="456"/>
      <c r="I39" s="456"/>
      <c r="J39" s="456"/>
    </row>
    <row r="40" spans="1:10" ht="12" customHeight="1">
      <c r="A40" s="456"/>
      <c r="B40" s="456"/>
      <c r="C40" s="456"/>
      <c r="D40" s="456"/>
      <c r="E40" s="456"/>
      <c r="F40" s="456"/>
      <c r="G40" s="456"/>
      <c r="H40" s="456"/>
      <c r="I40" s="456"/>
      <c r="J40" s="456"/>
    </row>
    <row r="41" spans="1:10" ht="12.75" customHeight="1">
      <c r="A41" s="456"/>
      <c r="B41" s="456"/>
      <c r="C41" s="456"/>
      <c r="D41" s="456"/>
      <c r="E41" s="456"/>
      <c r="F41" s="456"/>
      <c r="G41" s="456"/>
      <c r="H41" s="456"/>
      <c r="I41" s="456"/>
      <c r="J41" s="456"/>
    </row>
    <row r="42" spans="1:10" ht="12">
      <c r="A42" s="456"/>
      <c r="B42" s="456"/>
      <c r="C42" s="456"/>
      <c r="D42" s="456"/>
      <c r="E42" s="456"/>
      <c r="F42" s="456"/>
      <c r="G42" s="456"/>
      <c r="H42" s="456"/>
      <c r="I42" s="456"/>
      <c r="J42" s="456"/>
    </row>
    <row r="43" spans="1:10" ht="4.5" customHeight="1">
      <c r="A43" s="456"/>
      <c r="B43" s="456"/>
      <c r="C43" s="456"/>
      <c r="D43" s="456"/>
      <c r="E43" s="456"/>
      <c r="F43" s="456"/>
      <c r="G43" s="456"/>
      <c r="H43" s="456"/>
      <c r="I43" s="456"/>
      <c r="J43" s="456"/>
    </row>
    <row r="44" spans="1:10" ht="12">
      <c r="A44" s="456"/>
      <c r="B44" s="789"/>
      <c r="C44" s="456"/>
      <c r="D44" s="456"/>
      <c r="E44" s="456"/>
      <c r="F44" s="456"/>
      <c r="G44" s="456"/>
      <c r="H44" s="456"/>
      <c r="I44" s="456"/>
      <c r="J44" s="456"/>
    </row>
    <row r="45" spans="1:10" ht="12">
      <c r="A45" s="456"/>
      <c r="B45" s="456"/>
      <c r="C45" s="456"/>
      <c r="D45" s="456"/>
      <c r="E45" s="456"/>
      <c r="F45" s="456"/>
      <c r="G45" s="456"/>
      <c r="H45" s="456"/>
      <c r="I45" s="456"/>
      <c r="J45" s="456"/>
    </row>
    <row r="46" spans="1:10" ht="12">
      <c r="A46" s="456"/>
      <c r="B46" s="456"/>
      <c r="C46" s="456"/>
      <c r="D46" s="456"/>
      <c r="E46" s="456"/>
      <c r="F46" s="456"/>
      <c r="G46" s="456"/>
      <c r="H46" s="456"/>
      <c r="I46" s="456"/>
      <c r="J46" s="456"/>
    </row>
    <row r="47" spans="1:10" ht="12">
      <c r="A47" s="456"/>
      <c r="B47" s="456"/>
      <c r="C47" s="456"/>
      <c r="D47" s="456"/>
      <c r="E47" s="456"/>
      <c r="F47" s="456"/>
      <c r="G47" s="456"/>
      <c r="H47" s="456"/>
      <c r="I47" s="456"/>
      <c r="J47" s="456"/>
    </row>
    <row r="48" spans="1:10" ht="12">
      <c r="A48" s="456"/>
      <c r="B48" s="456"/>
      <c r="C48" s="456"/>
      <c r="D48" s="456"/>
      <c r="E48" s="456"/>
      <c r="F48" s="456"/>
      <c r="G48" s="456"/>
      <c r="H48" s="456"/>
      <c r="I48" s="456"/>
      <c r="J48" s="456"/>
    </row>
    <row r="49" spans="1:10" ht="12">
      <c r="A49" s="456"/>
      <c r="B49" s="456"/>
      <c r="C49" s="456"/>
      <c r="D49" s="456"/>
      <c r="E49" s="456"/>
      <c r="F49" s="456"/>
      <c r="G49" s="456"/>
      <c r="H49" s="456"/>
      <c r="I49" s="456"/>
      <c r="J49" s="456"/>
    </row>
    <row r="50" spans="1:10" ht="12">
      <c r="A50" s="456"/>
      <c r="B50" s="456"/>
      <c r="C50" s="456"/>
      <c r="D50" s="456"/>
      <c r="E50" s="456"/>
      <c r="F50" s="456"/>
      <c r="G50" s="456"/>
      <c r="H50" s="456"/>
      <c r="I50" s="456"/>
      <c r="J50" s="456"/>
    </row>
    <row r="51" spans="1:10" ht="12">
      <c r="A51" s="456"/>
      <c r="B51" s="456"/>
      <c r="C51" s="456"/>
      <c r="D51" s="456"/>
      <c r="E51" s="456"/>
      <c r="F51" s="456"/>
      <c r="G51" s="456"/>
      <c r="H51" s="456"/>
      <c r="I51" s="456"/>
      <c r="J51" s="456"/>
    </row>
    <row r="52" spans="1:10" ht="12">
      <c r="A52" s="456"/>
      <c r="B52" s="456"/>
      <c r="C52" s="456"/>
      <c r="D52" s="456"/>
      <c r="E52" s="456"/>
      <c r="F52" s="456"/>
      <c r="G52" s="456"/>
      <c r="H52" s="456"/>
      <c r="I52" s="456"/>
      <c r="J52" s="456"/>
    </row>
    <row r="53" spans="1:10" ht="12">
      <c r="A53" s="456"/>
      <c r="B53" s="456"/>
      <c r="C53" s="456"/>
      <c r="D53" s="456"/>
      <c r="E53" s="456"/>
      <c r="F53" s="456"/>
      <c r="G53" s="456"/>
      <c r="H53" s="456"/>
      <c r="I53" s="456"/>
      <c r="J53" s="456"/>
    </row>
    <row r="54" spans="1:10" ht="12">
      <c r="A54" s="456"/>
      <c r="B54" s="456"/>
      <c r="C54" s="456"/>
      <c r="D54" s="456"/>
      <c r="E54" s="456"/>
      <c r="F54" s="456"/>
      <c r="G54" s="456"/>
      <c r="H54" s="456"/>
      <c r="I54" s="456"/>
      <c r="J54" s="456"/>
    </row>
    <row r="55" spans="1:10" ht="12">
      <c r="A55" s="456"/>
      <c r="B55" s="456"/>
      <c r="C55" s="456"/>
      <c r="D55" s="456"/>
      <c r="E55" s="456"/>
      <c r="F55" s="456"/>
      <c r="G55" s="456"/>
      <c r="H55" s="456"/>
      <c r="I55" s="456"/>
      <c r="J55" s="456"/>
    </row>
    <row r="56" ht="12">
      <c r="J56" s="456"/>
    </row>
    <row r="57" ht="12">
      <c r="J57" s="456"/>
    </row>
  </sheetData>
  <sheetProtection password="CCBC" sheet="1" objects="1" scenarios="1"/>
  <mergeCells count="5">
    <mergeCell ref="I6:I8"/>
    <mergeCell ref="C14:E14"/>
    <mergeCell ref="G14:H14"/>
    <mergeCell ref="G6:G8"/>
    <mergeCell ref="H6:H8"/>
  </mergeCells>
  <conditionalFormatting sqref="I17:I36">
    <cfRule type="expression" priority="1" dxfId="1" stopIfTrue="1">
      <formula>$C$2=TRUE</formula>
    </cfRule>
  </conditionalFormatting>
  <conditionalFormatting sqref="C17:H36 G10:H11 C10:D11">
    <cfRule type="expression" priority="2" dxfId="0" stopIfTrue="1">
      <formula>$F$2=TRUE</formula>
    </cfRule>
  </conditionalFormatting>
  <dataValidations count="2">
    <dataValidation allowBlank="1" showInputMessage="1" showErrorMessage="1" promptTitle="Meldingsbrieven CBZ" prompt="In dit overzicht alleen de meldingsbrieven vermelden waarop in het nacalculatiejaar investeringen zijn uitgevoerd." sqref="C14"/>
    <dataValidation allowBlank="1" showInputMessage="1" showErrorMessage="1" promptTitle="Kenmerk" prompt="In deze kolom het jaartal vermelden waarop de melding betrekking heeft en het volgnummer. Bijvoorbeeld: 01 M1 of 02 J1. Een regel per meldingsbrief gebruiken.&#10;" sqref="D15 D17"/>
  </dataValidations>
  <printOptions/>
  <pageMargins left="0.3937007874015748" right="0.3937007874015748" top="0.3937007874015748" bottom="0.3937007874015748" header="0.2362204724409449" footer="0.11811023622047245"/>
  <pageSetup horizontalDpi="300" verticalDpi="300" orientation="landscape" paperSize="9" scale="97" r:id="rId2"/>
  <headerFooter alignWithMargins="0">
    <oddHeader xml:space="preserve">&amp;R&amp;9 </oddHeader>
  </headerFooter>
  <drawing r:id="rId1"/>
</worksheet>
</file>

<file path=xl/worksheets/sheet16.xml><?xml version="1.0" encoding="utf-8"?>
<worksheet xmlns="http://schemas.openxmlformats.org/spreadsheetml/2006/main" xmlns:r="http://schemas.openxmlformats.org/officeDocument/2006/relationships">
  <sheetPr codeName="Blad15"/>
  <dimension ref="A1:O52"/>
  <sheetViews>
    <sheetView showGridLines="0" showRowColHeaders="0" showZeros="0" showOutlineSymbols="0" view="pageBreakPreview" zoomScale="75" zoomScaleNormal="86" zoomScaleSheetLayoutView="75" workbookViewId="0" topLeftCell="A1">
      <selection activeCell="G12" sqref="G12"/>
    </sheetView>
  </sheetViews>
  <sheetFormatPr defaultColWidth="9.140625" defaultRowHeight="12.75" customHeight="1"/>
  <cols>
    <col min="1" max="1" width="6.57421875" style="836" customWidth="1"/>
    <col min="2" max="2" width="53.00390625" style="836" customWidth="1"/>
    <col min="3" max="7" width="11.7109375" style="836" customWidth="1"/>
    <col min="8" max="16384" width="9.140625" style="836" customWidth="1"/>
  </cols>
  <sheetData>
    <row r="1" spans="1:10" ht="12.75" customHeight="1">
      <c r="A1" s="972"/>
      <c r="B1" s="973"/>
      <c r="C1" s="973"/>
      <c r="D1" s="973"/>
      <c r="E1" s="973"/>
      <c r="F1" s="90"/>
      <c r="G1" s="90"/>
      <c r="H1" s="42"/>
      <c r="I1" s="42"/>
      <c r="J1" s="456"/>
    </row>
    <row r="2" spans="1:15" ht="12.75" customHeight="1">
      <c r="A2" s="772" t="str">
        <f>Inhoud!$A$2</f>
        <v>Nacalculatieformulier 2005</v>
      </c>
      <c r="B2" s="771"/>
      <c r="C2" s="631"/>
      <c r="D2" s="771"/>
      <c r="E2" s="771"/>
      <c r="F2" s="770" t="b">
        <f>Voorblad!D30</f>
        <v>1</v>
      </c>
      <c r="G2" s="592">
        <f>Instandhouding!I2+1</f>
        <v>21</v>
      </c>
      <c r="H2" s="567"/>
      <c r="I2" s="615"/>
      <c r="J2" s="42"/>
      <c r="K2" s="42"/>
      <c r="L2" s="42"/>
      <c r="M2" s="42"/>
      <c r="N2" s="42"/>
      <c r="O2" s="456"/>
    </row>
    <row r="3" spans="1:8" ht="12.75" customHeight="1">
      <c r="A3" s="615"/>
      <c r="B3" s="42"/>
      <c r="C3" s="42"/>
      <c r="D3" s="42"/>
      <c r="E3" s="42"/>
      <c r="F3" s="42"/>
      <c r="G3" s="42"/>
      <c r="H3" s="499"/>
    </row>
    <row r="4" spans="1:4" ht="12.75" customHeight="1">
      <c r="A4" s="950" t="s">
        <v>584</v>
      </c>
      <c r="B4" s="950" t="s">
        <v>516</v>
      </c>
      <c r="C4" s="950"/>
      <c r="D4" s="950"/>
    </row>
    <row r="5" ht="12.75" customHeight="1">
      <c r="H5" s="567"/>
    </row>
    <row r="6" spans="1:7" ht="12.75" customHeight="1">
      <c r="A6" s="950"/>
      <c r="B6" s="950" t="s">
        <v>594</v>
      </c>
      <c r="C6" s="950"/>
      <c r="D6" s="950"/>
      <c r="E6" s="950"/>
      <c r="F6" s="950"/>
      <c r="G6" s="950"/>
    </row>
    <row r="7" spans="1:7" ht="12.75" customHeight="1">
      <c r="A7" s="708">
        <f>(100*G2)+1</f>
        <v>2101</v>
      </c>
      <c r="B7" s="1570" t="s">
        <v>635</v>
      </c>
      <c r="C7" s="1570"/>
      <c r="D7" s="1570"/>
      <c r="E7" s="1570"/>
      <c r="F7" s="1570"/>
      <c r="G7" s="979">
        <f>0.1*G12</f>
        <v>0</v>
      </c>
    </row>
    <row r="8" spans="1:10" s="950" customFormat="1" ht="12.75" customHeight="1">
      <c r="A8" s="975">
        <f>(100*G2)+2</f>
        <v>2102</v>
      </c>
      <c r="B8" s="1571" t="s">
        <v>661</v>
      </c>
      <c r="C8" s="1571"/>
      <c r="D8" s="1571"/>
      <c r="E8" s="1571"/>
      <c r="F8" s="1571"/>
      <c r="G8" s="979">
        <f>G25</f>
        <v>0</v>
      </c>
      <c r="H8" s="836"/>
      <c r="I8" s="836"/>
      <c r="J8" s="836"/>
    </row>
    <row r="9" spans="1:7" ht="12.75" customHeight="1">
      <c r="A9" s="708">
        <f>(100*G2)+3</f>
        <v>2103</v>
      </c>
      <c r="B9" s="1572" t="s">
        <v>517</v>
      </c>
      <c r="C9" s="1572"/>
      <c r="D9" s="1572"/>
      <c r="E9" s="1572"/>
      <c r="F9" s="1572"/>
      <c r="G9" s="1081">
        <f>G7-G8</f>
        <v>0</v>
      </c>
    </row>
    <row r="10" spans="1:7" ht="12.75" customHeight="1">
      <c r="A10" s="976"/>
      <c r="B10" s="977"/>
      <c r="C10" s="977"/>
      <c r="D10" s="977"/>
      <c r="E10" s="977"/>
      <c r="F10" s="977"/>
      <c r="G10" s="1050"/>
    </row>
    <row r="11" spans="1:7" ht="12.75" customHeight="1">
      <c r="A11" s="976"/>
      <c r="B11" s="977" t="str">
        <f>CONCATENATE("Berekening kortingspercentage voor investeringen ",Voorblad!D3)</f>
        <v>Berekening kortingspercentage voor investeringen 2005</v>
      </c>
      <c r="C11" s="977"/>
      <c r="D11" s="977"/>
      <c r="E11" s="977"/>
      <c r="F11" s="977"/>
      <c r="G11" s="1050"/>
    </row>
    <row r="12" spans="1:7" ht="12.75" customHeight="1">
      <c r="A12" s="708">
        <f>(100*G2)+4</f>
        <v>2104</v>
      </c>
      <c r="B12" s="1570" t="s">
        <v>518</v>
      </c>
      <c r="C12" s="1570"/>
      <c r="D12" s="1570"/>
      <c r="E12" s="1570"/>
      <c r="F12" s="1570"/>
      <c r="G12" s="1047"/>
    </row>
    <row r="13" spans="1:10" ht="12.75" customHeight="1">
      <c r="A13" s="708">
        <f>(100*G2)+5</f>
        <v>2105</v>
      </c>
      <c r="B13" s="1570" t="str">
        <f>CONCATENATE("10 * berekende investeringsruimte ",Voorblad!D3)</f>
        <v>10 * berekende investeringsruimte 2005</v>
      </c>
      <c r="C13" s="1570"/>
      <c r="D13" s="1570"/>
      <c r="E13" s="1570"/>
      <c r="F13" s="1570"/>
      <c r="G13" s="1047"/>
      <c r="H13" s="950"/>
      <c r="I13" s="950"/>
      <c r="J13" s="950"/>
    </row>
    <row r="14" spans="1:7" ht="12.75" customHeight="1">
      <c r="A14" s="708">
        <f>(100*G2)+6</f>
        <v>2106</v>
      </c>
      <c r="B14" s="1572" t="s">
        <v>519</v>
      </c>
      <c r="C14" s="1572"/>
      <c r="D14" s="1572"/>
      <c r="E14" s="1572"/>
      <c r="F14" s="1572"/>
      <c r="G14" s="1063">
        <f>IF(G13=0,0,G12/G13)</f>
        <v>0</v>
      </c>
    </row>
    <row r="15" ht="12.75" customHeight="1">
      <c r="A15" s="976"/>
    </row>
    <row r="16" ht="12.75" customHeight="1">
      <c r="B16" s="950" t="s">
        <v>595</v>
      </c>
    </row>
    <row r="17" spans="3:7" ht="12.75" customHeight="1">
      <c r="C17" s="836">
        <f>Voorblad!D3</f>
        <v>2005</v>
      </c>
      <c r="D17" s="836">
        <f>Voorblad!D3+1</f>
        <v>2006</v>
      </c>
      <c r="E17" s="836">
        <f>Voorblad!D3+2</f>
        <v>2007</v>
      </c>
      <c r="F17" s="836">
        <f>Voorblad!D3+3</f>
        <v>2008</v>
      </c>
      <c r="G17" s="836">
        <f>Voorblad!D3+4</f>
        <v>2009</v>
      </c>
    </row>
    <row r="18" spans="2:7" ht="12.75" customHeight="1">
      <c r="B18" s="971">
        <f>Voorblad!D3-4</f>
        <v>2001</v>
      </c>
      <c r="C18" s="1079"/>
      <c r="D18" s="1141"/>
      <c r="E18" s="1141"/>
      <c r="F18" s="1141"/>
      <c r="G18" s="1141"/>
    </row>
    <row r="19" spans="2:7" ht="12.75" customHeight="1">
      <c r="B19" s="971">
        <f>Voorblad!D3-3</f>
        <v>2002</v>
      </c>
      <c r="C19" s="1151"/>
      <c r="D19" s="1079"/>
      <c r="E19" s="1141"/>
      <c r="F19" s="1141"/>
      <c r="G19" s="1141"/>
    </row>
    <row r="20" spans="2:7" ht="12.75" customHeight="1">
      <c r="B20" s="971">
        <f>Voorblad!D3-2</f>
        <v>2003</v>
      </c>
      <c r="C20" s="1079"/>
      <c r="D20" s="1079"/>
      <c r="E20" s="1079"/>
      <c r="F20" s="1141"/>
      <c r="G20" s="1141"/>
    </row>
    <row r="21" spans="1:7" s="950" customFormat="1" ht="12.75" customHeight="1">
      <c r="A21" s="836"/>
      <c r="B21" s="971">
        <f>Voorblad!D3-1</f>
        <v>2004</v>
      </c>
      <c r="C21" s="1079"/>
      <c r="D21" s="1079"/>
      <c r="E21" s="1079"/>
      <c r="F21" s="1079"/>
      <c r="G21" s="1142"/>
    </row>
    <row r="22" spans="2:7" ht="12.75" customHeight="1">
      <c r="B22" s="971">
        <f>Voorblad!D3</f>
        <v>2005</v>
      </c>
      <c r="C22" s="1079"/>
      <c r="D22" s="1079"/>
      <c r="E22" s="1079"/>
      <c r="F22" s="1079"/>
      <c r="G22" s="1079"/>
    </row>
    <row r="23" spans="2:7" ht="12.75" customHeight="1">
      <c r="B23" s="950" t="s">
        <v>389</v>
      </c>
      <c r="C23" s="1080">
        <f>SUM(C18:C22)</f>
        <v>0</v>
      </c>
      <c r="D23" s="1080">
        <f>SUM(D19:D22)</f>
        <v>0</v>
      </c>
      <c r="E23" s="1080">
        <f>SUM(E20:E22)</f>
        <v>0</v>
      </c>
      <c r="F23" s="1080">
        <f>SUM(F21:F22)</f>
        <v>0</v>
      </c>
      <c r="G23" s="1080">
        <f>G22</f>
        <v>0</v>
      </c>
    </row>
    <row r="24" spans="8:10" ht="12.75" customHeight="1">
      <c r="H24" s="950"/>
      <c r="I24" s="950"/>
      <c r="J24" s="950"/>
    </row>
    <row r="25" spans="1:7" ht="12.75" customHeight="1">
      <c r="A25" s="708">
        <f>(100*G2)+7</f>
        <v>2107</v>
      </c>
      <c r="B25" s="1489" t="str">
        <f>CONCATENATE("Berekening kortingsbedrag totale kortingspercentage x 10% x investeringsruimte ",Voorblad!D3)</f>
        <v>Berekening kortingsbedrag totale kortingspercentage x 10% x investeringsruimte 2005</v>
      </c>
      <c r="C25" s="1490"/>
      <c r="D25" s="1490"/>
      <c r="E25" s="1490"/>
      <c r="F25" s="1491"/>
      <c r="G25" s="978">
        <f>C23*G13/100</f>
        <v>0</v>
      </c>
    </row>
    <row r="27" spans="1:2" ht="12.75" customHeight="1">
      <c r="A27" s="950"/>
      <c r="B27" s="950" t="s">
        <v>596</v>
      </c>
    </row>
    <row r="28" spans="1:7" ht="12.75" customHeight="1">
      <c r="A28" s="708">
        <f>(100*G2)+8</f>
        <v>2108</v>
      </c>
      <c r="B28" s="1570" t="s">
        <v>545</v>
      </c>
      <c r="C28" s="1570"/>
      <c r="D28" s="1570"/>
      <c r="E28" s="1570"/>
      <c r="F28" s="1570"/>
      <c r="G28" s="433"/>
    </row>
    <row r="29" spans="1:7" ht="12.75" customHeight="1">
      <c r="A29" s="708">
        <f>(100*G2)+9</f>
        <v>2109</v>
      </c>
      <c r="B29" s="1570" t="s">
        <v>520</v>
      </c>
      <c r="C29" s="1570"/>
      <c r="D29" s="1570"/>
      <c r="E29" s="1570"/>
      <c r="F29" s="1570"/>
      <c r="G29" s="433"/>
    </row>
    <row r="30" spans="1:7" ht="12.75" customHeight="1">
      <c r="A30" s="708">
        <f>(100*G2)+10</f>
        <v>2110</v>
      </c>
      <c r="B30" s="1489" t="s">
        <v>517</v>
      </c>
      <c r="C30" s="1490"/>
      <c r="D30" s="1490"/>
      <c r="E30" s="1490"/>
      <c r="F30" s="1491"/>
      <c r="G30" s="974">
        <f>SUM(G28:G29)</f>
        <v>0</v>
      </c>
    </row>
    <row r="33" spans="1:6" s="950" customFormat="1" ht="12.75" customHeight="1">
      <c r="A33" s="836"/>
      <c r="B33" s="836"/>
      <c r="C33" s="836"/>
      <c r="D33" s="836"/>
      <c r="E33" s="836"/>
      <c r="F33" s="836"/>
    </row>
    <row r="34" spans="3:6" ht="12.75" customHeight="1">
      <c r="C34" s="950"/>
      <c r="D34" s="950"/>
      <c r="E34" s="950"/>
      <c r="F34" s="950"/>
    </row>
    <row r="36" spans="4:6" ht="12.75" customHeight="1">
      <c r="D36" s="950"/>
      <c r="E36" s="950"/>
      <c r="F36" s="950"/>
    </row>
    <row r="49" spans="1:10" s="950" customFormat="1" ht="12.75" customHeight="1">
      <c r="A49" s="836"/>
      <c r="B49" s="836"/>
      <c r="C49" s="836"/>
      <c r="D49" s="836"/>
      <c r="E49" s="836"/>
      <c r="F49" s="836"/>
      <c r="G49" s="836"/>
      <c r="H49" s="836"/>
      <c r="I49" s="836"/>
      <c r="J49" s="836"/>
    </row>
    <row r="52" spans="8:10" ht="12.75" customHeight="1">
      <c r="H52" s="950"/>
      <c r="I52" s="950"/>
      <c r="J52" s="950"/>
    </row>
  </sheetData>
  <sheetProtection sheet="1" objects="1" scenarios="1"/>
  <mergeCells count="10">
    <mergeCell ref="B29:F29"/>
    <mergeCell ref="B28:F28"/>
    <mergeCell ref="B30:F30"/>
    <mergeCell ref="B13:F13"/>
    <mergeCell ref="B14:F14"/>
    <mergeCell ref="B25:F25"/>
    <mergeCell ref="B7:F7"/>
    <mergeCell ref="B8:F8"/>
    <mergeCell ref="B9:F9"/>
    <mergeCell ref="B12:F12"/>
  </mergeCells>
  <conditionalFormatting sqref="G12:G13 G28:G29 C18:C22 D19:D22 E20:E22 F22:G22 F21">
    <cfRule type="expression" priority="1" dxfId="0" stopIfTrue="1">
      <formula>$F$2=TRUE</formula>
    </cfRule>
  </conditionalFormatting>
  <printOptions/>
  <pageMargins left="0.3937007874015748" right="0.3937007874015748" top="0.1968503937007874" bottom="0.1968503937007874" header="0.03937007874015748" footer="0.11811023622047245"/>
  <pageSetup horizontalDpi="600" verticalDpi="600" orientation="landscape" paperSize="9" scale="97" r:id="rId2"/>
  <drawing r:id="rId1"/>
</worksheet>
</file>

<file path=xl/worksheets/sheet17.xml><?xml version="1.0" encoding="utf-8"?>
<worksheet xmlns="http://schemas.openxmlformats.org/spreadsheetml/2006/main" xmlns:r="http://schemas.openxmlformats.org/officeDocument/2006/relationships">
  <sheetPr codeName="Blad16"/>
  <dimension ref="A1:L38"/>
  <sheetViews>
    <sheetView showGridLines="0" showRowColHeaders="0" showZeros="0" showOutlineSymbols="0" view="pageBreakPreview" zoomScale="75" zoomScaleNormal="86" zoomScaleSheetLayoutView="75" workbookViewId="0" topLeftCell="A1">
      <selection activeCell="D7" sqref="D7"/>
    </sheetView>
  </sheetViews>
  <sheetFormatPr defaultColWidth="9.140625" defaultRowHeight="12.75"/>
  <cols>
    <col min="1" max="1" width="6.7109375" style="849" customWidth="1"/>
    <col min="2" max="2" width="75.7109375" style="560" customWidth="1"/>
    <col min="3" max="4" width="15.7109375" style="560" customWidth="1"/>
    <col min="5" max="5" width="15.7109375" style="948" customWidth="1"/>
    <col min="6" max="6" width="2.7109375" style="560" customWidth="1"/>
    <col min="7" max="7" width="12.7109375" style="949" customWidth="1"/>
    <col min="8" max="8" width="2.7109375" style="560" customWidth="1"/>
    <col min="9" max="16384" width="9.140625" style="560" customWidth="1"/>
  </cols>
  <sheetData>
    <row r="1" spans="1:12" s="456" customFormat="1" ht="15.75" customHeight="1">
      <c r="A1" s="41"/>
      <c r="B1" s="42"/>
      <c r="C1" s="43"/>
      <c r="D1" s="42"/>
      <c r="E1" s="42"/>
      <c r="F1" s="45"/>
      <c r="G1" s="45"/>
      <c r="H1" s="26"/>
      <c r="I1" s="42"/>
      <c r="L1" s="454"/>
    </row>
    <row r="2" spans="1:12" s="499" customFormat="1" ht="15.75" customHeight="1">
      <c r="A2" s="595" t="str">
        <f>CONCATENATE("Nacalculatieformulier ",Voorblad!D3)</f>
        <v>Nacalculatieformulier 2005</v>
      </c>
      <c r="B2" s="593"/>
      <c r="C2" s="596" t="b">
        <f>Voorblad!D30</f>
        <v>1</v>
      </c>
      <c r="D2" s="595"/>
      <c r="E2" s="592">
        <f>'Afschr.inventaris'!G2+1</f>
        <v>22</v>
      </c>
      <c r="F2" s="587"/>
      <c r="G2" s="587"/>
      <c r="H2" s="587"/>
      <c r="L2" s="500"/>
    </row>
    <row r="3" spans="1:12" s="456" customFormat="1" ht="12">
      <c r="A3" s="41"/>
      <c r="B3" s="42"/>
      <c r="C3" s="43"/>
      <c r="D3" s="42"/>
      <c r="E3" s="42"/>
      <c r="F3" s="45"/>
      <c r="G3" s="45"/>
      <c r="H3" s="26"/>
      <c r="I3" s="42"/>
      <c r="L3" s="454"/>
    </row>
    <row r="4" spans="1:9" s="456" customFormat="1" ht="12.75" customHeight="1">
      <c r="A4" s="14" t="s">
        <v>585</v>
      </c>
      <c r="B4" s="95"/>
      <c r="C4" s="387"/>
      <c r="D4" s="90"/>
      <c r="E4" s="584"/>
      <c r="F4" s="584"/>
      <c r="G4" s="95"/>
      <c r="H4" s="95"/>
      <c r="I4" s="454"/>
    </row>
    <row r="5" ht="12">
      <c r="E5" s="949"/>
    </row>
    <row r="6" spans="3:11" ht="12">
      <c r="C6" s="981" t="s">
        <v>809</v>
      </c>
      <c r="D6" s="1005" t="s">
        <v>820</v>
      </c>
      <c r="E6" s="982" t="s">
        <v>598</v>
      </c>
      <c r="F6" s="836"/>
      <c r="G6" s="836"/>
      <c r="H6" s="836"/>
      <c r="I6" s="836"/>
      <c r="J6" s="836"/>
      <c r="K6" s="836"/>
    </row>
    <row r="7" spans="1:11" ht="12">
      <c r="A7" s="849" t="s">
        <v>411</v>
      </c>
      <c r="B7" s="849" t="s">
        <v>808</v>
      </c>
      <c r="C7" s="983" t="s">
        <v>810</v>
      </c>
      <c r="D7" s="1353"/>
      <c r="E7" s="984"/>
      <c r="F7" s="836"/>
      <c r="G7" s="836"/>
      <c r="H7" s="836"/>
      <c r="I7" s="836"/>
      <c r="J7" s="836"/>
      <c r="K7" s="836"/>
    </row>
    <row r="8" spans="2:11" ht="12">
      <c r="B8" s="849"/>
      <c r="C8" s="985"/>
      <c r="D8" s="985"/>
      <c r="E8" s="986"/>
      <c r="F8" s="836"/>
      <c r="G8" s="836"/>
      <c r="H8" s="836"/>
      <c r="I8" s="836"/>
      <c r="J8" s="836"/>
      <c r="K8" s="836"/>
    </row>
    <row r="9" spans="1:11" ht="12.75" customHeight="1">
      <c r="A9" s="898">
        <f>(100*E2)+1</f>
        <v>2201</v>
      </c>
      <c r="B9" s="941" t="s">
        <v>145</v>
      </c>
      <c r="C9" s="1197"/>
      <c r="D9" s="1197"/>
      <c r="E9" s="1024">
        <f>'Prod.1.2'!I65</f>
        <v>0</v>
      </c>
      <c r="F9" s="971"/>
      <c r="G9" s="971"/>
      <c r="H9" s="971"/>
      <c r="I9" s="971"/>
      <c r="J9" s="971"/>
      <c r="K9" s="836"/>
    </row>
    <row r="10" spans="1:11" ht="12.75" customHeight="1">
      <c r="A10" s="898">
        <f>A9+1</f>
        <v>2202</v>
      </c>
      <c r="B10" s="941" t="s">
        <v>298</v>
      </c>
      <c r="C10" s="1152">
        <f>'Prod.1.3'!F11+'Prod.1.3'!J40</f>
        <v>0</v>
      </c>
      <c r="D10" s="1152">
        <f>'Prod.1.3'!F12</f>
        <v>0</v>
      </c>
      <c r="E10" s="1024">
        <f>'Prod.1.3'!F13+'Prod.1.3'!J40</f>
        <v>0</v>
      </c>
      <c r="F10" s="971"/>
      <c r="G10" s="971"/>
      <c r="H10" s="971"/>
      <c r="I10" s="971"/>
      <c r="J10" s="971"/>
      <c r="K10" s="836"/>
    </row>
    <row r="11" spans="1:11" ht="12">
      <c r="A11" s="898">
        <f aca="true" t="shared" si="0" ref="A11:A27">A10+1</f>
        <v>2203</v>
      </c>
      <c r="B11" s="827" t="s">
        <v>23</v>
      </c>
      <c r="C11" s="1152">
        <f>'Prod.1.4'!E34</f>
        <v>0</v>
      </c>
      <c r="D11" s="1152">
        <f>'Prod.1.4'!F34</f>
        <v>0</v>
      </c>
      <c r="E11" s="1153">
        <f>C11-D11</f>
        <v>0</v>
      </c>
      <c r="F11" s="971"/>
      <c r="G11" s="1137"/>
      <c r="H11" s="971"/>
      <c r="I11" s="971"/>
      <c r="J11" s="971"/>
      <c r="K11" s="836"/>
    </row>
    <row r="12" spans="1:11" ht="12">
      <c r="A12" s="898">
        <f t="shared" si="0"/>
        <v>2204</v>
      </c>
      <c r="B12" s="827" t="s">
        <v>38</v>
      </c>
      <c r="C12" s="1154">
        <f>'Prod.1.4'!E43</f>
        <v>0</v>
      </c>
      <c r="D12" s="1154">
        <f>'Prod.1.4'!F43</f>
        <v>0</v>
      </c>
      <c r="E12" s="1152">
        <f>C12-D12</f>
        <v>0</v>
      </c>
      <c r="F12" s="971"/>
      <c r="G12" s="1137"/>
      <c r="H12" s="971"/>
      <c r="I12" s="971"/>
      <c r="J12" s="971"/>
      <c r="K12" s="836"/>
    </row>
    <row r="13" spans="1:7" ht="12">
      <c r="A13" s="898">
        <f t="shared" si="0"/>
        <v>2205</v>
      </c>
      <c r="B13" s="787" t="s">
        <v>140</v>
      </c>
      <c r="C13" s="1098">
        <f>'Prod.1.6'!C38+'Prod.1.6'!D38</f>
        <v>0</v>
      </c>
      <c r="D13" s="1098">
        <f>'Prod.1.6'!E38+'Prod.1.6'!F38</f>
        <v>0</v>
      </c>
      <c r="E13" s="1025">
        <f>'Prod.1.6'!H41+'Prod.1.6'!H42</f>
        <v>0</v>
      </c>
      <c r="G13" s="560"/>
    </row>
    <row r="14" spans="1:7" ht="12">
      <c r="A14" s="898">
        <f t="shared" si="0"/>
        <v>2206</v>
      </c>
      <c r="B14" s="787" t="s">
        <v>555</v>
      </c>
      <c r="C14" s="827">
        <f>'Prod.1.6'!G61+'Prod.1.6'!H61</f>
        <v>0</v>
      </c>
      <c r="D14" s="827">
        <f>'Prod.1.6'!G60+'Prod.1.6'!H60</f>
        <v>0</v>
      </c>
      <c r="E14" s="1155">
        <f>'Prod.1.6'!G62+'Prod.1.6'!H62</f>
        <v>0</v>
      </c>
      <c r="G14" s="560"/>
    </row>
    <row r="15" spans="1:7" ht="12">
      <c r="A15" s="898">
        <f t="shared" si="0"/>
        <v>2207</v>
      </c>
      <c r="B15" s="787" t="s">
        <v>556</v>
      </c>
      <c r="C15" s="1152">
        <f>'Prod.1.6'!H73</f>
        <v>0</v>
      </c>
      <c r="D15" s="1152">
        <f>'Prod.1.6'!H74</f>
        <v>0</v>
      </c>
      <c r="E15" s="1025">
        <f>C15-D15</f>
        <v>0</v>
      </c>
      <c r="G15" s="560"/>
    </row>
    <row r="16" spans="1:7" ht="12">
      <c r="A16" s="898">
        <f t="shared" si="0"/>
        <v>2208</v>
      </c>
      <c r="B16" s="827" t="str">
        <f>Afschrijvingen!B6</f>
        <v>Nacalculeerbare afschrijvingskosten (normale en verkorte procedures)</v>
      </c>
      <c r="C16" s="1004">
        <f>Afschrijvingen!G19</f>
        <v>0</v>
      </c>
      <c r="D16" s="1004">
        <f>Afschrijvingen!G22</f>
        <v>0</v>
      </c>
      <c r="E16" s="979">
        <f>C16-D16</f>
        <v>0</v>
      </c>
      <c r="G16" s="560"/>
    </row>
    <row r="17" spans="1:7" ht="12">
      <c r="A17" s="898">
        <f t="shared" si="0"/>
        <v>2209</v>
      </c>
      <c r="B17" s="827" t="s">
        <v>137</v>
      </c>
      <c r="C17" s="1197"/>
      <c r="D17" s="1197"/>
      <c r="E17" s="979">
        <f>Instandhouding!I37</f>
        <v>0</v>
      </c>
      <c r="G17" s="560"/>
    </row>
    <row r="18" spans="1:7" ht="12">
      <c r="A18" s="898">
        <f t="shared" si="0"/>
        <v>2210</v>
      </c>
      <c r="B18" s="827" t="s">
        <v>138</v>
      </c>
      <c r="C18" s="1197"/>
      <c r="D18" s="1197"/>
      <c r="E18" s="979">
        <f>'Afschr.inventaris'!G9</f>
        <v>0</v>
      </c>
      <c r="G18" s="560"/>
    </row>
    <row r="19" spans="1:7" ht="12">
      <c r="A19" s="898">
        <f t="shared" si="0"/>
        <v>2211</v>
      </c>
      <c r="B19" s="827" t="s">
        <v>139</v>
      </c>
      <c r="C19" s="1197"/>
      <c r="D19" s="1197"/>
      <c r="E19" s="979">
        <f>'Afschr.inventaris'!G30</f>
        <v>0</v>
      </c>
      <c r="G19" s="560"/>
    </row>
    <row r="20" spans="1:7" ht="12">
      <c r="A20" s="898">
        <f t="shared" si="0"/>
        <v>2212</v>
      </c>
      <c r="B20" s="827" t="s">
        <v>597</v>
      </c>
      <c r="C20" s="568"/>
      <c r="D20" s="568"/>
      <c r="E20" s="979">
        <f>C20-D20</f>
        <v>0</v>
      </c>
      <c r="G20" s="560"/>
    </row>
    <row r="21" spans="1:7" ht="12">
      <c r="A21" s="898">
        <f t="shared" si="0"/>
        <v>2213</v>
      </c>
      <c r="B21" s="1156" t="s">
        <v>422</v>
      </c>
      <c r="C21" s="1197" t="s">
        <v>381</v>
      </c>
      <c r="D21" s="1047"/>
      <c r="E21" s="1045">
        <f>-D21</f>
        <v>0</v>
      </c>
      <c r="G21" s="560"/>
    </row>
    <row r="22" spans="1:7" ht="12">
      <c r="A22" s="898">
        <f t="shared" si="0"/>
        <v>2214</v>
      </c>
      <c r="B22" s="827" t="s">
        <v>237</v>
      </c>
      <c r="C22" s="1197"/>
      <c r="D22" s="1197"/>
      <c r="E22" s="1047"/>
      <c r="G22" s="560"/>
    </row>
    <row r="23" spans="1:7" ht="12">
      <c r="A23" s="898">
        <f t="shared" si="0"/>
        <v>2215</v>
      </c>
      <c r="B23" s="953" t="str">
        <f>CONCATENATE("Mutatie aanvaardbare kosten exclusief aanpassing rentekosten (regel ",A9," t/m ",A22,")")</f>
        <v>Mutatie aanvaardbare kosten exclusief aanpassing rentekosten (regel 2201 t/m 2214)</v>
      </c>
      <c r="C23" s="992"/>
      <c r="D23" s="992"/>
      <c r="E23" s="954">
        <f>SUM(E9:E22)</f>
        <v>0</v>
      </c>
      <c r="G23" s="560"/>
    </row>
    <row r="24" spans="1:7" ht="12">
      <c r="A24" s="898">
        <f t="shared" si="0"/>
        <v>2216</v>
      </c>
      <c r="B24" s="1144" t="str">
        <f>CONCATENATE("Aanvaardbare kosten exclusief verrekening lumpsum op kasbasis volgens laatste rekenstaat ",Voorblad!$D$3)</f>
        <v>Aanvaardbare kosten exclusief verrekening lumpsum op kasbasis volgens laatste rekenstaat 2005</v>
      </c>
      <c r="C24" s="1197"/>
      <c r="D24" s="1197"/>
      <c r="E24" s="1047"/>
      <c r="G24" s="560"/>
    </row>
    <row r="25" spans="1:7" ht="12">
      <c r="A25" s="898">
        <f t="shared" si="0"/>
        <v>2217</v>
      </c>
      <c r="B25" s="1054" t="str">
        <f>CONCATENATE("Subtotaal (regel ",A23," + ",A24,")")</f>
        <v>Subtotaal (regel 2215 + 2216)</v>
      </c>
      <c r="C25" s="1197"/>
      <c r="D25" s="1197"/>
      <c r="E25" s="979">
        <f>E23+E24</f>
        <v>0</v>
      </c>
      <c r="G25" s="560"/>
    </row>
    <row r="26" spans="1:7" ht="12">
      <c r="A26" s="898">
        <f t="shared" si="0"/>
        <v>2218</v>
      </c>
      <c r="B26" s="1009" t="s">
        <v>141</v>
      </c>
      <c r="C26" s="1143">
        <f>'Rentecalc.'!E28</f>
        <v>0</v>
      </c>
      <c r="D26" s="1143">
        <f>'Rentecalc.'!E30</f>
        <v>0</v>
      </c>
      <c r="E26" s="1049">
        <f>C26-D26</f>
        <v>0</v>
      </c>
      <c r="G26" s="560"/>
    </row>
    <row r="27" spans="1:7" ht="12">
      <c r="A27" s="898">
        <f t="shared" si="0"/>
        <v>2219</v>
      </c>
      <c r="B27" s="1053" t="str">
        <f>CONCATENATE("Definitief aanvaardbare kosten ",Voorblad!D3," (regel ",A25," + ",A26,")")</f>
        <v>Definitief aanvaardbare kosten 2005 (regel 2217 + 2218)</v>
      </c>
      <c r="C27" s="1051"/>
      <c r="D27" s="1051"/>
      <c r="E27" s="1057">
        <f>E25+E26</f>
        <v>0</v>
      </c>
      <c r="G27" s="560"/>
    </row>
    <row r="29" spans="1:9" ht="12">
      <c r="A29" s="898">
        <f>A27+1</f>
        <v>2220</v>
      </c>
      <c r="B29" s="1489" t="s">
        <v>6</v>
      </c>
      <c r="C29" s="1490">
        <f>'Rentecalc.'!E37</f>
        <v>0</v>
      </c>
      <c r="D29" s="1491"/>
      <c r="E29" s="568"/>
      <c r="F29" s="456"/>
      <c r="G29" s="1207"/>
      <c r="H29" s="456"/>
      <c r="I29" s="456"/>
    </row>
    <row r="30" spans="6:9" ht="12">
      <c r="F30" s="456"/>
      <c r="G30" s="1208"/>
      <c r="H30" s="456"/>
      <c r="I30" s="456"/>
    </row>
    <row r="31" spans="1:7" ht="12">
      <c r="A31" s="849" t="s">
        <v>465</v>
      </c>
      <c r="B31" s="849" t="str">
        <f>CONCATENATE("Opbrengstverrekening ",Voorblad!D3," (ziekenhuis exclusief PAAZ)")</f>
        <v>Opbrengstverrekening 2005 (ziekenhuis exclusief PAAZ)</v>
      </c>
      <c r="E31" s="949"/>
      <c r="G31" s="560"/>
    </row>
    <row r="32" spans="1:9" ht="12">
      <c r="A32" s="560"/>
      <c r="B32" s="849"/>
      <c r="E32" s="949"/>
      <c r="F32" s="456"/>
      <c r="G32" s="456"/>
      <c r="H32" s="456"/>
      <c r="I32" s="456"/>
    </row>
    <row r="33" spans="1:9" ht="12">
      <c r="A33" s="898">
        <f>A29+1</f>
        <v>2221</v>
      </c>
      <c r="B33" s="1497" t="s">
        <v>74</v>
      </c>
      <c r="C33" s="1522"/>
      <c r="D33" s="1498"/>
      <c r="E33" s="568"/>
      <c r="F33" s="456"/>
      <c r="G33" s="456"/>
      <c r="H33" s="456"/>
      <c r="I33" s="456"/>
    </row>
    <row r="34" spans="1:9" ht="12">
      <c r="A34" s="898">
        <f>A33+1</f>
        <v>2222</v>
      </c>
      <c r="B34" s="1497" t="str">
        <f>CONCATENATE("Werkelijke opbrengsten inclusief verrekening lumpsum ",Voorblad!D3," (regel ",Opbrengsten!A19," + ",Opbrengsten!G19," van pagina ",Opbrengsten!J2,")")</f>
        <v>Werkelijke opbrengsten inclusief verrekening lumpsum 2005 (regel 1709 + 1728 van pagina 17)</v>
      </c>
      <c r="C34" s="1522"/>
      <c r="D34" s="1498"/>
      <c r="E34" s="979">
        <f>Opbrengsten!E19+Opbrengsten!J19</f>
        <v>0</v>
      </c>
      <c r="F34" s="456"/>
      <c r="G34" s="456"/>
      <c r="H34" s="456"/>
      <c r="I34" s="456"/>
    </row>
    <row r="35" spans="1:9" ht="12">
      <c r="A35" s="898">
        <f>A34+1</f>
        <v>2223</v>
      </c>
      <c r="B35" s="1489" t="str">
        <f>CONCATENATE("Nog te verrekenen opbrengsten m.b.t. ",Voorblad!D3,"")</f>
        <v>Nog te verrekenen opbrengsten m.b.t. 2005</v>
      </c>
      <c r="C35" s="1490"/>
      <c r="D35" s="1491"/>
      <c r="E35" s="954">
        <f>E33-E34</f>
        <v>0</v>
      </c>
      <c r="F35" s="456"/>
      <c r="G35" s="1207"/>
      <c r="H35" s="456"/>
      <c r="I35" s="456"/>
    </row>
    <row r="36" spans="1:9" ht="12">
      <c r="A36" s="977"/>
      <c r="B36" s="944"/>
      <c r="C36" s="944"/>
      <c r="D36" s="944"/>
      <c r="E36" s="987"/>
      <c r="F36" s="456"/>
      <c r="G36" s="1207"/>
      <c r="H36" s="456"/>
      <c r="I36" s="456"/>
    </row>
    <row r="37" ht="12">
      <c r="A37" s="560" t="s">
        <v>821</v>
      </c>
    </row>
    <row r="38" spans="6:9" ht="12">
      <c r="F38" s="456"/>
      <c r="G38" s="1208"/>
      <c r="H38" s="456"/>
      <c r="I38" s="456"/>
    </row>
  </sheetData>
  <sheetProtection password="CCBC" sheet="1" objects="1" scenarios="1"/>
  <mergeCells count="4">
    <mergeCell ref="B34:D34"/>
    <mergeCell ref="B35:D35"/>
    <mergeCell ref="B33:D33"/>
    <mergeCell ref="B29:D29"/>
  </mergeCells>
  <conditionalFormatting sqref="E22 E33 E24 C20:D20 D21 E29 D7">
    <cfRule type="expression" priority="1" dxfId="0" stopIfTrue="1">
      <formula>$C$2=TRUE</formula>
    </cfRule>
  </conditionalFormatting>
  <printOptions/>
  <pageMargins left="0.75" right="0.75" top="1" bottom="1" header="0.5" footer="0.5"/>
  <pageSetup horizontalDpi="1200" verticalDpi="1200" orientation="landscape" paperSize="9" r:id="rId2"/>
  <ignoredErrors>
    <ignoredError sqref="E26" formula="1"/>
    <ignoredError sqref="E21" unlockedFormula="1"/>
  </ignoredErrors>
  <drawing r:id="rId1"/>
</worksheet>
</file>

<file path=xl/worksheets/sheet18.xml><?xml version="1.0" encoding="utf-8"?>
<worksheet xmlns="http://schemas.openxmlformats.org/spreadsheetml/2006/main" xmlns:r="http://schemas.openxmlformats.org/officeDocument/2006/relationships">
  <sheetPr codeName="Blad17">
    <pageSetUpPr fitToPage="1"/>
  </sheetPr>
  <dimension ref="A1:I40"/>
  <sheetViews>
    <sheetView showGridLines="0" showRowColHeaders="0" showZeros="0" showOutlineSymbols="0" view="pageBreakPreview" zoomScale="75" zoomScaleNormal="75" zoomScaleSheetLayoutView="75" workbookViewId="0" topLeftCell="A3">
      <selection activeCell="E30" sqref="E30"/>
    </sheetView>
  </sheetViews>
  <sheetFormatPr defaultColWidth="9.140625" defaultRowHeight="12.75"/>
  <cols>
    <col min="1" max="1" width="7.140625" style="466" customWidth="1"/>
    <col min="2" max="2" width="25.7109375" style="456" customWidth="1"/>
    <col min="3" max="3" width="43.8515625" style="481" customWidth="1"/>
    <col min="4" max="4" width="16.7109375" style="458" customWidth="1"/>
    <col min="5" max="5" width="16.7109375" style="456" customWidth="1"/>
    <col min="6" max="6" width="3.7109375" style="467" customWidth="1"/>
    <col min="7" max="16384" width="9.140625" style="456" customWidth="1"/>
  </cols>
  <sheetData>
    <row r="1" spans="1:9" ht="15.75" customHeight="1">
      <c r="A1" s="41"/>
      <c r="B1" s="42"/>
      <c r="C1" s="42"/>
      <c r="D1" s="43"/>
      <c r="E1" s="42"/>
      <c r="F1" s="458"/>
      <c r="I1" s="454"/>
    </row>
    <row r="2" spans="1:9" s="499" customFormat="1" ht="15.75" customHeight="1">
      <c r="A2" s="581" t="str">
        <f>Inhoud!$A$2</f>
        <v>Nacalculatieformulier 2005</v>
      </c>
      <c r="B2" s="593"/>
      <c r="C2" s="596" t="b">
        <f>Voorblad!D30</f>
        <v>1</v>
      </c>
      <c r="D2" s="596" t="b">
        <f>Voorblad!D30</f>
        <v>1</v>
      </c>
      <c r="E2" s="592">
        <f>Mutaties!E2+1</f>
        <v>23</v>
      </c>
      <c r="I2" s="500"/>
    </row>
    <row r="3" spans="1:9" ht="12">
      <c r="A3" s="41"/>
      <c r="B3" s="42"/>
      <c r="C3" s="42"/>
      <c r="D3" s="43"/>
      <c r="E3" s="42"/>
      <c r="F3" s="458"/>
      <c r="I3" s="454"/>
    </row>
    <row r="4" spans="2:7" ht="12.75" customHeight="1">
      <c r="B4" s="95"/>
      <c r="C4" s="95"/>
      <c r="D4" s="387"/>
      <c r="E4" s="90"/>
      <c r="F4" s="485"/>
      <c r="G4" s="454"/>
    </row>
    <row r="5" spans="1:6" ht="12.75" customHeight="1">
      <c r="A5" s="41"/>
      <c r="B5" s="95"/>
      <c r="C5" s="95"/>
      <c r="D5" s="95"/>
      <c r="E5" s="163"/>
      <c r="F5" s="495"/>
    </row>
    <row r="6" spans="1:6" ht="12.75" customHeight="1">
      <c r="A6" s="14" t="s">
        <v>630</v>
      </c>
      <c r="B6"/>
      <c r="C6"/>
      <c r="D6"/>
      <c r="E6"/>
      <c r="F6" s="480"/>
    </row>
    <row r="7" spans="1:6" s="482" customFormat="1" ht="12.75" customHeight="1">
      <c r="A7"/>
      <c r="B7"/>
      <c r="C7"/>
      <c r="D7"/>
      <c r="E7"/>
      <c r="F7" s="480"/>
    </row>
    <row r="8" spans="1:5" ht="12.75" customHeight="1">
      <c r="A8" s="26"/>
      <c r="B8" s="132"/>
      <c r="C8"/>
      <c r="E8" s="475" t="s">
        <v>393</v>
      </c>
    </row>
    <row r="9" spans="1:5" ht="12.75" customHeight="1">
      <c r="A9" s="615"/>
      <c r="B9" s="1073" t="s">
        <v>404</v>
      </c>
      <c r="C9" s="627"/>
      <c r="E9" s="471"/>
    </row>
    <row r="10" spans="1:5" ht="12.75" customHeight="1">
      <c r="A10" s="708">
        <f>(E2*100)+1</f>
        <v>2301</v>
      </c>
      <c r="B10" s="1074" t="str">
        <f>CONCATENATE('A-G'!B8," (regel ",'A-G'!A23," bijlage ",LEFT('A-G'!A8,1),")")</f>
        <v>Boekwaarde investeringen waarvoor vergunning is verleend (regel 2415 bijlage A)</v>
      </c>
      <c r="C10" s="793"/>
      <c r="D10" s="1075"/>
      <c r="E10" s="432">
        <f>'A-G'!G23</f>
        <v>0</v>
      </c>
    </row>
    <row r="11" spans="1:5" ht="12.75" customHeight="1">
      <c r="A11" s="712">
        <f aca="true" t="shared" si="0" ref="A11:A17">A10+1</f>
        <v>2302</v>
      </c>
      <c r="B11" s="554" t="str">
        <f>CONCATENATE('A-G'!B31," (regel ",'A-G'!A45," bijlage ",LEFT('A-G'!A31,1),")")</f>
        <v>Onderhanden bouwprojecten  met WZV vergunning (geen investeringen meldingsregeling) (regel 2431 bijlage B)</v>
      </c>
      <c r="C11" s="554"/>
      <c r="D11" s="617"/>
      <c r="E11" s="432">
        <f>'A-G'!G45</f>
        <v>0</v>
      </c>
    </row>
    <row r="12" spans="1:5" ht="12.75" customHeight="1">
      <c r="A12" s="712">
        <f t="shared" si="0"/>
        <v>2303</v>
      </c>
      <c r="B12" s="554" t="str">
        <f>CONCATENATE('A-G'!B53," (regel ",'A-G'!A71," bijlage ",LEFT('A-G'!A53,1),")")</f>
        <v>Werkelijke boekwaarde instandhoudingsinvesteringen (inclusief onderhanden werk) (regel 2518 bijlage C)</v>
      </c>
      <c r="C12" s="554"/>
      <c r="D12" s="617"/>
      <c r="E12" s="432">
        <f>'A-G'!G71</f>
        <v>0</v>
      </c>
    </row>
    <row r="13" spans="1:5" ht="12.75" customHeight="1">
      <c r="A13" s="712">
        <f t="shared" si="0"/>
        <v>2304</v>
      </c>
      <c r="B13" s="554" t="str">
        <f>CONCATENATE('A-G'!B79," (regel ",'A-G'!A91," bijlage ",LEFT('A-G'!A79,1),")")</f>
        <v>Normatieve boekwaarde medische en overige inventarissen (regel 2530 bijlage D)</v>
      </c>
      <c r="C13" s="554"/>
      <c r="D13" s="617"/>
      <c r="E13" s="432">
        <f>'A-G'!G91</f>
        <v>0</v>
      </c>
    </row>
    <row r="14" spans="1:5" ht="12.75" customHeight="1">
      <c r="A14" s="712">
        <f t="shared" si="0"/>
        <v>2305</v>
      </c>
      <c r="B14" s="554" t="str">
        <f>CONCATENATE('A-G'!B100," (regel ",'A-G'!A111," bijlage ",LEFT('A-G'!A100,1),")")</f>
        <v>Normatieve boekwaarde medische en overige inventarissen artikel 2 WBMV apparatuur (regel 2611 bijlage E)</v>
      </c>
      <c r="C14" s="714"/>
      <c r="D14" s="731"/>
      <c r="E14" s="734">
        <f>'A-G'!G111</f>
        <v>0</v>
      </c>
    </row>
    <row r="15" spans="1:5" ht="12.75" customHeight="1">
      <c r="A15" s="712">
        <f t="shared" si="0"/>
        <v>2306</v>
      </c>
      <c r="B15" s="554" t="str">
        <f>CONCATENATE('A-G'!B114," (regel ",'A-G'!A119," bijlage ",LEFT('A-G'!A114,1),")")</f>
        <v>Normatief werkkapitaal (regel 2616 bijlage F)</v>
      </c>
      <c r="C15" s="612"/>
      <c r="D15" s="738"/>
      <c r="E15" s="734">
        <f>'A-G'!G119</f>
        <v>0</v>
      </c>
    </row>
    <row r="16" spans="1:5" ht="12.75" customHeight="1">
      <c r="A16" s="712">
        <f t="shared" si="0"/>
        <v>2307</v>
      </c>
      <c r="B16" s="554" t="str">
        <f>CONCATENATE('A-G'!B125," (regel ",'A-G'!A147," bijlage ",LEFT('A-G'!A125,1),")")</f>
        <v>Nog in tarieven te verrekenen kosten/opbrengsten (regel 2719 bijlage G)</v>
      </c>
      <c r="C16" s="612"/>
      <c r="D16" s="738"/>
      <c r="E16" s="734">
        <f>'A-G'!G147</f>
        <v>0</v>
      </c>
    </row>
    <row r="17" spans="1:5" ht="12.75" customHeight="1">
      <c r="A17" s="712">
        <f t="shared" si="0"/>
        <v>2308</v>
      </c>
      <c r="B17" s="736" t="str">
        <f>CONCATENATE("Totaal in aanmerking te nemen activa (regel ",A10," t/m ",A16,")")</f>
        <v>Totaal in aanmerking te nemen activa (regel 2301 t/m 2307)</v>
      </c>
      <c r="C17" s="744"/>
      <c r="D17" s="733"/>
      <c r="E17" s="735">
        <f>SUM(E10:E16)</f>
        <v>0</v>
      </c>
    </row>
    <row r="18" spans="1:5" ht="12.75" customHeight="1">
      <c r="A18" s="626"/>
      <c r="B18" s="1073" t="s">
        <v>405</v>
      </c>
      <c r="C18" s="629"/>
      <c r="D18" s="629"/>
      <c r="E18" s="477"/>
    </row>
    <row r="19" spans="1:5" ht="12.75" customHeight="1">
      <c r="A19" s="712">
        <f>A17+1</f>
        <v>2309</v>
      </c>
      <c r="B19" s="1074" t="str">
        <f>CONCATENATE(H!B7," (regel ",H!A51," bijlage ",LEFT(H!A7,1),")")</f>
        <v>Langlopende leningen (incl. langlopende leasecontracten) (regel 2839 bijlage H)</v>
      </c>
      <c r="C19" s="793"/>
      <c r="D19" s="1075"/>
      <c r="E19" s="432">
        <f>H!R51</f>
        <v>0</v>
      </c>
    </row>
    <row r="20" spans="1:5" ht="12.75" customHeight="1">
      <c r="A20" s="712">
        <f>A19+1</f>
        <v>2310</v>
      </c>
      <c r="B20" s="714" t="str">
        <f>CONCATENATE('I-J'!B6," (regel ",'I-J'!A22," bijlage ",LEFT('I-J'!A6,1),")")</f>
        <v>Eigen vermogen* (regel 3216 bijlage I)</v>
      </c>
      <c r="C20" s="714"/>
      <c r="D20" s="731"/>
      <c r="E20" s="734">
        <f>'I-J'!E22</f>
        <v>0</v>
      </c>
    </row>
    <row r="21" spans="1:5" ht="12.75" customHeight="1">
      <c r="A21" s="712">
        <f>A20+1</f>
        <v>2311</v>
      </c>
      <c r="B21" s="732" t="str">
        <f>CONCATENATE("Totaal in aanmerking te nemen passiva (regel ",A19," + ",A20,")")</f>
        <v>Totaal in aanmerking te nemen passiva (regel 2309 + 2310)</v>
      </c>
      <c r="C21" s="741"/>
      <c r="D21" s="733"/>
      <c r="E21" s="737">
        <f>E19+E20</f>
        <v>0</v>
      </c>
    </row>
    <row r="22" spans="1:5" ht="12.75" customHeight="1">
      <c r="A22" s="610"/>
      <c r="B22" s="610"/>
      <c r="C22" s="629"/>
      <c r="D22" s="629"/>
      <c r="E22" s="477"/>
    </row>
    <row r="23" spans="1:5" ht="12.75" customHeight="1">
      <c r="A23" s="712">
        <f>A21+1</f>
        <v>2312</v>
      </c>
      <c r="B23" s="713" t="str">
        <f>CONCATENATE("Verschil tussen activa en passiva (regel ",A17," -/- ",A21,")")</f>
        <v>Verschil tussen activa en passiva (regel 2308 -/- 2311)</v>
      </c>
      <c r="C23" s="741"/>
      <c r="D23" s="733"/>
      <c r="E23" s="735">
        <f>E17-E21</f>
        <v>0</v>
      </c>
    </row>
    <row r="24" spans="1:4" ht="12">
      <c r="A24" s="567"/>
      <c r="B24" s="1076" t="s">
        <v>389</v>
      </c>
      <c r="C24" s="610"/>
      <c r="D24" s="567"/>
    </row>
    <row r="25" spans="1:5" ht="12">
      <c r="A25" s="712">
        <f>A23+1</f>
        <v>2313</v>
      </c>
      <c r="B25" s="554" t="str">
        <f>CONCATENATE('I-J'!B26," (regel ",'I-J'!A32," bijlage ",LEFT('I-J'!A26,1),")")</f>
        <v>Rentekosten langlopende leningen (regel 3222 bijlage J)</v>
      </c>
      <c r="C25" s="793"/>
      <c r="D25" s="628"/>
      <c r="E25" s="432">
        <f>'I-J'!E32</f>
        <v>0</v>
      </c>
    </row>
    <row r="26" spans="1:5" ht="12">
      <c r="A26" s="712">
        <f>A25+1</f>
        <v>2314</v>
      </c>
      <c r="B26" s="1196" t="str">
        <f>CONCATENATE("Normrente over verschil activa en passiva (",ROUND(E35*100,2),"% van regel ",A23,")")</f>
        <v>Normrente over verschil activa en passiva (2,89% van regel 2312)</v>
      </c>
      <c r="C26" s="554"/>
      <c r="D26" s="617"/>
      <c r="E26" s="432">
        <f>ROUND(E35*(E23),0)</f>
        <v>0</v>
      </c>
    </row>
    <row r="27" spans="1:5" ht="12">
      <c r="A27" s="712">
        <f>A26+1</f>
        <v>2315</v>
      </c>
      <c r="B27" s="714" t="str">
        <f>CONCATENATE("Inflatievergoeding over eigen vermogen ",ROUND(E36*100,2),"% over regel ",'I-J'!A22," bijlage ",LEFT('I-J'!A6,1)," (exclusief instandhoudingsreserve)")</f>
        <v>Inflatievergoeding over eigen vermogen 1,42% over regel 3216 bijlage I (exclusief instandhoudingsreserve)</v>
      </c>
      <c r="C27" s="611"/>
      <c r="D27" s="740"/>
      <c r="E27" s="1172">
        <f>ROUND(IF(('I-J'!E22-'I-J'!E13)&gt;0,E36*('I-J'!E22-'I-J'!E13),0),0)</f>
        <v>0</v>
      </c>
    </row>
    <row r="28" spans="1:5" ht="12">
      <c r="A28" s="712">
        <f>A27+1</f>
        <v>2316</v>
      </c>
      <c r="B28" s="732" t="str">
        <f>CONCATENATE("Totaal aanvaardbare rentekosten (regel ",A25," tot en met ",A27,")")</f>
        <v>Totaal aanvaardbare rentekosten (regel 2313 tot en met 2315)</v>
      </c>
      <c r="C28" s="741"/>
      <c r="D28" s="733"/>
      <c r="E28" s="735">
        <f>SUM(E25:E27)</f>
        <v>0</v>
      </c>
    </row>
    <row r="30" spans="1:5" ht="12">
      <c r="A30" s="712">
        <f>A28+1</f>
        <v>2317</v>
      </c>
      <c r="B30" s="554" t="s">
        <v>617</v>
      </c>
      <c r="C30" s="554"/>
      <c r="D30" s="554"/>
      <c r="E30" s="1397"/>
    </row>
    <row r="31" spans="1:5" ht="12">
      <c r="A31" s="712">
        <f>A30+1</f>
        <v>2318</v>
      </c>
      <c r="B31" s="732" t="s">
        <v>598</v>
      </c>
      <c r="C31" s="1347"/>
      <c r="D31" s="1348"/>
      <c r="E31" s="1349">
        <f>E28-E30</f>
        <v>0</v>
      </c>
    </row>
    <row r="32" spans="1:4" ht="12">
      <c r="A32" s="456"/>
      <c r="C32" s="456"/>
      <c r="D32" s="456"/>
    </row>
    <row r="33" ht="12">
      <c r="B33" s="467" t="s">
        <v>128</v>
      </c>
    </row>
    <row r="34" spans="2:5" ht="12.75" customHeight="1">
      <c r="B34" s="1327"/>
      <c r="C34" s="1325"/>
      <c r="D34" s="1326"/>
      <c r="E34" s="1324" t="s">
        <v>341</v>
      </c>
    </row>
    <row r="35" spans="1:5" ht="13.5">
      <c r="A35" s="712">
        <f>A31+1</f>
        <v>2319</v>
      </c>
      <c r="B35" s="1314" t="s">
        <v>129</v>
      </c>
      <c r="C35" s="1315"/>
      <c r="D35" s="1316"/>
      <c r="E35" s="1318">
        <v>0.0289</v>
      </c>
    </row>
    <row r="36" spans="1:5" ht="13.5">
      <c r="A36" s="712">
        <v>2318</v>
      </c>
      <c r="B36" s="1085" t="s">
        <v>130</v>
      </c>
      <c r="C36" s="1317"/>
      <c r="D36" s="1075"/>
      <c r="E36" s="1318">
        <v>0.0142</v>
      </c>
    </row>
    <row r="37" spans="3:5" ht="12">
      <c r="C37" s="1320"/>
      <c r="D37" s="1321"/>
      <c r="E37" s="1322"/>
    </row>
    <row r="38" ht="13.5">
      <c r="A38" s="1319" t="s">
        <v>131</v>
      </c>
    </row>
    <row r="39" ht="12">
      <c r="A39" s="454" t="s">
        <v>656</v>
      </c>
    </row>
    <row r="40" ht="13.5">
      <c r="A40" s="1323" t="s">
        <v>132</v>
      </c>
    </row>
  </sheetData>
  <sheetProtection password="CCBC" sheet="1" objects="1" scenarios="1"/>
  <conditionalFormatting sqref="E30">
    <cfRule type="expression" priority="1" dxfId="0" stopIfTrue="1">
      <formula>$D$2=TRUE</formula>
    </cfRule>
  </conditionalFormatting>
  <printOptions/>
  <pageMargins left="0.3937007874015748" right="0.3937007874015748" top="0.3937007874015748" bottom="0.3937007874015748" header="0.5118110236220472" footer="0.5118110236220472"/>
  <pageSetup fitToHeight="1" fitToWidth="1" horizontalDpi="300" verticalDpi="300" orientation="landscape" paperSize="9" r:id="rId2"/>
  <headerFooter alignWithMargins="0">
    <oddFooter>&amp;C&amp;"Arial,Vet"&amp;8
</oddFooter>
  </headerFooter>
  <drawing r:id="rId1"/>
</worksheet>
</file>

<file path=xl/worksheets/sheet19.xml><?xml version="1.0" encoding="utf-8"?>
<worksheet xmlns="http://schemas.openxmlformats.org/spreadsheetml/2006/main" xmlns:r="http://schemas.openxmlformats.org/officeDocument/2006/relationships">
  <sheetPr codeName="Blad18"/>
  <dimension ref="A1:L158"/>
  <sheetViews>
    <sheetView showGridLines="0" showZeros="0" showOutlineSymbols="0" view="pageBreakPreview" zoomScale="75" zoomScaleNormal="86" zoomScaleSheetLayoutView="75" workbookViewId="0" topLeftCell="A1">
      <selection activeCell="A1" sqref="A1"/>
    </sheetView>
  </sheetViews>
  <sheetFormatPr defaultColWidth="9.140625" defaultRowHeight="12.75"/>
  <cols>
    <col min="1" max="1" width="7.140625" style="1376" customWidth="1"/>
    <col min="2" max="2" width="37.00390625" style="456" customWidth="1"/>
    <col min="3" max="3" width="18.8515625" style="458" customWidth="1"/>
    <col min="4" max="4" width="13.7109375" style="458" customWidth="1"/>
    <col min="5" max="5" width="16.7109375" style="458" customWidth="1"/>
    <col min="6" max="6" width="17.7109375" style="458" customWidth="1"/>
    <col min="7" max="7" width="17.7109375" style="456" customWidth="1"/>
    <col min="8" max="8" width="1.7109375" style="456" customWidth="1"/>
    <col min="9" max="9" width="10.7109375" style="456" customWidth="1"/>
    <col min="10" max="10" width="10.7109375" style="454" customWidth="1"/>
    <col min="11" max="15" width="10.7109375" style="456" customWidth="1"/>
    <col min="16" max="23" width="9.140625" style="456" customWidth="1"/>
    <col min="24" max="24" width="1.7109375" style="456" customWidth="1"/>
    <col min="25" max="16384" width="9.140625" style="456" customWidth="1"/>
  </cols>
  <sheetData>
    <row r="1" spans="1:7" ht="15.75" customHeight="1">
      <c r="A1" s="1366"/>
      <c r="B1" s="567"/>
      <c r="C1" s="42"/>
      <c r="D1" s="42"/>
      <c r="E1" s="42"/>
      <c r="F1" s="42"/>
      <c r="G1" s="567"/>
    </row>
    <row r="2" spans="1:10" s="499" customFormat="1" ht="15.75" customHeight="1">
      <c r="A2" s="1378" t="str">
        <f>Inhoud!$A$2</f>
        <v>Nacalculatieformulier 2005</v>
      </c>
      <c r="B2" s="593"/>
      <c r="C2" s="595"/>
      <c r="D2" s="595"/>
      <c r="E2" s="596" t="b">
        <f>Voorblad!D30</f>
        <v>1</v>
      </c>
      <c r="F2" s="596"/>
      <c r="G2" s="592">
        <f>'Rentecalc.'!E2+1</f>
        <v>24</v>
      </c>
      <c r="J2" s="500"/>
    </row>
    <row r="3" spans="1:7" ht="12.75" customHeight="1">
      <c r="A3" s="1366"/>
      <c r="B3" s="567"/>
      <c r="C3" s="42"/>
      <c r="D3" s="42"/>
      <c r="E3" s="42"/>
      <c r="F3" s="42"/>
      <c r="G3" s="567"/>
    </row>
    <row r="4" spans="1:7" ht="12.75" customHeight="1">
      <c r="A4" s="14" t="s">
        <v>631</v>
      </c>
      <c r="B4" s="567"/>
      <c r="C4" s="42"/>
      <c r="D4" s="42"/>
      <c r="E4" s="42"/>
      <c r="F4" s="42"/>
      <c r="G4" s="567"/>
    </row>
    <row r="5" spans="1:10" ht="12.75" customHeight="1">
      <c r="A5" s="1368"/>
      <c r="B5" s="634"/>
      <c r="C5" s="608" t="s">
        <v>414</v>
      </c>
      <c r="D5" s="1110" t="s">
        <v>376</v>
      </c>
      <c r="E5" s="608" t="s">
        <v>375</v>
      </c>
      <c r="F5" s="1580" t="s">
        <v>344</v>
      </c>
      <c r="G5" s="1581"/>
      <c r="H5" s="499"/>
      <c r="I5" s="499"/>
      <c r="J5" s="499"/>
    </row>
    <row r="6" spans="1:7" s="499" customFormat="1" ht="12.75" customHeight="1">
      <c r="A6" s="1368"/>
      <c r="B6" s="634"/>
      <c r="C6" s="614"/>
      <c r="D6" s="614"/>
      <c r="E6" s="614"/>
      <c r="F6" s="635" t="s">
        <v>367</v>
      </c>
      <c r="G6" s="613" t="s">
        <v>363</v>
      </c>
    </row>
    <row r="7" spans="1:10" s="499" customFormat="1" ht="12" customHeight="1">
      <c r="A7" s="1367"/>
      <c r="B7" s="636"/>
      <c r="C7" s="29"/>
      <c r="D7" s="29"/>
      <c r="E7" s="30"/>
      <c r="F7" s="637"/>
      <c r="G7" s="30"/>
      <c r="H7" s="454"/>
      <c r="I7" s="454"/>
      <c r="J7" s="454"/>
    </row>
    <row r="8" spans="1:10" s="454" customFormat="1" ht="12" customHeight="1">
      <c r="A8" s="1367" t="s">
        <v>419</v>
      </c>
      <c r="B8" s="618" t="s">
        <v>469</v>
      </c>
      <c r="C8" s="638"/>
      <c r="D8" s="627"/>
      <c r="E8" s="95"/>
      <c r="F8" s="584"/>
      <c r="G8" s="627"/>
      <c r="I8" s="456"/>
      <c r="J8" s="456"/>
    </row>
    <row r="9" spans="1:10" ht="12" customHeight="1">
      <c r="A9" s="1369">
        <f>(100*G2)+1</f>
        <v>2401</v>
      </c>
      <c r="B9" s="616" t="str">
        <f>CONCATENATE("Stand per 31-12-",Voorblad!D3-1)</f>
        <v>Stand per 31-12-2004</v>
      </c>
      <c r="C9" s="486"/>
      <c r="D9" s="489"/>
      <c r="E9" s="488">
        <f>C9-D9</f>
        <v>0</v>
      </c>
      <c r="F9" s="798">
        <v>1</v>
      </c>
      <c r="G9" s="479">
        <f>E9*F9</f>
        <v>0</v>
      </c>
      <c r="J9" s="456"/>
    </row>
    <row r="10" spans="1:10" ht="12" customHeight="1">
      <c r="A10" s="1369">
        <f aca="true" t="shared" si="0" ref="A10:A25">A9+1</f>
        <v>2402</v>
      </c>
      <c r="B10" s="616" t="str">
        <f>CONCATENATE("Geheel afgeschreven in ",Voorblad!D3)</f>
        <v>Geheel afgeschreven in 2005</v>
      </c>
      <c r="C10" s="487"/>
      <c r="D10" s="486"/>
      <c r="E10" s="488">
        <f aca="true" t="shared" si="1" ref="E10:E22">C10-D10</f>
        <v>0</v>
      </c>
      <c r="F10" s="794"/>
      <c r="G10" s="479"/>
      <c r="J10" s="456"/>
    </row>
    <row r="11" spans="1:10" ht="12" customHeight="1">
      <c r="A11" s="1369">
        <f t="shared" si="0"/>
        <v>2403</v>
      </c>
      <c r="B11" s="616" t="s">
        <v>663</v>
      </c>
      <c r="C11" s="486"/>
      <c r="D11" s="489"/>
      <c r="E11" s="488">
        <f t="shared" si="1"/>
        <v>0</v>
      </c>
      <c r="F11" s="798">
        <v>0.9583</v>
      </c>
      <c r="G11" s="479">
        <f aca="true" t="shared" si="2" ref="G11:G21">E11*F11</f>
        <v>0</v>
      </c>
      <c r="J11" s="456"/>
    </row>
    <row r="12" spans="1:10" ht="12" customHeight="1">
      <c r="A12" s="1369">
        <f t="shared" si="0"/>
        <v>2404</v>
      </c>
      <c r="B12" s="616" t="s">
        <v>664</v>
      </c>
      <c r="C12" s="486"/>
      <c r="D12" s="489"/>
      <c r="E12" s="488">
        <f t="shared" si="1"/>
        <v>0</v>
      </c>
      <c r="F12" s="798">
        <v>0.875</v>
      </c>
      <c r="G12" s="479">
        <f t="shared" si="2"/>
        <v>0</v>
      </c>
      <c r="J12" s="456"/>
    </row>
    <row r="13" spans="1:10" ht="12" customHeight="1">
      <c r="A13" s="1369">
        <f t="shared" si="0"/>
        <v>2405</v>
      </c>
      <c r="B13" s="616" t="s">
        <v>665</v>
      </c>
      <c r="C13" s="486"/>
      <c r="D13" s="489"/>
      <c r="E13" s="488">
        <f t="shared" si="1"/>
        <v>0</v>
      </c>
      <c r="F13" s="798">
        <v>0.7917</v>
      </c>
      <c r="G13" s="479">
        <f>E13*F13</f>
        <v>0</v>
      </c>
      <c r="J13" s="456"/>
    </row>
    <row r="14" spans="1:10" ht="12" customHeight="1">
      <c r="A14" s="1369">
        <f t="shared" si="0"/>
        <v>2406</v>
      </c>
      <c r="B14" s="616" t="s">
        <v>666</v>
      </c>
      <c r="C14" s="486"/>
      <c r="D14" s="489"/>
      <c r="E14" s="488">
        <f t="shared" si="1"/>
        <v>0</v>
      </c>
      <c r="F14" s="798">
        <v>0.7083</v>
      </c>
      <c r="G14" s="479">
        <f t="shared" si="2"/>
        <v>0</v>
      </c>
      <c r="J14" s="456"/>
    </row>
    <row r="15" spans="1:10" ht="12" customHeight="1">
      <c r="A15" s="1369">
        <f t="shared" si="0"/>
        <v>2407</v>
      </c>
      <c r="B15" s="616" t="s">
        <v>667</v>
      </c>
      <c r="C15" s="486"/>
      <c r="D15" s="489"/>
      <c r="E15" s="488">
        <f t="shared" si="1"/>
        <v>0</v>
      </c>
      <c r="F15" s="798">
        <v>0.625</v>
      </c>
      <c r="G15" s="479">
        <f t="shared" si="2"/>
        <v>0</v>
      </c>
      <c r="J15" s="456"/>
    </row>
    <row r="16" spans="1:10" ht="12" customHeight="1">
      <c r="A16" s="1369">
        <f t="shared" si="0"/>
        <v>2408</v>
      </c>
      <c r="B16" s="616" t="s">
        <v>668</v>
      </c>
      <c r="C16" s="486"/>
      <c r="D16" s="489"/>
      <c r="E16" s="488">
        <f>C16-D16</f>
        <v>0</v>
      </c>
      <c r="F16" s="798">
        <v>0.5417</v>
      </c>
      <c r="G16" s="479">
        <f t="shared" si="2"/>
        <v>0</v>
      </c>
      <c r="J16" s="456"/>
    </row>
    <row r="17" spans="1:10" ht="12" customHeight="1">
      <c r="A17" s="1369">
        <f t="shared" si="0"/>
        <v>2409</v>
      </c>
      <c r="B17" s="616" t="s">
        <v>669</v>
      </c>
      <c r="C17" s="486"/>
      <c r="D17" s="489"/>
      <c r="E17" s="488">
        <f t="shared" si="1"/>
        <v>0</v>
      </c>
      <c r="F17" s="798">
        <v>0.4583</v>
      </c>
      <c r="G17" s="479">
        <f t="shared" si="2"/>
        <v>0</v>
      </c>
      <c r="J17" s="456"/>
    </row>
    <row r="18" spans="1:10" ht="12" customHeight="1">
      <c r="A18" s="1369">
        <f t="shared" si="0"/>
        <v>2410</v>
      </c>
      <c r="B18" s="616" t="s">
        <v>670</v>
      </c>
      <c r="C18" s="486"/>
      <c r="D18" s="489"/>
      <c r="E18" s="488">
        <f t="shared" si="1"/>
        <v>0</v>
      </c>
      <c r="F18" s="798">
        <v>0.375</v>
      </c>
      <c r="G18" s="479">
        <f t="shared" si="2"/>
        <v>0</v>
      </c>
      <c r="J18" s="456"/>
    </row>
    <row r="19" spans="1:10" ht="12" customHeight="1">
      <c r="A19" s="1369">
        <f t="shared" si="0"/>
        <v>2411</v>
      </c>
      <c r="B19" s="616" t="s">
        <v>671</v>
      </c>
      <c r="C19" s="486"/>
      <c r="D19" s="489"/>
      <c r="E19" s="488">
        <f t="shared" si="1"/>
        <v>0</v>
      </c>
      <c r="F19" s="798">
        <v>0.2917</v>
      </c>
      <c r="G19" s="479">
        <f t="shared" si="2"/>
        <v>0</v>
      </c>
      <c r="J19" s="456"/>
    </row>
    <row r="20" spans="1:10" ht="12" customHeight="1">
      <c r="A20" s="1369">
        <f t="shared" si="0"/>
        <v>2412</v>
      </c>
      <c r="B20" s="616" t="s">
        <v>672</v>
      </c>
      <c r="C20" s="486"/>
      <c r="D20" s="489"/>
      <c r="E20" s="488">
        <f t="shared" si="1"/>
        <v>0</v>
      </c>
      <c r="F20" s="798">
        <v>0.2083</v>
      </c>
      <c r="G20" s="479">
        <f t="shared" si="2"/>
        <v>0</v>
      </c>
      <c r="J20" s="456"/>
    </row>
    <row r="21" spans="1:10" ht="12" customHeight="1">
      <c r="A21" s="1369">
        <f t="shared" si="0"/>
        <v>2413</v>
      </c>
      <c r="B21" s="616" t="s">
        <v>673</v>
      </c>
      <c r="C21" s="486"/>
      <c r="D21" s="489"/>
      <c r="E21" s="488">
        <f t="shared" si="1"/>
        <v>0</v>
      </c>
      <c r="F21" s="798">
        <v>0.125</v>
      </c>
      <c r="G21" s="479">
        <f t="shared" si="2"/>
        <v>0</v>
      </c>
      <c r="J21" s="456"/>
    </row>
    <row r="22" spans="1:10" ht="12" customHeight="1">
      <c r="A22" s="1369">
        <f t="shared" si="0"/>
        <v>2414</v>
      </c>
      <c r="B22" s="639" t="s">
        <v>674</v>
      </c>
      <c r="C22" s="716"/>
      <c r="D22" s="489"/>
      <c r="E22" s="799">
        <f t="shared" si="1"/>
        <v>0</v>
      </c>
      <c r="F22" s="800">
        <v>0.0417</v>
      </c>
      <c r="G22" s="728">
        <f>E22*F22</f>
        <v>0</v>
      </c>
      <c r="J22" s="456"/>
    </row>
    <row r="23" spans="1:7" ht="12" customHeight="1">
      <c r="A23" s="1369">
        <f t="shared" si="0"/>
        <v>2415</v>
      </c>
      <c r="B23" s="722" t="str">
        <f>CONCATENATE("Stand per 31-12-",Voorblad!$D$3," (",A9," t/m ",A22,")")</f>
        <v>Stand per 31-12-2005 (2401 t/m 2414)</v>
      </c>
      <c r="C23" s="729">
        <f>C9-C10+SUM(C11:C22)</f>
        <v>0</v>
      </c>
      <c r="D23" s="785">
        <f>D9-D10+SUM(D11:D22)</f>
        <v>0</v>
      </c>
      <c r="E23" s="742">
        <f>SUM(E9:E22)</f>
        <v>0</v>
      </c>
      <c r="F23" s="743"/>
      <c r="G23" s="710">
        <f>SUM(G9:G22)</f>
        <v>0</v>
      </c>
    </row>
    <row r="24" spans="1:10" ht="12" customHeight="1">
      <c r="A24" s="1369">
        <f t="shared" si="0"/>
        <v>2416</v>
      </c>
      <c r="B24" s="746" t="str">
        <f>CONCATENATE("Overzicht afschrijvingen + regel ",A9,"- regel ",A10)</f>
        <v>Overzicht afschrijvingen + regel 2401- regel 2402</v>
      </c>
      <c r="C24" s="1039"/>
      <c r="D24" s="979">
        <f>Afschrijvingen!G19+D9-D10</f>
        <v>0</v>
      </c>
      <c r="E24" s="467"/>
      <c r="F24" s="467"/>
      <c r="G24" s="467"/>
      <c r="H24" s="474"/>
      <c r="I24" s="467"/>
      <c r="J24" s="456"/>
    </row>
    <row r="25" spans="1:9" s="467" customFormat="1" ht="12" customHeight="1">
      <c r="A25" s="1369">
        <f t="shared" si="0"/>
        <v>2417</v>
      </c>
      <c r="B25" s="722" t="s">
        <v>564</v>
      </c>
      <c r="C25" s="1040"/>
      <c r="D25" s="1052">
        <f>D23-D24</f>
        <v>0</v>
      </c>
      <c r="E25" s="458"/>
      <c r="F25" s="456"/>
      <c r="G25" s="456"/>
      <c r="H25" s="456"/>
      <c r="I25" s="454"/>
    </row>
    <row r="26" spans="1:7" ht="12" customHeight="1">
      <c r="A26" s="185"/>
      <c r="G26" s="890"/>
    </row>
    <row r="27" spans="1:7" ht="12">
      <c r="A27" s="1368"/>
      <c r="B27" s="634"/>
      <c r="C27" s="608" t="s">
        <v>677</v>
      </c>
      <c r="D27" s="646" t="s">
        <v>370</v>
      </c>
      <c r="E27" s="1583" t="s">
        <v>347</v>
      </c>
      <c r="F27" s="1584"/>
      <c r="G27" s="1585"/>
    </row>
    <row r="28" spans="1:7" ht="12">
      <c r="A28" s="1368"/>
      <c r="B28" s="634"/>
      <c r="C28" s="622" t="s">
        <v>690</v>
      </c>
      <c r="D28" s="1038" t="s">
        <v>373</v>
      </c>
      <c r="E28" s="1586"/>
      <c r="F28" s="1587"/>
      <c r="G28" s="1588"/>
    </row>
    <row r="29" spans="1:7" ht="12">
      <c r="A29" s="1368"/>
      <c r="B29" s="634"/>
      <c r="C29" s="614" t="s">
        <v>374</v>
      </c>
      <c r="D29" s="966" t="s">
        <v>378</v>
      </c>
      <c r="E29" s="635" t="s">
        <v>675</v>
      </c>
      <c r="F29" s="635" t="s">
        <v>676</v>
      </c>
      <c r="G29" s="1095" t="s">
        <v>363</v>
      </c>
    </row>
    <row r="30" spans="1:7" ht="12">
      <c r="A30" s="1367"/>
      <c r="B30" s="636"/>
      <c r="C30" s="29"/>
      <c r="D30" s="29"/>
      <c r="E30" s="30"/>
      <c r="F30" s="637"/>
      <c r="G30" s="30"/>
    </row>
    <row r="31" spans="1:7" ht="12">
      <c r="A31" s="1367" t="s">
        <v>420</v>
      </c>
      <c r="B31" s="636" t="s">
        <v>615</v>
      </c>
      <c r="C31" s="638"/>
      <c r="D31" s="627"/>
      <c r="E31" s="627"/>
      <c r="F31" s="584"/>
      <c r="G31" s="627"/>
    </row>
    <row r="32" spans="1:7" ht="12.75">
      <c r="A32" s="1369">
        <f>A25+1</f>
        <v>2418</v>
      </c>
      <c r="B32" s="616" t="str">
        <f>CONCATENATE("Stand per 31-12-",Voorblad!D3-1)</f>
        <v>Stand per 31-12-2004</v>
      </c>
      <c r="C32" s="486"/>
      <c r="D32"/>
      <c r="E32" s="801">
        <v>1</v>
      </c>
      <c r="F32" s="795"/>
      <c r="G32" s="479">
        <f>C32*E32</f>
        <v>0</v>
      </c>
    </row>
    <row r="33" spans="1:7" ht="12">
      <c r="A33" s="1369">
        <f>A32+1</f>
        <v>2419</v>
      </c>
      <c r="B33" s="616" t="s">
        <v>678</v>
      </c>
      <c r="C33" s="486"/>
      <c r="D33" s="489"/>
      <c r="E33" s="801">
        <f>10.5/12</f>
        <v>0.875</v>
      </c>
      <c r="F33" s="801">
        <v>0.9583</v>
      </c>
      <c r="G33" s="479">
        <f>C33*E33-D33*F33</f>
        <v>0</v>
      </c>
    </row>
    <row r="34" spans="1:7" ht="12">
      <c r="A34" s="1369">
        <f aca="true" t="shared" si="3" ref="A34:A45">A33+1</f>
        <v>2420</v>
      </c>
      <c r="B34" s="616" t="s">
        <v>679</v>
      </c>
      <c r="C34" s="486"/>
      <c r="D34" s="489"/>
      <c r="E34" s="801">
        <f>9.5/12</f>
        <v>0.7916666666666666</v>
      </c>
      <c r="F34" s="801">
        <v>0.875</v>
      </c>
      <c r="G34" s="479">
        <f aca="true" t="shared" si="4" ref="G34:G44">C34*E34-D34*F34</f>
        <v>0</v>
      </c>
    </row>
    <row r="35" spans="1:7" ht="12">
      <c r="A35" s="1369">
        <f t="shared" si="3"/>
        <v>2421</v>
      </c>
      <c r="B35" s="616" t="s">
        <v>680</v>
      </c>
      <c r="C35" s="486"/>
      <c r="D35" s="489"/>
      <c r="E35" s="801">
        <f>8.5/12</f>
        <v>0.7083333333333334</v>
      </c>
      <c r="F35" s="801">
        <v>0.7917</v>
      </c>
      <c r="G35" s="479">
        <f t="shared" si="4"/>
        <v>0</v>
      </c>
    </row>
    <row r="36" spans="1:7" ht="12">
      <c r="A36" s="1369">
        <f t="shared" si="3"/>
        <v>2422</v>
      </c>
      <c r="B36" s="616" t="s">
        <v>681</v>
      </c>
      <c r="C36" s="486"/>
      <c r="D36" s="489"/>
      <c r="E36" s="801">
        <f>7.5/12</f>
        <v>0.625</v>
      </c>
      <c r="F36" s="801">
        <v>0.7083</v>
      </c>
      <c r="G36" s="479">
        <f t="shared" si="4"/>
        <v>0</v>
      </c>
    </row>
    <row r="37" spans="1:7" ht="12">
      <c r="A37" s="1369">
        <f t="shared" si="3"/>
        <v>2423</v>
      </c>
      <c r="B37" s="616" t="s">
        <v>682</v>
      </c>
      <c r="C37" s="486"/>
      <c r="D37" s="489"/>
      <c r="E37" s="801">
        <f>6.5/12</f>
        <v>0.5416666666666666</v>
      </c>
      <c r="F37" s="801">
        <v>0.625</v>
      </c>
      <c r="G37" s="479">
        <f t="shared" si="4"/>
        <v>0</v>
      </c>
    </row>
    <row r="38" spans="1:7" ht="12">
      <c r="A38" s="1369">
        <f t="shared" si="3"/>
        <v>2424</v>
      </c>
      <c r="B38" s="616" t="s">
        <v>683</v>
      </c>
      <c r="C38" s="486"/>
      <c r="D38" s="489"/>
      <c r="E38" s="801">
        <f>5.5/12</f>
        <v>0.4583333333333333</v>
      </c>
      <c r="F38" s="801">
        <v>0.5417</v>
      </c>
      <c r="G38" s="479">
        <f t="shared" si="4"/>
        <v>0</v>
      </c>
    </row>
    <row r="39" spans="1:7" ht="12">
      <c r="A39" s="1369">
        <f t="shared" si="3"/>
        <v>2425</v>
      </c>
      <c r="B39" s="616" t="s">
        <v>684</v>
      </c>
      <c r="C39" s="486"/>
      <c r="D39" s="489"/>
      <c r="E39" s="801">
        <f>4.5/12</f>
        <v>0.375</v>
      </c>
      <c r="F39" s="801">
        <v>0.4583</v>
      </c>
      <c r="G39" s="479">
        <f t="shared" si="4"/>
        <v>0</v>
      </c>
    </row>
    <row r="40" spans="1:7" ht="12">
      <c r="A40" s="1369">
        <f t="shared" si="3"/>
        <v>2426</v>
      </c>
      <c r="B40" s="616" t="s">
        <v>685</v>
      </c>
      <c r="C40" s="486"/>
      <c r="D40" s="489"/>
      <c r="E40" s="801">
        <f>3.5/12</f>
        <v>0.2916666666666667</v>
      </c>
      <c r="F40" s="801">
        <v>0.375</v>
      </c>
      <c r="G40" s="479">
        <f t="shared" si="4"/>
        <v>0</v>
      </c>
    </row>
    <row r="41" spans="1:7" ht="12">
      <c r="A41" s="1369">
        <f t="shared" si="3"/>
        <v>2427</v>
      </c>
      <c r="B41" s="616" t="s">
        <v>686</v>
      </c>
      <c r="C41" s="486"/>
      <c r="D41" s="489"/>
      <c r="E41" s="801">
        <f>2.5/12</f>
        <v>0.20833333333333334</v>
      </c>
      <c r="F41" s="801">
        <v>0.2917</v>
      </c>
      <c r="G41" s="479">
        <f t="shared" si="4"/>
        <v>0</v>
      </c>
    </row>
    <row r="42" spans="1:7" ht="12">
      <c r="A42" s="1369">
        <f t="shared" si="3"/>
        <v>2428</v>
      </c>
      <c r="B42" s="616" t="s">
        <v>687</v>
      </c>
      <c r="C42" s="486"/>
      <c r="D42" s="489"/>
      <c r="E42" s="801">
        <f>1.5/12</f>
        <v>0.125</v>
      </c>
      <c r="F42" s="801">
        <v>0.2083</v>
      </c>
      <c r="G42" s="479">
        <f t="shared" si="4"/>
        <v>0</v>
      </c>
    </row>
    <row r="43" spans="1:7" ht="12">
      <c r="A43" s="1369">
        <f t="shared" si="3"/>
        <v>2429</v>
      </c>
      <c r="B43" s="616" t="s">
        <v>688</v>
      </c>
      <c r="C43" s="486"/>
      <c r="D43" s="489"/>
      <c r="E43" s="801">
        <f>0.5/12</f>
        <v>0.041666666666666664</v>
      </c>
      <c r="F43" s="801">
        <v>0.125</v>
      </c>
      <c r="G43" s="479">
        <f t="shared" si="4"/>
        <v>0</v>
      </c>
    </row>
    <row r="44" spans="1:7" ht="12">
      <c r="A44" s="1369">
        <f t="shared" si="3"/>
        <v>2430</v>
      </c>
      <c r="B44" s="616" t="s">
        <v>689</v>
      </c>
      <c r="C44" s="486"/>
      <c r="D44" s="489"/>
      <c r="E44" s="802">
        <f>-0.5/12</f>
        <v>-0.041666666666666664</v>
      </c>
      <c r="F44" s="801">
        <v>0.0417</v>
      </c>
      <c r="G44" s="479">
        <f t="shared" si="4"/>
        <v>0</v>
      </c>
    </row>
    <row r="45" spans="1:7" ht="12.75">
      <c r="A45" s="1369">
        <f t="shared" si="3"/>
        <v>2431</v>
      </c>
      <c r="B45" s="722" t="str">
        <f>CONCATENATE("Stand per 31-12-",Voorblad!$D$3," (",A32," t/m ",A44,")")</f>
        <v>Stand per 31-12-2005 (2418 t/m 2430)</v>
      </c>
      <c r="C45" s="718">
        <f>SUM(C32:C44)</f>
        <v>0</v>
      </c>
      <c r="D45" s="785">
        <f>SUM(D33:D44)</f>
        <v>0</v>
      </c>
      <c r="E45"/>
      <c r="F45"/>
      <c r="G45" s="718">
        <f>SUM(G32:G44)</f>
        <v>0</v>
      </c>
    </row>
    <row r="46" spans="1:5" ht="12.75">
      <c r="A46" s="1369">
        <f>A45+1</f>
        <v>2432</v>
      </c>
      <c r="B46" s="722" t="str">
        <f>CONCATENATE("Saldo per 31-12-",Voorblad!$D$3,)</f>
        <v>Saldo per 31-12-2005</v>
      </c>
      <c r="C46" s="718">
        <f>C45-D45</f>
        <v>0</v>
      </c>
      <c r="D46"/>
      <c r="E46" s="468"/>
    </row>
    <row r="47" spans="1:5" ht="12">
      <c r="A47" s="1370"/>
      <c r="B47" s="454"/>
      <c r="C47" s="468"/>
      <c r="D47" s="468"/>
      <c r="E47" s="468"/>
    </row>
    <row r="48" spans="1:7" ht="12">
      <c r="A48" s="1378" t="str">
        <f>Inhoud!$A$2</f>
        <v>Nacalculatieformulier 2005</v>
      </c>
      <c r="B48" s="593"/>
      <c r="C48" s="595"/>
      <c r="D48" s="595"/>
      <c r="E48" s="596" t="b">
        <f>Voorblad!D30</f>
        <v>1</v>
      </c>
      <c r="F48" s="596">
        <f>Voorblad!I30</f>
        <v>0</v>
      </c>
      <c r="G48" s="592">
        <f>G2+1</f>
        <v>25</v>
      </c>
    </row>
    <row r="49" spans="1:7" ht="12.75">
      <c r="A49" s="1366"/>
      <c r="B49" s="627"/>
      <c r="C49" s="627"/>
      <c r="D49" s="627"/>
      <c r="E49"/>
      <c r="F49" s="584"/>
      <c r="G49" s="627"/>
    </row>
    <row r="50" spans="1:7" ht="12">
      <c r="A50" s="1368"/>
      <c r="B50" s="634"/>
      <c r="C50" s="608" t="s">
        <v>414</v>
      </c>
      <c r="D50" s="608" t="s">
        <v>415</v>
      </c>
      <c r="E50" s="1096" t="s">
        <v>375</v>
      </c>
      <c r="F50" s="1582" t="s">
        <v>344</v>
      </c>
      <c r="G50" s="1581"/>
    </row>
    <row r="51" spans="1:7" ht="12">
      <c r="A51" s="1368"/>
      <c r="B51" s="634"/>
      <c r="C51" s="614"/>
      <c r="D51" s="640"/>
      <c r="E51" s="614"/>
      <c r="F51" s="641" t="s">
        <v>367</v>
      </c>
      <c r="G51" s="1095" t="s">
        <v>363</v>
      </c>
    </row>
    <row r="52" spans="1:7" ht="12">
      <c r="A52" s="1367"/>
      <c r="B52" s="610"/>
      <c r="C52" s="42"/>
      <c r="D52" s="42"/>
      <c r="E52" s="42"/>
      <c r="F52" s="42"/>
      <c r="G52" s="567"/>
    </row>
    <row r="53" spans="1:7" ht="12">
      <c r="A53" s="1367" t="s">
        <v>421</v>
      </c>
      <c r="B53" s="618" t="s">
        <v>616</v>
      </c>
      <c r="C53" s="638"/>
      <c r="D53" s="627"/>
      <c r="E53" s="627"/>
      <c r="F53" s="584"/>
      <c r="G53" s="627"/>
    </row>
    <row r="54" spans="1:7" ht="13.5" customHeight="1">
      <c r="A54" s="1369">
        <f>G48*100+1</f>
        <v>2501</v>
      </c>
      <c r="B54" s="616" t="str">
        <f>CONCATENATE("Geactiveerd per 31-12-",Voorblad!D3-1)</f>
        <v>Geactiveerd per 31-12-2004</v>
      </c>
      <c r="C54" s="486"/>
      <c r="D54" s="487">
        <v>0</v>
      </c>
      <c r="E54" s="491">
        <f>C54-D54</f>
        <v>0</v>
      </c>
      <c r="F54" s="642">
        <v>1</v>
      </c>
      <c r="G54" s="479">
        <f>E54*F54</f>
        <v>0</v>
      </c>
    </row>
    <row r="55" spans="1:7" ht="12">
      <c r="A55" s="1369">
        <f aca="true" t="shared" si="5" ref="A55:A71">A54+1</f>
        <v>2502</v>
      </c>
      <c r="B55" s="616" t="str">
        <f>CONCATENATE("Geheel afgeschreven in ",Voorblad!D3-1)</f>
        <v>Geheel afgeschreven in 2004</v>
      </c>
      <c r="C55" s="487">
        <v>0</v>
      </c>
      <c r="D55" s="486"/>
      <c r="E55" s="488">
        <f>C55-D55</f>
        <v>0</v>
      </c>
      <c r="F55" s="642"/>
      <c r="G55" s="479"/>
    </row>
    <row r="56" spans="1:7" ht="12.75">
      <c r="A56" s="1369">
        <f t="shared" si="5"/>
        <v>2503</v>
      </c>
      <c r="B56" s="616" t="str">
        <f>CONCATENATE("Onderhanden werk per  31-12-",Voorblad!D3-1)</f>
        <v>Onderhanden werk per  31-12-2004</v>
      </c>
      <c r="C56" s="486"/>
      <c r="D56"/>
      <c r="E56" s="491">
        <f>C56</f>
        <v>0</v>
      </c>
      <c r="F56" s="642">
        <v>1</v>
      </c>
      <c r="G56" s="479">
        <f>E56*F56</f>
        <v>0</v>
      </c>
    </row>
    <row r="57" spans="1:7" ht="12" customHeight="1">
      <c r="A57" s="1369">
        <f t="shared" si="5"/>
        <v>2504</v>
      </c>
      <c r="B57" s="616" t="s">
        <v>56</v>
      </c>
      <c r="C57" s="486"/>
      <c r="D57"/>
      <c r="E57" s="491">
        <f aca="true" t="shared" si="6" ref="E57:E68">C57</f>
        <v>0</v>
      </c>
      <c r="F57" s="801">
        <f>10.5/12</f>
        <v>0.875</v>
      </c>
      <c r="G57" s="479">
        <f aca="true" t="shared" si="7" ref="G57:G67">E57*F57</f>
        <v>0</v>
      </c>
    </row>
    <row r="58" spans="1:7" ht="12" customHeight="1">
      <c r="A58" s="1369">
        <f t="shared" si="5"/>
        <v>2505</v>
      </c>
      <c r="B58" s="616" t="s">
        <v>57</v>
      </c>
      <c r="C58" s="486"/>
      <c r="D58"/>
      <c r="E58" s="491">
        <f t="shared" si="6"/>
        <v>0</v>
      </c>
      <c r="F58" s="801">
        <f>9.5/12</f>
        <v>0.7916666666666666</v>
      </c>
      <c r="G58" s="479">
        <f t="shared" si="7"/>
        <v>0</v>
      </c>
    </row>
    <row r="59" spans="1:7" ht="12" customHeight="1">
      <c r="A59" s="1369">
        <f t="shared" si="5"/>
        <v>2506</v>
      </c>
      <c r="B59" s="616" t="s">
        <v>58</v>
      </c>
      <c r="C59" s="486"/>
      <c r="D59"/>
      <c r="E59" s="491">
        <f t="shared" si="6"/>
        <v>0</v>
      </c>
      <c r="F59" s="801">
        <f>8.5/12</f>
        <v>0.7083333333333334</v>
      </c>
      <c r="G59" s="479">
        <f t="shared" si="7"/>
        <v>0</v>
      </c>
    </row>
    <row r="60" spans="1:7" ht="12" customHeight="1">
      <c r="A60" s="1369">
        <f t="shared" si="5"/>
        <v>2507</v>
      </c>
      <c r="B60" s="616" t="s">
        <v>65</v>
      </c>
      <c r="C60" s="486"/>
      <c r="D60"/>
      <c r="E60" s="491">
        <f t="shared" si="6"/>
        <v>0</v>
      </c>
      <c r="F60" s="801">
        <f>7.5/12</f>
        <v>0.625</v>
      </c>
      <c r="G60" s="479">
        <f>E60*F60</f>
        <v>0</v>
      </c>
    </row>
    <row r="61" spans="1:7" ht="12" customHeight="1">
      <c r="A61" s="1369">
        <f t="shared" si="5"/>
        <v>2508</v>
      </c>
      <c r="B61" s="616" t="s">
        <v>66</v>
      </c>
      <c r="C61" s="486"/>
      <c r="D61"/>
      <c r="E61" s="491">
        <f t="shared" si="6"/>
        <v>0</v>
      </c>
      <c r="F61" s="801">
        <f>6.5/12</f>
        <v>0.5416666666666666</v>
      </c>
      <c r="G61" s="479">
        <f t="shared" si="7"/>
        <v>0</v>
      </c>
    </row>
    <row r="62" spans="1:7" ht="12" customHeight="1">
      <c r="A62" s="1369">
        <f t="shared" si="5"/>
        <v>2509</v>
      </c>
      <c r="B62" s="616" t="s">
        <v>67</v>
      </c>
      <c r="C62" s="486"/>
      <c r="D62"/>
      <c r="E62" s="491">
        <f t="shared" si="6"/>
        <v>0</v>
      </c>
      <c r="F62" s="801">
        <f>5.5/12</f>
        <v>0.4583333333333333</v>
      </c>
      <c r="G62" s="479">
        <f t="shared" si="7"/>
        <v>0</v>
      </c>
    </row>
    <row r="63" spans="1:7" ht="12" customHeight="1">
      <c r="A63" s="1369">
        <f t="shared" si="5"/>
        <v>2510</v>
      </c>
      <c r="B63" s="616" t="s">
        <v>68</v>
      </c>
      <c r="C63" s="486"/>
      <c r="D63"/>
      <c r="E63" s="491">
        <f t="shared" si="6"/>
        <v>0</v>
      </c>
      <c r="F63" s="801">
        <f>4.5/12</f>
        <v>0.375</v>
      </c>
      <c r="G63" s="479">
        <f t="shared" si="7"/>
        <v>0</v>
      </c>
    </row>
    <row r="64" spans="1:7" ht="12" customHeight="1">
      <c r="A64" s="1369">
        <f t="shared" si="5"/>
        <v>2511</v>
      </c>
      <c r="B64" s="616" t="s">
        <v>69</v>
      </c>
      <c r="C64" s="486"/>
      <c r="D64"/>
      <c r="E64" s="491">
        <f t="shared" si="6"/>
        <v>0</v>
      </c>
      <c r="F64" s="801">
        <f>3.5/12</f>
        <v>0.2916666666666667</v>
      </c>
      <c r="G64" s="479">
        <f t="shared" si="7"/>
        <v>0</v>
      </c>
    </row>
    <row r="65" spans="1:7" ht="12" customHeight="1">
      <c r="A65" s="1369">
        <f t="shared" si="5"/>
        <v>2512</v>
      </c>
      <c r="B65" s="616" t="s">
        <v>70</v>
      </c>
      <c r="C65" s="486"/>
      <c r="D65"/>
      <c r="E65" s="491">
        <f t="shared" si="6"/>
        <v>0</v>
      </c>
      <c r="F65" s="801">
        <f>2.5/12</f>
        <v>0.20833333333333334</v>
      </c>
      <c r="G65" s="479">
        <f t="shared" si="7"/>
        <v>0</v>
      </c>
    </row>
    <row r="66" spans="1:7" ht="12" customHeight="1">
      <c r="A66" s="1369">
        <f t="shared" si="5"/>
        <v>2513</v>
      </c>
      <c r="B66" s="616" t="s">
        <v>71</v>
      </c>
      <c r="C66" s="486"/>
      <c r="D66"/>
      <c r="E66" s="491">
        <f t="shared" si="6"/>
        <v>0</v>
      </c>
      <c r="F66" s="801">
        <f>1.5/12</f>
        <v>0.125</v>
      </c>
      <c r="G66" s="479">
        <f t="shared" si="7"/>
        <v>0</v>
      </c>
    </row>
    <row r="67" spans="1:9" ht="12" customHeight="1">
      <c r="A67" s="1369">
        <f t="shared" si="5"/>
        <v>2514</v>
      </c>
      <c r="B67" s="616" t="s">
        <v>72</v>
      </c>
      <c r="C67" s="486"/>
      <c r="D67"/>
      <c r="E67" s="491">
        <f t="shared" si="6"/>
        <v>0</v>
      </c>
      <c r="F67" s="801">
        <f>0.5/12</f>
        <v>0.041666666666666664</v>
      </c>
      <c r="G67" s="479">
        <f t="shared" si="7"/>
        <v>0</v>
      </c>
      <c r="I67" s="454"/>
    </row>
    <row r="68" spans="1:7" ht="12" customHeight="1">
      <c r="A68" s="1369">
        <f t="shared" si="5"/>
        <v>2515</v>
      </c>
      <c r="B68" s="616" t="s">
        <v>73</v>
      </c>
      <c r="C68" s="486"/>
      <c r="D68"/>
      <c r="E68" s="491">
        <f t="shared" si="6"/>
        <v>0</v>
      </c>
      <c r="F68" s="802">
        <f>-0.5/12</f>
        <v>-0.041666666666666664</v>
      </c>
      <c r="G68" s="479">
        <f>E68*F68</f>
        <v>0</v>
      </c>
    </row>
    <row r="69" spans="1:7" ht="12" customHeight="1">
      <c r="A69" s="1369">
        <f t="shared" si="5"/>
        <v>2516</v>
      </c>
      <c r="B69" s="616" t="str">
        <f>CONCATENATE("Afschrijving ",Voorblad!D3)</f>
        <v>Afschrijving 2005</v>
      </c>
      <c r="C69"/>
      <c r="D69" s="487">
        <v>0</v>
      </c>
      <c r="E69" s="492">
        <f>D69</f>
        <v>0</v>
      </c>
      <c r="F69" s="642">
        <v>0.5</v>
      </c>
      <c r="G69" s="492">
        <f>E69*F69</f>
        <v>0</v>
      </c>
    </row>
    <row r="70" spans="1:7" ht="12" customHeight="1">
      <c r="A70" s="1369">
        <f t="shared" si="5"/>
        <v>2517</v>
      </c>
      <c r="B70" s="616" t="str">
        <f>CONCATENATE("Onderhanden werk per  31-12-",Voorblad!D3)</f>
        <v>Onderhanden werk per  31-12-2005</v>
      </c>
      <c r="C70" s="487">
        <v>0</v>
      </c>
      <c r="D70"/>
      <c r="E70" s="492">
        <f>C70</f>
        <v>0</v>
      </c>
      <c r="F70"/>
      <c r="G70"/>
    </row>
    <row r="71" spans="1:9" ht="12" customHeight="1">
      <c r="A71" s="1369">
        <f t="shared" si="5"/>
        <v>2518</v>
      </c>
      <c r="B71" s="722" t="str">
        <f>CONCATENATE("Geactiveerd per 31-12-",Voorblad!D3," (",A54," t/m ",A70,")")</f>
        <v>Geactiveerd per 31-12-2005 (2501 t/m 2517)</v>
      </c>
      <c r="C71" s="718">
        <f>C54-C55+SUM(C56:C68)-C70</f>
        <v>0</v>
      </c>
      <c r="D71" s="721">
        <f>D54-D55+D69</f>
        <v>0</v>
      </c>
      <c r="E71" s="718">
        <f>E54+SUM(E56:E68)-E69-E70</f>
        <v>0</v>
      </c>
      <c r="F71"/>
      <c r="G71" s="718">
        <f>SUM(G54:G68)-G69</f>
        <v>0</v>
      </c>
      <c r="I71" s="458"/>
    </row>
    <row r="72" spans="1:5" ht="12" customHeight="1">
      <c r="A72" s="1371"/>
      <c r="B72" s="1136"/>
      <c r="C72" s="1064"/>
      <c r="D72" s="1220"/>
      <c r="E72" s="1064"/>
    </row>
    <row r="73" spans="1:6" ht="12" customHeight="1">
      <c r="A73" s="1371"/>
      <c r="B73" s="1065"/>
      <c r="C73" s="1066"/>
      <c r="D73" s="1220"/>
      <c r="E73" s="1066"/>
      <c r="F73" s="456"/>
    </row>
    <row r="74" ht="12">
      <c r="A74" s="1372"/>
    </row>
    <row r="75" spans="1:6" ht="12">
      <c r="A75" s="959"/>
      <c r="C75" s="456"/>
      <c r="D75" s="456"/>
      <c r="E75" s="456"/>
      <c r="F75" s="456"/>
    </row>
    <row r="76" spans="1:12" ht="12">
      <c r="A76" s="1368"/>
      <c r="B76" s="567"/>
      <c r="C76" s="608" t="s">
        <v>567</v>
      </c>
      <c r="D76" s="646" t="s">
        <v>9</v>
      </c>
      <c r="E76" s="608" t="s">
        <v>7</v>
      </c>
      <c r="F76" s="646" t="s">
        <v>345</v>
      </c>
      <c r="G76" s="646" t="s">
        <v>567</v>
      </c>
      <c r="I76" s="563"/>
      <c r="J76" s="563"/>
      <c r="K76" s="482"/>
      <c r="L76" s="454"/>
    </row>
    <row r="77" spans="1:12" ht="12" customHeight="1">
      <c r="A77" s="1368"/>
      <c r="B77" s="567"/>
      <c r="C77" s="609" t="s">
        <v>568</v>
      </c>
      <c r="D77" s="609"/>
      <c r="E77" s="609" t="s">
        <v>8</v>
      </c>
      <c r="F77" s="647"/>
      <c r="G77" s="647" t="s">
        <v>569</v>
      </c>
      <c r="I77" s="563"/>
      <c r="J77" s="563"/>
      <c r="K77" s="482"/>
      <c r="L77" s="454"/>
    </row>
    <row r="78" spans="1:12" ht="12" customHeight="1">
      <c r="A78" s="1367"/>
      <c r="B78" s="648"/>
      <c r="C78" s="29"/>
      <c r="D78" s="29"/>
      <c r="E78" s="29"/>
      <c r="F78" s="567"/>
      <c r="G78" s="161"/>
      <c r="I78" s="563"/>
      <c r="J78" s="563"/>
      <c r="K78" s="482"/>
      <c r="L78" s="454"/>
    </row>
    <row r="79" spans="1:12" ht="12" customHeight="1">
      <c r="A79" s="1366" t="s">
        <v>25</v>
      </c>
      <c r="B79" s="47" t="s">
        <v>429</v>
      </c>
      <c r="C79" s="163"/>
      <c r="D79" s="163"/>
      <c r="E79" s="163"/>
      <c r="F79" s="42"/>
      <c r="G79" s="42"/>
      <c r="I79" s="563"/>
      <c r="J79" s="563"/>
      <c r="K79" s="482"/>
      <c r="L79" s="454"/>
    </row>
    <row r="80" spans="1:12" ht="12" customHeight="1">
      <c r="A80" s="1369">
        <f>A71+1</f>
        <v>2519</v>
      </c>
      <c r="B80" s="189">
        <f>Voorblad!D$3</f>
        <v>2005</v>
      </c>
      <c r="C80" s="433"/>
      <c r="D80" s="1086">
        <f aca="true" t="shared" si="8" ref="D80:D88">D81+1</f>
        <v>2015</v>
      </c>
      <c r="E80" s="433"/>
      <c r="F80" s="1103">
        <v>9.5</v>
      </c>
      <c r="G80" s="479">
        <f>(C80+E80)*F80</f>
        <v>0</v>
      </c>
      <c r="I80" s="563"/>
      <c r="J80" s="563"/>
      <c r="K80" s="482"/>
      <c r="L80" s="454"/>
    </row>
    <row r="81" spans="1:12" ht="12" customHeight="1">
      <c r="A81" s="1369">
        <f>A80+1</f>
        <v>2520</v>
      </c>
      <c r="B81" s="189">
        <f>Voorblad!D$3-1</f>
        <v>2004</v>
      </c>
      <c r="C81" s="433"/>
      <c r="D81" s="1086">
        <f t="shared" si="8"/>
        <v>2014</v>
      </c>
      <c r="E81" s="433"/>
      <c r="F81" s="1103">
        <v>8.5</v>
      </c>
      <c r="G81" s="479">
        <f aca="true" t="shared" si="9" ref="G81:G89">(C81+E81)*F81</f>
        <v>0</v>
      </c>
      <c r="I81" s="563"/>
      <c r="J81" s="563"/>
      <c r="K81" s="482"/>
      <c r="L81" s="454"/>
    </row>
    <row r="82" spans="1:12" ht="12" customHeight="1">
      <c r="A82" s="1369">
        <f>A81+1</f>
        <v>2521</v>
      </c>
      <c r="B82" s="189">
        <f>Voorblad!D$3-2</f>
        <v>2003</v>
      </c>
      <c r="C82" s="433"/>
      <c r="D82" s="1086">
        <f t="shared" si="8"/>
        <v>2013</v>
      </c>
      <c r="E82" s="433"/>
      <c r="F82" s="1103">
        <v>7.5</v>
      </c>
      <c r="G82" s="479">
        <f t="shared" si="9"/>
        <v>0</v>
      </c>
      <c r="I82" s="563"/>
      <c r="J82" s="563"/>
      <c r="K82" s="482"/>
      <c r="L82" s="454"/>
    </row>
    <row r="83" spans="1:12" ht="12" customHeight="1">
      <c r="A83" s="1369">
        <f>A82+1</f>
        <v>2522</v>
      </c>
      <c r="B83" s="189">
        <f>Voorblad!D$3-3</f>
        <v>2002</v>
      </c>
      <c r="C83" s="433"/>
      <c r="D83" s="1086">
        <f t="shared" si="8"/>
        <v>2012</v>
      </c>
      <c r="E83" s="433"/>
      <c r="F83" s="1103">
        <v>6.5</v>
      </c>
      <c r="G83" s="479">
        <f t="shared" si="9"/>
        <v>0</v>
      </c>
      <c r="I83" s="563"/>
      <c r="J83" s="563"/>
      <c r="K83" s="482"/>
      <c r="L83" s="454"/>
    </row>
    <row r="84" spans="1:12" ht="12" customHeight="1">
      <c r="A84" s="1369">
        <f aca="true" t="shared" si="10" ref="A84:A90">A83+1</f>
        <v>2523</v>
      </c>
      <c r="B84" s="189">
        <f>Voorblad!D$3-4</f>
        <v>2001</v>
      </c>
      <c r="C84" s="433"/>
      <c r="D84" s="1086">
        <f t="shared" si="8"/>
        <v>2011</v>
      </c>
      <c r="E84" s="433"/>
      <c r="F84" s="1103">
        <v>5.5</v>
      </c>
      <c r="G84" s="479">
        <f t="shared" si="9"/>
        <v>0</v>
      </c>
      <c r="J84" s="456"/>
      <c r="K84" s="454"/>
      <c r="L84" s="454"/>
    </row>
    <row r="85" spans="1:12" ht="12" customHeight="1">
      <c r="A85" s="1369">
        <f t="shared" si="10"/>
        <v>2524</v>
      </c>
      <c r="B85" s="189">
        <f>Voorblad!D$3-5</f>
        <v>2000</v>
      </c>
      <c r="C85" s="433"/>
      <c r="D85" s="1086">
        <f t="shared" si="8"/>
        <v>2010</v>
      </c>
      <c r="E85" s="433"/>
      <c r="F85" s="1103">
        <v>4.5</v>
      </c>
      <c r="G85" s="479">
        <f t="shared" si="9"/>
        <v>0</v>
      </c>
      <c r="J85" s="458"/>
      <c r="K85" s="468"/>
      <c r="L85" s="454"/>
    </row>
    <row r="86" spans="1:12" ht="12" customHeight="1">
      <c r="A86" s="1369">
        <f t="shared" si="10"/>
        <v>2525</v>
      </c>
      <c r="B86" s="189">
        <f>Voorblad!D$3-6</f>
        <v>1999</v>
      </c>
      <c r="C86" s="433"/>
      <c r="D86" s="1086">
        <f t="shared" si="8"/>
        <v>2009</v>
      </c>
      <c r="E86" s="433"/>
      <c r="F86" s="1103">
        <v>3.5</v>
      </c>
      <c r="G86" s="479">
        <f t="shared" si="9"/>
        <v>0</v>
      </c>
      <c r="J86" s="458"/>
      <c r="K86" s="468"/>
      <c r="L86" s="454"/>
    </row>
    <row r="87" spans="1:12" ht="12" customHeight="1">
      <c r="A87" s="1369">
        <f t="shared" si="10"/>
        <v>2526</v>
      </c>
      <c r="B87" s="189">
        <f>Voorblad!D$3-7</f>
        <v>1998</v>
      </c>
      <c r="C87" s="433"/>
      <c r="D87" s="1086">
        <f t="shared" si="8"/>
        <v>2008</v>
      </c>
      <c r="E87" s="433"/>
      <c r="F87" s="1103">
        <v>2.5</v>
      </c>
      <c r="G87" s="479">
        <f t="shared" si="9"/>
        <v>0</v>
      </c>
      <c r="J87" s="456"/>
      <c r="K87" s="454"/>
      <c r="L87" s="454"/>
    </row>
    <row r="88" spans="1:12" ht="12" customHeight="1">
      <c r="A88" s="1369">
        <f t="shared" si="10"/>
        <v>2527</v>
      </c>
      <c r="B88" s="189">
        <f>Voorblad!D$3-8</f>
        <v>1997</v>
      </c>
      <c r="C88" s="433"/>
      <c r="D88" s="1086">
        <f t="shared" si="8"/>
        <v>2007</v>
      </c>
      <c r="E88" s="433"/>
      <c r="F88" s="1103">
        <v>1.5</v>
      </c>
      <c r="G88" s="479">
        <f t="shared" si="9"/>
        <v>0</v>
      </c>
      <c r="J88" s="456"/>
      <c r="K88" s="454"/>
      <c r="L88" s="454"/>
    </row>
    <row r="89" spans="1:12" ht="12" customHeight="1">
      <c r="A89" s="1369">
        <f t="shared" si="10"/>
        <v>2528</v>
      </c>
      <c r="B89" s="253">
        <f>Voorblad!D$3-9</f>
        <v>1996</v>
      </c>
      <c r="C89" s="709"/>
      <c r="D89" s="1087">
        <f>Voorblad!D3+1</f>
        <v>2006</v>
      </c>
      <c r="E89" s="709"/>
      <c r="F89" s="1104">
        <v>0.5</v>
      </c>
      <c r="G89" s="479">
        <f t="shared" si="9"/>
        <v>0</v>
      </c>
      <c r="J89" s="456"/>
      <c r="K89" s="454"/>
      <c r="L89" s="454"/>
    </row>
    <row r="90" spans="1:9" ht="12" customHeight="1">
      <c r="A90" s="1369">
        <f t="shared" si="10"/>
        <v>2529</v>
      </c>
      <c r="B90" s="1589" t="str">
        <f>CONCATENATE("toegerekende boekwaarde automatiseringsapparatuur (27% * regel ",A80," * 10")</f>
        <v>toegerekende boekwaarde automatiseringsapparatuur (27% * regel 2519 * 10</v>
      </c>
      <c r="C90" s="1590"/>
      <c r="D90" s="1590"/>
      <c r="E90" s="1590"/>
      <c r="F90" s="1591"/>
      <c r="G90" s="994">
        <f>0.27*10*C80</f>
        <v>0</v>
      </c>
      <c r="I90" s="454"/>
    </row>
    <row r="91" spans="1:9" ht="12" customHeight="1">
      <c r="A91" s="1369">
        <f>A90+1</f>
        <v>2530</v>
      </c>
      <c r="B91" s="1082" t="str">
        <f>CONCATENATE("Totaal (regel ",A80," t/m ",A90,")")</f>
        <v>Totaal (regel 2519 t/m 2529)</v>
      </c>
      <c r="C91" s="1083">
        <f>SUM(C80:C89)</f>
        <v>0</v>
      </c>
      <c r="D91" s="1084"/>
      <c r="E91" s="1083">
        <f>SUM(E80:E90)</f>
        <v>0</v>
      </c>
      <c r="F91" s="1085"/>
      <c r="G91" s="1108">
        <f>SUM(G80:G90)</f>
        <v>0</v>
      </c>
      <c r="I91" s="454"/>
    </row>
    <row r="92" spans="1:9" ht="12" customHeight="1">
      <c r="A92" s="114" t="str">
        <f>CONCATENATE("* zie onderbouwing regel 40 laatste rekenstaat ",Voorblad!D3,)</f>
        <v>* zie onderbouwing regel 40 laatste rekenstaat 2005</v>
      </c>
      <c r="C92" s="456"/>
      <c r="D92" s="456"/>
      <c r="E92" s="456"/>
      <c r="F92" s="456"/>
      <c r="I92" s="454"/>
    </row>
    <row r="93" spans="1:7" ht="12" customHeight="1">
      <c r="A93" s="1366"/>
      <c r="B93" s="567"/>
      <c r="C93" s="42"/>
      <c r="D93" s="42"/>
      <c r="E93" s="42"/>
      <c r="F93" s="42"/>
      <c r="G93" s="567"/>
    </row>
    <row r="94" spans="1:10" ht="12" customHeight="1">
      <c r="A94" s="1378" t="str">
        <f>Inhoud!$A$2</f>
        <v>Nacalculatieformulier 2005</v>
      </c>
      <c r="B94" s="593"/>
      <c r="C94" s="595"/>
      <c r="D94" s="595"/>
      <c r="E94" s="596">
        <f>Voorblad!D122</f>
        <v>0</v>
      </c>
      <c r="F94" s="596"/>
      <c r="G94" s="592">
        <f>G48+1</f>
        <v>26</v>
      </c>
      <c r="H94" s="499"/>
      <c r="I94" s="499"/>
      <c r="J94" s="500"/>
    </row>
    <row r="95" spans="1:10" ht="12" customHeight="1">
      <c r="A95" s="1373"/>
      <c r="B95" s="91"/>
      <c r="C95" s="587"/>
      <c r="D95" s="587"/>
      <c r="E95" s="588"/>
      <c r="F95" s="588"/>
      <c r="G95" s="589"/>
      <c r="H95" s="499"/>
      <c r="I95" s="499"/>
      <c r="J95" s="500"/>
    </row>
    <row r="96" spans="1:10" ht="12" customHeight="1">
      <c r="A96" s="1373"/>
      <c r="B96" s="91"/>
      <c r="C96" s="587"/>
      <c r="D96" s="587"/>
      <c r="E96" s="588"/>
      <c r="F96" s="588"/>
      <c r="G96" s="589"/>
      <c r="H96" s="499"/>
      <c r="I96" s="499"/>
      <c r="J96" s="500"/>
    </row>
    <row r="97" spans="1:12" ht="12" customHeight="1">
      <c r="A97" s="1368"/>
      <c r="B97" s="567"/>
      <c r="C97" s="608" t="s">
        <v>567</v>
      </c>
      <c r="D97" s="646" t="s">
        <v>10</v>
      </c>
      <c r="E97" s="646" t="s">
        <v>7</v>
      </c>
      <c r="F97" s="646" t="s">
        <v>345</v>
      </c>
      <c r="G97" s="646" t="s">
        <v>567</v>
      </c>
      <c r="I97" s="563"/>
      <c r="J97" s="563"/>
      <c r="K97" s="482"/>
      <c r="L97" s="500"/>
    </row>
    <row r="98" spans="1:12" ht="12" customHeight="1">
      <c r="A98" s="1368"/>
      <c r="B98" s="567"/>
      <c r="C98" s="609" t="s">
        <v>568</v>
      </c>
      <c r="D98" s="647"/>
      <c r="E98" s="647" t="s">
        <v>8</v>
      </c>
      <c r="F98" s="647"/>
      <c r="G98" s="647" t="s">
        <v>569</v>
      </c>
      <c r="I98" s="563"/>
      <c r="J98" s="563"/>
      <c r="K98" s="482"/>
      <c r="L98" s="500"/>
    </row>
    <row r="99" spans="1:12" ht="12" customHeight="1">
      <c r="A99" s="1367"/>
      <c r="B99" s="648"/>
      <c r="C99" s="29"/>
      <c r="D99" s="567"/>
      <c r="E99" s="567"/>
      <c r="F99" s="567"/>
      <c r="G99" s="161"/>
      <c r="I99" s="563"/>
      <c r="J99" s="563"/>
      <c r="K99" s="482"/>
      <c r="L99" s="500"/>
    </row>
    <row r="100" spans="1:12" ht="12" customHeight="1">
      <c r="A100" s="1366" t="s">
        <v>425</v>
      </c>
      <c r="B100" s="47" t="s">
        <v>26</v>
      </c>
      <c r="C100" s="163"/>
      <c r="D100" s="42"/>
      <c r="E100" s="42"/>
      <c r="F100" s="42"/>
      <c r="G100" s="42"/>
      <c r="I100" s="563"/>
      <c r="J100" s="563"/>
      <c r="K100" s="482"/>
      <c r="L100" s="500"/>
    </row>
    <row r="101" spans="1:12" ht="12" customHeight="1">
      <c r="A101" s="1374">
        <f>G94*100+1</f>
        <v>2601</v>
      </c>
      <c r="B101" s="189">
        <f>Voorblad!D$3</f>
        <v>2005</v>
      </c>
      <c r="C101" s="433"/>
      <c r="D101" s="1086">
        <f aca="true" t="shared" si="11" ref="D101:D109">D102+1</f>
        <v>2015</v>
      </c>
      <c r="E101" s="433"/>
      <c r="F101" s="496">
        <v>9.5</v>
      </c>
      <c r="G101" s="479">
        <f>(C101+E101)*F101</f>
        <v>0</v>
      </c>
      <c r="I101" s="563"/>
      <c r="J101" s="563"/>
      <c r="K101" s="482"/>
      <c r="L101" s="500"/>
    </row>
    <row r="102" spans="1:12" ht="12" customHeight="1">
      <c r="A102" s="1369">
        <f>A101+1</f>
        <v>2602</v>
      </c>
      <c r="B102" s="189">
        <f>Voorblad!D$3-1</f>
        <v>2004</v>
      </c>
      <c r="C102" s="433"/>
      <c r="D102" s="1086">
        <f t="shared" si="11"/>
        <v>2014</v>
      </c>
      <c r="E102" s="433"/>
      <c r="F102" s="496">
        <v>8.5</v>
      </c>
      <c r="G102" s="479">
        <f aca="true" t="shared" si="12" ref="G102:G109">(C102+E102)*F102</f>
        <v>0</v>
      </c>
      <c r="I102" s="563"/>
      <c r="J102" s="563"/>
      <c r="K102" s="482"/>
      <c r="L102" s="500"/>
    </row>
    <row r="103" spans="1:12" ht="12" customHeight="1">
      <c r="A103" s="1369">
        <f>A102+1</f>
        <v>2603</v>
      </c>
      <c r="B103" s="189">
        <f>Voorblad!D$3-2</f>
        <v>2003</v>
      </c>
      <c r="C103" s="433"/>
      <c r="D103" s="1086">
        <f t="shared" si="11"/>
        <v>2013</v>
      </c>
      <c r="E103" s="433"/>
      <c r="F103" s="496">
        <v>7.5</v>
      </c>
      <c r="G103" s="479">
        <f t="shared" si="12"/>
        <v>0</v>
      </c>
      <c r="I103" s="563"/>
      <c r="J103" s="563"/>
      <c r="K103" s="482"/>
      <c r="L103" s="500"/>
    </row>
    <row r="104" spans="1:12" ht="12" customHeight="1">
      <c r="A104" s="1369">
        <f>A103+1</f>
        <v>2604</v>
      </c>
      <c r="B104" s="189">
        <f>Voorblad!D$3-3</f>
        <v>2002</v>
      </c>
      <c r="C104" s="433"/>
      <c r="D104" s="1086">
        <f t="shared" si="11"/>
        <v>2012</v>
      </c>
      <c r="E104" s="433"/>
      <c r="F104" s="496">
        <v>6.5</v>
      </c>
      <c r="G104" s="479">
        <f t="shared" si="12"/>
        <v>0</v>
      </c>
      <c r="I104" s="563"/>
      <c r="J104" s="563"/>
      <c r="K104" s="482"/>
      <c r="L104" s="500"/>
    </row>
    <row r="105" spans="1:12" ht="12" customHeight="1">
      <c r="A105" s="1369">
        <f aca="true" t="shared" si="13" ref="A105:A110">A104+1</f>
        <v>2605</v>
      </c>
      <c r="B105" s="189">
        <f>Voorblad!D$3-4</f>
        <v>2001</v>
      </c>
      <c r="C105" s="433"/>
      <c r="D105" s="1086">
        <f t="shared" si="11"/>
        <v>2011</v>
      </c>
      <c r="E105" s="433"/>
      <c r="F105" s="496">
        <v>5.5</v>
      </c>
      <c r="G105" s="479">
        <f t="shared" si="12"/>
        <v>0</v>
      </c>
      <c r="J105" s="456"/>
      <c r="K105" s="454"/>
      <c r="L105" s="500"/>
    </row>
    <row r="106" spans="1:12" ht="12" customHeight="1">
      <c r="A106" s="1369">
        <f t="shared" si="13"/>
        <v>2606</v>
      </c>
      <c r="B106" s="189" t="str">
        <f>Voorblad!D$3-5&amp;"    (en variabel deel radiotherapie "&amp;Voorblad!D$3&amp;")"</f>
        <v>2000    (en variabel deel radiotherapie 2005)</v>
      </c>
      <c r="C106" s="433"/>
      <c r="D106" s="1086">
        <f t="shared" si="11"/>
        <v>2010</v>
      </c>
      <c r="E106" s="433"/>
      <c r="F106" s="496">
        <v>4.5</v>
      </c>
      <c r="G106" s="479">
        <f t="shared" si="12"/>
        <v>0</v>
      </c>
      <c r="J106" s="458"/>
      <c r="K106" s="468"/>
      <c r="L106" s="500"/>
    </row>
    <row r="107" spans="1:12" ht="12" customHeight="1">
      <c r="A107" s="1369">
        <f t="shared" si="13"/>
        <v>2607</v>
      </c>
      <c r="B107" s="189" t="str">
        <f>Voorblad!D$3-6&amp;"    (en variabel deel radiotherapie "&amp;Voorblad!D$3-1&amp;")"</f>
        <v>1999    (en variabel deel radiotherapie 2004)</v>
      </c>
      <c r="C107" s="433"/>
      <c r="D107" s="1086">
        <f t="shared" si="11"/>
        <v>2009</v>
      </c>
      <c r="E107" s="433"/>
      <c r="F107" s="496">
        <v>3.5</v>
      </c>
      <c r="G107" s="479">
        <f t="shared" si="12"/>
        <v>0</v>
      </c>
      <c r="J107" s="458"/>
      <c r="K107" s="468"/>
      <c r="L107" s="500"/>
    </row>
    <row r="108" spans="1:12" ht="12" customHeight="1">
      <c r="A108" s="1369">
        <f t="shared" si="13"/>
        <v>2608</v>
      </c>
      <c r="B108" s="189" t="str">
        <f>Voorblad!D$3-7&amp;"    (en variabel deel radiotherapie "&amp;Voorblad!D$3-2&amp;")"</f>
        <v>1998    (en variabel deel radiotherapie 2003)</v>
      </c>
      <c r="C108" s="433"/>
      <c r="D108" s="1086">
        <f t="shared" si="11"/>
        <v>2008</v>
      </c>
      <c r="E108" s="433"/>
      <c r="F108" s="496">
        <v>2.5</v>
      </c>
      <c r="G108" s="479">
        <f t="shared" si="12"/>
        <v>0</v>
      </c>
      <c r="J108" s="456"/>
      <c r="K108" s="454"/>
      <c r="L108" s="500"/>
    </row>
    <row r="109" spans="1:12" ht="12" customHeight="1">
      <c r="A109" s="1369">
        <f t="shared" si="13"/>
        <v>2609</v>
      </c>
      <c r="B109" s="189" t="str">
        <f>Voorblad!D$3-8&amp;"    (en variabel deel radiotherapie "&amp;Voorblad!D$3-3&amp;")"</f>
        <v>1997    (en variabel deel radiotherapie 2002)</v>
      </c>
      <c r="C109" s="433"/>
      <c r="D109" s="1086">
        <f t="shared" si="11"/>
        <v>2007</v>
      </c>
      <c r="E109" s="433"/>
      <c r="F109" s="496">
        <v>1.5</v>
      </c>
      <c r="G109" s="479">
        <f t="shared" si="12"/>
        <v>0</v>
      </c>
      <c r="J109" s="456"/>
      <c r="K109" s="454"/>
      <c r="L109" s="500"/>
    </row>
    <row r="110" spans="1:12" ht="12" customHeight="1">
      <c r="A110" s="1369">
        <f t="shared" si="13"/>
        <v>2610</v>
      </c>
      <c r="B110" s="189" t="str">
        <f>Voorblad!D$3-9&amp;"    (en variabel deel radiotherapie "&amp;Voorblad!D$3-4&amp;")"</f>
        <v>1996    (en variabel deel radiotherapie 2001)</v>
      </c>
      <c r="C110" s="709"/>
      <c r="D110" s="1087">
        <f>Voorblad!D3+1</f>
        <v>2006</v>
      </c>
      <c r="E110" s="433"/>
      <c r="F110" s="745">
        <v>0.5</v>
      </c>
      <c r="G110" s="479">
        <f>(C110+E110)*F110</f>
        <v>0</v>
      </c>
      <c r="J110" s="456"/>
      <c r="K110" s="454"/>
      <c r="L110" s="500"/>
    </row>
    <row r="111" spans="1:12" ht="12" customHeight="1">
      <c r="A111" s="1369">
        <f>A110+1</f>
        <v>2611</v>
      </c>
      <c r="B111" s="722" t="str">
        <f>CONCATENATE("Totaal (regel ",A101," t/m ",A110,")")</f>
        <v>Totaal (regel 2601 t/m 2610)</v>
      </c>
      <c r="C111" s="1093">
        <f>SUM(C101:C110)</f>
        <v>0</v>
      </c>
      <c r="D111" s="1094"/>
      <c r="E111" s="1089"/>
      <c r="F111" s="1094"/>
      <c r="G111" s="1093">
        <f>SUM(G101:G110)</f>
        <v>0</v>
      </c>
      <c r="J111" s="456"/>
      <c r="K111" s="454"/>
      <c r="L111" s="500"/>
    </row>
    <row r="112" spans="1:10" ht="12" customHeight="1">
      <c r="A112" s="1379" t="str">
        <f>CONCATENATE("* zie onderbouwing regel 41 laatste rekenstaat ",Voorblad!D24,)</f>
        <v>* zie onderbouwing regel 41 laatste rekenstaat </v>
      </c>
      <c r="B112" s="482"/>
      <c r="C112" s="456"/>
      <c r="D112" s="456"/>
      <c r="E112" s="1088"/>
      <c r="F112" s="456"/>
      <c r="I112" s="454"/>
      <c r="J112" s="500"/>
    </row>
    <row r="113" spans="1:10" ht="12" customHeight="1">
      <c r="A113" s="1373"/>
      <c r="B113" s="91"/>
      <c r="C113" s="587"/>
      <c r="D113" s="587"/>
      <c r="E113" s="1088"/>
      <c r="F113" s="588"/>
      <c r="G113" s="589"/>
      <c r="H113" s="499"/>
      <c r="I113" s="499"/>
      <c r="J113" s="500"/>
    </row>
    <row r="114" spans="1:10" ht="12" customHeight="1">
      <c r="A114" s="1368" t="s">
        <v>27</v>
      </c>
      <c r="B114" s="995" t="s">
        <v>458</v>
      </c>
      <c r="C114" s="587"/>
      <c r="D114" s="587"/>
      <c r="E114" s="1088"/>
      <c r="F114" s="588"/>
      <c r="G114" s="589"/>
      <c r="H114" s="499"/>
      <c r="I114" s="499"/>
      <c r="J114" s="500"/>
    </row>
    <row r="115" spans="1:7" ht="12" customHeight="1">
      <c r="A115" s="1375">
        <f>A111+1</f>
        <v>2612</v>
      </c>
      <c r="B115" s="1090" t="s">
        <v>157</v>
      </c>
      <c r="C115" s="1091"/>
      <c r="D115" s="1091"/>
      <c r="E115" s="351"/>
      <c r="F115" s="1092"/>
      <c r="G115" s="1105">
        <f>Mutaties!E25</f>
        <v>0</v>
      </c>
    </row>
    <row r="116" spans="1:7" ht="12" customHeight="1">
      <c r="A116" s="1375">
        <f>A115+1</f>
        <v>2613</v>
      </c>
      <c r="B116" s="191" t="s">
        <v>822</v>
      </c>
      <c r="C116" s="643"/>
      <c r="D116" s="643"/>
      <c r="E116" s="644"/>
      <c r="F116" s="645"/>
      <c r="G116" s="1255">
        <f>ROUND(Opbrengsten!J22*0.875,0)</f>
        <v>0</v>
      </c>
    </row>
    <row r="117" spans="1:7" ht="12" customHeight="1">
      <c r="A117" s="1375">
        <f>A116+1</f>
        <v>2614</v>
      </c>
      <c r="B117" s="191" t="s">
        <v>624</v>
      </c>
      <c r="C117" s="643"/>
      <c r="D117" s="643"/>
      <c r="E117" s="644"/>
      <c r="F117" s="645"/>
      <c r="G117" s="1255">
        <f>Opbrengsten!E19</f>
        <v>0</v>
      </c>
    </row>
    <row r="118" spans="1:7" ht="12" customHeight="1">
      <c r="A118" s="1375">
        <f>A117+1</f>
        <v>2615</v>
      </c>
      <c r="B118" s="191" t="s">
        <v>522</v>
      </c>
      <c r="C118" s="643"/>
      <c r="D118" s="643"/>
      <c r="E118" s="644"/>
      <c r="F118" s="645"/>
      <c r="G118" s="1047"/>
    </row>
    <row r="119" spans="1:7" ht="12" customHeight="1">
      <c r="A119" s="1375">
        <f>A118+1</f>
        <v>2616</v>
      </c>
      <c r="B119" s="989" t="s">
        <v>625</v>
      </c>
      <c r="C119" s="996"/>
      <c r="D119" s="996"/>
      <c r="E119" s="717"/>
      <c r="F119" s="997"/>
      <c r="G119" s="1048">
        <f>G118+(0.068*SUM(G115:G117))</f>
        <v>0</v>
      </c>
    </row>
    <row r="120" spans="1:6" ht="12" customHeight="1">
      <c r="A120" s="959"/>
      <c r="C120" s="456"/>
      <c r="D120" s="456"/>
      <c r="E120" s="456"/>
      <c r="F120" s="456"/>
    </row>
    <row r="121" ht="12" customHeight="1">
      <c r="A121" s="1372"/>
    </row>
    <row r="122" spans="1:7" ht="12" customHeight="1">
      <c r="A122" s="1366"/>
      <c r="B122" s="567"/>
      <c r="C122" s="42"/>
      <c r="D122" s="42"/>
      <c r="E122" s="42"/>
      <c r="F122" s="42"/>
      <c r="G122" s="567"/>
    </row>
    <row r="123" spans="1:10" ht="12" customHeight="1">
      <c r="A123" s="1378" t="str">
        <f>Inhoud!$A$2</f>
        <v>Nacalculatieformulier 2005</v>
      </c>
      <c r="B123" s="593"/>
      <c r="C123" s="595"/>
      <c r="D123" s="595"/>
      <c r="E123" s="596">
        <f>Voorblad!D149</f>
        <v>0</v>
      </c>
      <c r="F123" s="596"/>
      <c r="G123" s="592">
        <f>G94+1</f>
        <v>27</v>
      </c>
      <c r="H123" s="499"/>
      <c r="I123" s="499"/>
      <c r="J123" s="500"/>
    </row>
    <row r="124" spans="1:10" ht="12" customHeight="1">
      <c r="A124" s="1373"/>
      <c r="B124" s="91"/>
      <c r="C124" s="587"/>
      <c r="D124" s="587"/>
      <c r="E124" s="588"/>
      <c r="F124" s="588"/>
      <c r="G124" s="589"/>
      <c r="H124" s="499"/>
      <c r="I124" s="499"/>
      <c r="J124" s="500"/>
    </row>
    <row r="125" spans="1:2" ht="12">
      <c r="A125" s="1376" t="s">
        <v>461</v>
      </c>
      <c r="B125" s="467" t="s">
        <v>28</v>
      </c>
    </row>
    <row r="126" spans="1:6" ht="12">
      <c r="A126" s="959"/>
      <c r="C126" s="1210" t="str">
        <f>CONCATENATE("saldo voor ",Voorblad!D3-2)</f>
        <v>saldo voor 2003</v>
      </c>
      <c r="D126" s="1211">
        <f>Voorblad!D3-2</f>
        <v>2003</v>
      </c>
      <c r="E126" s="1212">
        <f>Voorblad!D3-1</f>
        <v>2004</v>
      </c>
      <c r="F126" s="1211" t="str">
        <f>CONCATENATE("t/m ",Voorblad!D3-1)</f>
        <v>t/m 2004</v>
      </c>
    </row>
    <row r="127" spans="1:6" ht="12">
      <c r="A127" s="988">
        <f>(100*G123)+1</f>
        <v>2701</v>
      </c>
      <c r="B127" s="827" t="s">
        <v>601</v>
      </c>
      <c r="C127" s="709"/>
      <c r="D127" s="709"/>
      <c r="E127" s="709"/>
      <c r="F127" s="1046">
        <f>C127+D127+E127</f>
        <v>0</v>
      </c>
    </row>
    <row r="128" spans="1:6" ht="12">
      <c r="A128" s="988">
        <f>A127+1</f>
        <v>2702</v>
      </c>
      <c r="B128" s="827" t="s">
        <v>299</v>
      </c>
      <c r="C128" s="1097"/>
      <c r="D128" s="709"/>
      <c r="E128" s="709"/>
      <c r="F128" s="1022">
        <f>C128+D128+E128</f>
        <v>0</v>
      </c>
    </row>
    <row r="129" spans="1:6" ht="12">
      <c r="A129" s="988">
        <f>A128+1</f>
        <v>2703</v>
      </c>
      <c r="B129" s="953" t="s">
        <v>224</v>
      </c>
      <c r="C129" s="999">
        <f>C127-C128</f>
        <v>0</v>
      </c>
      <c r="D129" s="999">
        <f>D127-D128</f>
        <v>0</v>
      </c>
      <c r="E129" s="999">
        <f>E127-E128</f>
        <v>0</v>
      </c>
      <c r="F129" s="1023">
        <f>F127-F128</f>
        <v>0</v>
      </c>
    </row>
    <row r="130" spans="1:6" ht="12">
      <c r="A130" s="959"/>
      <c r="C130" s="959"/>
      <c r="D130" s="959"/>
      <c r="E130" s="959"/>
      <c r="F130" s="959"/>
    </row>
    <row r="131" spans="1:8" ht="12">
      <c r="A131" s="1377"/>
      <c r="B131" s="1213"/>
      <c r="C131" s="1214" t="s">
        <v>30</v>
      </c>
      <c r="D131" s="1215" t="s">
        <v>515</v>
      </c>
      <c r="E131" s="1215" t="s">
        <v>410</v>
      </c>
      <c r="F131" s="1215" t="s">
        <v>345</v>
      </c>
      <c r="G131" s="1216" t="s">
        <v>557</v>
      </c>
      <c r="H131" s="454"/>
    </row>
    <row r="132" spans="1:8" ht="12.75" customHeight="1">
      <c r="A132" s="988">
        <f>A129+1</f>
        <v>2704</v>
      </c>
      <c r="B132" s="1002" t="str">
        <f>CONCATENATE("Nog te verrekenen per 31-12-",Voorblad!D3-1)</f>
        <v>Nog te verrekenen per 31-12-2004</v>
      </c>
      <c r="C132" s="1574"/>
      <c r="D132" s="1575"/>
      <c r="E132" s="1575"/>
      <c r="F132" s="1576"/>
      <c r="G132" s="1004">
        <f>F129</f>
        <v>0</v>
      </c>
      <c r="H132" s="865"/>
    </row>
    <row r="133" spans="1:8" ht="12.75" customHeight="1">
      <c r="A133" s="988">
        <f>A132+1</f>
        <v>2705</v>
      </c>
      <c r="B133" s="1003" t="s">
        <v>29</v>
      </c>
      <c r="C133" s="1577"/>
      <c r="D133" s="1578"/>
      <c r="E133" s="1578"/>
      <c r="F133" s="1579"/>
      <c r="G133" s="709"/>
      <c r="H133" s="836"/>
    </row>
    <row r="134" spans="1:10" ht="12">
      <c r="A134" s="988">
        <f>A133+1</f>
        <v>2706</v>
      </c>
      <c r="B134" s="1002" t="s">
        <v>225</v>
      </c>
      <c r="C134" s="1001">
        <f>G$115/12</f>
        <v>0</v>
      </c>
      <c r="D134" s="709"/>
      <c r="E134" s="979">
        <f aca="true" t="shared" si="14" ref="E134:E146">C134-D134</f>
        <v>0</v>
      </c>
      <c r="F134" s="1000">
        <v>0.9583</v>
      </c>
      <c r="G134" s="979">
        <f>ROUND(E134*F134,0)</f>
        <v>0</v>
      </c>
      <c r="H134" s="836"/>
      <c r="J134" s="456"/>
    </row>
    <row r="135" spans="1:10" ht="12">
      <c r="A135" s="988">
        <f aca="true" t="shared" si="15" ref="A135:A149">A134+1</f>
        <v>2707</v>
      </c>
      <c r="B135" s="1002" t="s">
        <v>226</v>
      </c>
      <c r="C135" s="1001">
        <f aca="true" t="shared" si="16" ref="C135:C145">G$115/12</f>
        <v>0</v>
      </c>
      <c r="D135" s="709"/>
      <c r="E135" s="979">
        <f t="shared" si="14"/>
        <v>0</v>
      </c>
      <c r="F135" s="1000">
        <v>0.875</v>
      </c>
      <c r="G135" s="979">
        <f aca="true" t="shared" si="17" ref="G135:G146">ROUND(E135*F135,0)</f>
        <v>0</v>
      </c>
      <c r="H135" s="836"/>
      <c r="J135" s="560"/>
    </row>
    <row r="136" spans="1:10" ht="12">
      <c r="A136" s="988">
        <f t="shared" si="15"/>
        <v>2708</v>
      </c>
      <c r="B136" s="1002" t="s">
        <v>227</v>
      </c>
      <c r="C136" s="1001">
        <f t="shared" si="16"/>
        <v>0</v>
      </c>
      <c r="D136" s="709"/>
      <c r="E136" s="979">
        <f t="shared" si="14"/>
        <v>0</v>
      </c>
      <c r="F136" s="1000">
        <v>0.7917</v>
      </c>
      <c r="G136" s="979">
        <f t="shared" si="17"/>
        <v>0</v>
      </c>
      <c r="H136" s="836"/>
      <c r="J136" s="560"/>
    </row>
    <row r="137" spans="1:10" ht="12">
      <c r="A137" s="988">
        <f t="shared" si="15"/>
        <v>2709</v>
      </c>
      <c r="B137" s="1002" t="s">
        <v>228</v>
      </c>
      <c r="C137" s="1001">
        <f t="shared" si="16"/>
        <v>0</v>
      </c>
      <c r="D137" s="709"/>
      <c r="E137" s="979">
        <f t="shared" si="14"/>
        <v>0</v>
      </c>
      <c r="F137" s="1000">
        <v>0.7083</v>
      </c>
      <c r="G137" s="979">
        <f t="shared" si="17"/>
        <v>0</v>
      </c>
      <c r="H137" s="836"/>
      <c r="J137" s="494"/>
    </row>
    <row r="138" spans="1:10" ht="12">
      <c r="A138" s="988">
        <f t="shared" si="15"/>
        <v>2710</v>
      </c>
      <c r="B138" s="1002" t="s">
        <v>229</v>
      </c>
      <c r="C138" s="1001">
        <f t="shared" si="16"/>
        <v>0</v>
      </c>
      <c r="D138" s="709"/>
      <c r="E138" s="979">
        <f t="shared" si="14"/>
        <v>0</v>
      </c>
      <c r="F138" s="1000">
        <v>0.625</v>
      </c>
      <c r="G138" s="979">
        <f t="shared" si="17"/>
        <v>0</v>
      </c>
      <c r="H138" s="836"/>
      <c r="J138" s="458"/>
    </row>
    <row r="139" spans="1:8" ht="12">
      <c r="A139" s="988">
        <f t="shared" si="15"/>
        <v>2711</v>
      </c>
      <c r="B139" s="1002" t="s">
        <v>230</v>
      </c>
      <c r="C139" s="1001">
        <f t="shared" si="16"/>
        <v>0</v>
      </c>
      <c r="D139" s="709"/>
      <c r="E139" s="979">
        <f t="shared" si="14"/>
        <v>0</v>
      </c>
      <c r="F139" s="1000">
        <v>0.5417</v>
      </c>
      <c r="G139" s="979">
        <f t="shared" si="17"/>
        <v>0</v>
      </c>
      <c r="H139" s="836"/>
    </row>
    <row r="140" spans="1:8" ht="12" customHeight="1">
      <c r="A140" s="988">
        <f t="shared" si="15"/>
        <v>2712</v>
      </c>
      <c r="B140" s="1002" t="s">
        <v>231</v>
      </c>
      <c r="C140" s="1001">
        <f t="shared" si="16"/>
        <v>0</v>
      </c>
      <c r="D140" s="709"/>
      <c r="E140" s="979">
        <f t="shared" si="14"/>
        <v>0</v>
      </c>
      <c r="F140" s="1000">
        <v>0.4583</v>
      </c>
      <c r="G140" s="979">
        <f t="shared" si="17"/>
        <v>0</v>
      </c>
      <c r="H140" s="836"/>
    </row>
    <row r="141" spans="1:8" ht="12">
      <c r="A141" s="988">
        <f t="shared" si="15"/>
        <v>2713</v>
      </c>
      <c r="B141" s="1002" t="s">
        <v>232</v>
      </c>
      <c r="C141" s="1001">
        <f t="shared" si="16"/>
        <v>0</v>
      </c>
      <c r="D141" s="709"/>
      <c r="E141" s="979">
        <f t="shared" si="14"/>
        <v>0</v>
      </c>
      <c r="F141" s="1000">
        <v>0.375</v>
      </c>
      <c r="G141" s="979">
        <f t="shared" si="17"/>
        <v>0</v>
      </c>
      <c r="H141" s="836"/>
    </row>
    <row r="142" spans="1:8" ht="12">
      <c r="A142" s="988">
        <f t="shared" si="15"/>
        <v>2714</v>
      </c>
      <c r="B142" s="1002" t="s">
        <v>233</v>
      </c>
      <c r="C142" s="1001">
        <f t="shared" si="16"/>
        <v>0</v>
      </c>
      <c r="D142" s="709"/>
      <c r="E142" s="979">
        <f t="shared" si="14"/>
        <v>0</v>
      </c>
      <c r="F142" s="1000">
        <v>0.2917</v>
      </c>
      <c r="G142" s="979">
        <f t="shared" si="17"/>
        <v>0</v>
      </c>
      <c r="H142" s="836"/>
    </row>
    <row r="143" spans="1:10" ht="12">
      <c r="A143" s="988">
        <f t="shared" si="15"/>
        <v>2715</v>
      </c>
      <c r="B143" s="1002" t="s">
        <v>234</v>
      </c>
      <c r="C143" s="1001">
        <f t="shared" si="16"/>
        <v>0</v>
      </c>
      <c r="D143" s="709"/>
      <c r="E143" s="979">
        <f t="shared" si="14"/>
        <v>0</v>
      </c>
      <c r="F143" s="1000">
        <v>0.2083</v>
      </c>
      <c r="G143" s="979">
        <f>ROUND(E143*F143,0)</f>
        <v>0</v>
      </c>
      <c r="H143" s="836"/>
      <c r="J143" s="456"/>
    </row>
    <row r="144" spans="1:10" ht="12">
      <c r="A144" s="988">
        <f t="shared" si="15"/>
        <v>2716</v>
      </c>
      <c r="B144" s="1002" t="s">
        <v>235</v>
      </c>
      <c r="C144" s="1001">
        <f t="shared" si="16"/>
        <v>0</v>
      </c>
      <c r="D144" s="709"/>
      <c r="E144" s="979">
        <f t="shared" si="14"/>
        <v>0</v>
      </c>
      <c r="F144" s="1000">
        <v>0.125</v>
      </c>
      <c r="G144" s="979">
        <f t="shared" si="17"/>
        <v>0</v>
      </c>
      <c r="H144" s="836"/>
      <c r="J144" s="456"/>
    </row>
    <row r="145" spans="1:10" ht="12">
      <c r="A145" s="988">
        <f t="shared" si="15"/>
        <v>2717</v>
      </c>
      <c r="B145" s="1002" t="s">
        <v>236</v>
      </c>
      <c r="C145" s="1001">
        <f t="shared" si="16"/>
        <v>0</v>
      </c>
      <c r="D145" s="709"/>
      <c r="E145" s="979">
        <f t="shared" si="14"/>
        <v>0</v>
      </c>
      <c r="F145" s="1000">
        <v>0.0417</v>
      </c>
      <c r="G145" s="979">
        <f t="shared" si="17"/>
        <v>0</v>
      </c>
      <c r="H145" s="836"/>
      <c r="J145" s="456"/>
    </row>
    <row r="146" spans="1:10" ht="12">
      <c r="A146" s="988">
        <f t="shared" si="15"/>
        <v>2718</v>
      </c>
      <c r="B146" s="1002" t="s">
        <v>427</v>
      </c>
      <c r="C146" s="1001"/>
      <c r="D146" s="1001">
        <f>IF(D149=0,IF((Opbrengsten!E12+Opbrengsten!E13+Opbrengsten!E15)&lt;C134*2.5,(Opbrengsten!E12+Opbrengsten!E13+Opbrengsten!E15),C134*2.5),D149)</f>
        <v>0</v>
      </c>
      <c r="E146" s="979">
        <f t="shared" si="14"/>
        <v>0</v>
      </c>
      <c r="F146" s="1000">
        <v>0.5</v>
      </c>
      <c r="G146" s="979">
        <f t="shared" si="17"/>
        <v>0</v>
      </c>
      <c r="H146" s="836"/>
      <c r="J146" s="456"/>
    </row>
    <row r="147" spans="1:8" s="467" customFormat="1" ht="12.75" customHeight="1">
      <c r="A147" s="988">
        <f>A146+1</f>
        <v>2719</v>
      </c>
      <c r="B147" s="1041" t="str">
        <f>CONCATENATE("Totaal ",A132," t/m ",A146)</f>
        <v>Totaal 2704 t/m 2718</v>
      </c>
      <c r="C147" s="1042">
        <f>SUM(C134:C146)</f>
        <v>0</v>
      </c>
      <c r="D147" s="1042">
        <f>SUM(D134:D146)</f>
        <v>0</v>
      </c>
      <c r="E147" s="1042">
        <f>SUM(E134:E146)</f>
        <v>0</v>
      </c>
      <c r="F147" s="1043"/>
      <c r="G147" s="1042">
        <f>SUM(G132:G146)</f>
        <v>0</v>
      </c>
      <c r="H147" s="950"/>
    </row>
    <row r="148" spans="1:10" ht="12" customHeight="1">
      <c r="A148" s="988">
        <f t="shared" si="15"/>
        <v>2720</v>
      </c>
      <c r="B148" s="1360" t="str">
        <f>CONCATENATE("Opbrengsten volgens regel ",Opbrengsten!G19)</f>
        <v>Opbrengsten volgens regel 1728</v>
      </c>
      <c r="C148" s="1361"/>
      <c r="D148" s="1402">
        <f>Opbrengsten!J19</f>
        <v>0</v>
      </c>
      <c r="E148" s="1361"/>
      <c r="F148" s="1362"/>
      <c r="G148" s="998"/>
      <c r="H148" s="836"/>
      <c r="J148" s="456"/>
    </row>
    <row r="149" spans="1:10" ht="12" customHeight="1">
      <c r="A149" s="988">
        <f t="shared" si="15"/>
        <v>2721</v>
      </c>
      <c r="B149" s="1400" t="s">
        <v>324</v>
      </c>
      <c r="C149" s="1401"/>
      <c r="D149" s="433"/>
      <c r="E149" s="1398"/>
      <c r="F149" s="1399"/>
      <c r="G149" s="998"/>
      <c r="H149" s="836"/>
      <c r="J149" s="456"/>
    </row>
    <row r="150" spans="1:10" ht="36" customHeight="1">
      <c r="A150" s="1573" t="s">
        <v>323</v>
      </c>
      <c r="B150" s="1573"/>
      <c r="C150" s="1573"/>
      <c r="D150" s="1573"/>
      <c r="E150" s="1573"/>
      <c r="F150" s="1573"/>
      <c r="G150" s="1573"/>
      <c r="H150" s="454"/>
      <c r="J150" s="456"/>
    </row>
    <row r="151" spans="1:10" ht="12" customHeight="1">
      <c r="A151" s="1219"/>
      <c r="B151" s="477"/>
      <c r="C151" s="477"/>
      <c r="D151" s="477"/>
      <c r="E151" s="477"/>
      <c r="F151" s="1217"/>
      <c r="G151" s="1218"/>
      <c r="H151" s="454"/>
      <c r="J151" s="456"/>
    </row>
    <row r="152" spans="1:10" ht="12" customHeight="1">
      <c r="A152" s="1219"/>
      <c r="B152" s="477"/>
      <c r="C152" s="477"/>
      <c r="D152" s="477"/>
      <c r="E152" s="477"/>
      <c r="F152" s="1217"/>
      <c r="G152" s="1218"/>
      <c r="H152" s="454"/>
      <c r="J152" s="458"/>
    </row>
    <row r="153" spans="1:10" ht="12" customHeight="1">
      <c r="A153" s="1219"/>
      <c r="B153" s="477"/>
      <c r="C153" s="477"/>
      <c r="D153" s="477"/>
      <c r="E153" s="477"/>
      <c r="F153" s="1217"/>
      <c r="G153" s="1218"/>
      <c r="H153" s="454"/>
      <c r="J153" s="458"/>
    </row>
    <row r="154" spans="1:10" ht="12" customHeight="1">
      <c r="A154" s="1219"/>
      <c r="B154" s="454"/>
      <c r="C154" s="477"/>
      <c r="D154" s="477"/>
      <c r="E154" s="477"/>
      <c r="F154" s="1217"/>
      <c r="G154" s="1218"/>
      <c r="H154" s="454"/>
      <c r="J154" s="456"/>
    </row>
    <row r="155" spans="1:10" ht="12" customHeight="1">
      <c r="A155" s="1219"/>
      <c r="B155" s="477"/>
      <c r="C155" s="454"/>
      <c r="D155" s="454"/>
      <c r="E155" s="454"/>
      <c r="F155" s="454"/>
      <c r="G155" s="454"/>
      <c r="H155" s="454"/>
      <c r="J155" s="456"/>
    </row>
    <row r="156" spans="1:10" ht="12" customHeight="1">
      <c r="A156" s="1219"/>
      <c r="B156" s="454"/>
      <c r="C156" s="454"/>
      <c r="D156" s="454"/>
      <c r="E156" s="454"/>
      <c r="F156" s="454"/>
      <c r="G156" s="454"/>
      <c r="H156" s="454"/>
      <c r="J156" s="456"/>
    </row>
    <row r="157" spans="1:10" ht="12" customHeight="1">
      <c r="A157" s="1219"/>
      <c r="J157" s="456"/>
    </row>
    <row r="158" ht="12" customHeight="1">
      <c r="J158" s="456"/>
    </row>
    <row r="159" ht="12" customHeight="1"/>
    <row r="166" ht="12" customHeight="1"/>
    <row r="167" ht="12" customHeight="1"/>
    <row r="168" ht="12" customHeight="1"/>
    <row r="169" ht="12" customHeight="1"/>
    <row r="170" ht="12" customHeight="1"/>
  </sheetData>
  <sheetProtection password="CCBC" sheet="1" objects="1" scenarios="1"/>
  <mergeCells count="6">
    <mergeCell ref="A150:G150"/>
    <mergeCell ref="C132:F133"/>
    <mergeCell ref="F5:G5"/>
    <mergeCell ref="F50:G50"/>
    <mergeCell ref="E27:G28"/>
    <mergeCell ref="B90:F90"/>
  </mergeCells>
  <conditionalFormatting sqref="C25 C73 E73">
    <cfRule type="cellIs" priority="1" dxfId="2" operator="notEqual" stopIfTrue="1">
      <formula>0</formula>
    </cfRule>
  </conditionalFormatting>
  <conditionalFormatting sqref="D69 E101:E110 C70 C56:C68 C101:C110 D33:D44 C54:D55 C32:C44 C127 G118 C9:D22 G133 D127:E128 C80:C89 E80:E89 D149 D134:D145">
    <cfRule type="expression" priority="2" dxfId="0" stopIfTrue="1">
      <formula>$E$2=TRUE</formula>
    </cfRule>
  </conditionalFormatting>
  <printOptions/>
  <pageMargins left="0.3937007874015748" right="0.3937007874015748" top="0.1968503937007874" bottom="0.1968503937007874" header="0.6299212598425197" footer="0.11811023622047245"/>
  <pageSetup horizontalDpi="600" verticalDpi="600" orientation="landscape" paperSize="9" r:id="rId2"/>
  <headerFooter alignWithMargins="0">
    <oddHeader xml:space="preserve">&amp;R&amp;9 </oddHeader>
  </headerFooter>
  <rowBreaks count="4" manualBreakCount="4">
    <brk id="46" max="255" man="1"/>
    <brk id="92" max="6" man="1"/>
    <brk id="121" max="255" man="1"/>
    <brk id="167" max="255" man="1"/>
  </rowBreaks>
  <drawing r:id="rId1"/>
</worksheet>
</file>

<file path=xl/worksheets/sheet2.xml><?xml version="1.0" encoding="utf-8"?>
<worksheet xmlns="http://schemas.openxmlformats.org/spreadsheetml/2006/main" xmlns:r="http://schemas.openxmlformats.org/officeDocument/2006/relationships">
  <sheetPr codeName="Blad2">
    <pageSetUpPr fitToPage="1"/>
  </sheetPr>
  <dimension ref="A1:Q50"/>
  <sheetViews>
    <sheetView showGridLines="0" showRowColHeaders="0" showZeros="0" tabSelected="1" showOutlineSymbols="0" view="pageBreakPreview" zoomScale="75" zoomScaleNormal="75" zoomScaleSheetLayoutView="75" workbookViewId="0" topLeftCell="A1">
      <pane ySplit="3" topLeftCell="BM4" activePane="bottomLeft" state="frozen"/>
      <selection pane="topLeft" activeCell="A15" sqref="A15"/>
      <selection pane="bottomLeft" activeCell="A1" sqref="A1"/>
    </sheetView>
  </sheetViews>
  <sheetFormatPr defaultColWidth="9.140625" defaultRowHeight="12.75"/>
  <cols>
    <col min="1" max="1" width="8.8515625" style="439" customWidth="1"/>
    <col min="2" max="2" width="6.7109375" style="435" customWidth="1"/>
    <col min="3" max="3" width="8.140625" style="439" customWidth="1"/>
    <col min="4" max="4" width="29.7109375" style="439" customWidth="1"/>
    <col min="5" max="6" width="6.7109375" style="439" customWidth="1"/>
    <col min="7" max="7" width="3.421875" style="439" customWidth="1"/>
    <col min="8" max="8" width="6.7109375" style="439" customWidth="1"/>
    <col min="9" max="10" width="6.7109375" style="435" customWidth="1"/>
    <col min="11" max="11" width="14.28125" style="435" customWidth="1"/>
    <col min="12" max="12" width="13.7109375" style="435" customWidth="1"/>
    <col min="13" max="14" width="6.7109375" style="439" customWidth="1"/>
    <col min="15" max="16384" width="9.140625" style="439" customWidth="1"/>
  </cols>
  <sheetData>
    <row r="1" spans="1:14" s="510" customFormat="1" ht="15" customHeight="1">
      <c r="A1" s="1274" t="s">
        <v>258</v>
      </c>
      <c r="B1" s="665"/>
      <c r="C1" s="665"/>
      <c r="D1" s="665"/>
      <c r="E1" s="666"/>
      <c r="F1" s="666"/>
      <c r="G1" s="667"/>
      <c r="H1" s="667"/>
      <c r="I1" s="668"/>
      <c r="J1" s="668"/>
      <c r="K1" s="668"/>
      <c r="L1" s="668"/>
      <c r="M1" s="667"/>
      <c r="N1" s="667"/>
    </row>
    <row r="2" spans="1:14" s="511" customFormat="1" ht="12.75" customHeight="1">
      <c r="A2" s="669"/>
      <c r="B2" s="669"/>
      <c r="C2" s="669"/>
      <c r="D2" s="669"/>
      <c r="E2" s="669"/>
      <c r="F2" s="669"/>
      <c r="G2" s="669"/>
      <c r="H2" s="669"/>
      <c r="I2" s="670"/>
      <c r="J2" s="670"/>
      <c r="K2" s="670"/>
      <c r="L2" s="670"/>
      <c r="M2" s="669"/>
      <c r="N2" s="669"/>
    </row>
    <row r="3" spans="1:14" ht="25.5">
      <c r="A3" s="671" t="s">
        <v>474</v>
      </c>
      <c r="B3" s="671"/>
      <c r="C3" s="671"/>
      <c r="D3" s="672">
        <v>2005</v>
      </c>
      <c r="E3" s="673" t="str">
        <f>CONCATENATE("INZENDEN VOOR 31 DECEMBER ",D3+1)</f>
        <v>INZENDEN VOOR 31 DECEMBER 2006</v>
      </c>
      <c r="F3" s="674"/>
      <c r="G3" s="675"/>
      <c r="H3" s="675"/>
      <c r="I3" s="676"/>
      <c r="J3" s="676"/>
      <c r="K3" s="676"/>
      <c r="L3" s="677">
        <f>IF(OR(D3=1996,D3=2000,D3=2004),366,365)</f>
        <v>365</v>
      </c>
      <c r="M3" s="676"/>
      <c r="N3" s="678"/>
    </row>
    <row r="4" spans="1:14" ht="12.75">
      <c r="A4" s="630"/>
      <c r="B4" s="2"/>
      <c r="C4" s="630"/>
      <c r="D4" s="630"/>
      <c r="E4" s="630"/>
      <c r="F4" s="630"/>
      <c r="G4" s="679"/>
      <c r="H4" s="630"/>
      <c r="I4" s="2"/>
      <c r="J4" s="2"/>
      <c r="K4" s="2"/>
      <c r="L4" s="2"/>
      <c r="M4" s="630"/>
      <c r="N4" s="630"/>
    </row>
    <row r="5" spans="1:14" ht="12.75">
      <c r="A5" s="630"/>
      <c r="B5" s="2"/>
      <c r="C5" s="630"/>
      <c r="D5" s="630"/>
      <c r="E5" s="630"/>
      <c r="F5" s="630"/>
      <c r="G5" s="679"/>
      <c r="H5" s="630"/>
      <c r="I5" s="2"/>
      <c r="J5" s="2"/>
      <c r="K5" s="2"/>
      <c r="L5" s="2"/>
      <c r="M5" s="630"/>
      <c r="N5" s="630"/>
    </row>
    <row r="6" spans="1:14" s="435" customFormat="1" ht="12.75" customHeight="1">
      <c r="A6" s="2"/>
      <c r="B6" s="2"/>
      <c r="C6" s="2"/>
      <c r="D6" s="2"/>
      <c r="E6" s="2"/>
      <c r="F6" s="790"/>
      <c r="G6" s="5"/>
      <c r="H6" s="2"/>
      <c r="I6" s="2"/>
      <c r="J6" s="2"/>
      <c r="K6" s="2"/>
      <c r="L6" s="1419" t="s">
        <v>484</v>
      </c>
      <c r="M6" s="1420"/>
      <c r="N6" s="1421"/>
    </row>
    <row r="7" spans="1:14" s="435" customFormat="1" ht="12.75">
      <c r="A7" s="2"/>
      <c r="B7" s="2"/>
      <c r="C7" s="2"/>
      <c r="D7" s="2"/>
      <c r="E7" s="2"/>
      <c r="F7" s="2"/>
      <c r="G7" s="5"/>
      <c r="H7" s="2"/>
      <c r="I7" s="2"/>
      <c r="J7" s="2"/>
      <c r="K7" s="680" t="s">
        <v>485</v>
      </c>
      <c r="L7" s="1406" t="str">
        <f>CONCATENATE(RIGHT(D3,4),"-5/1")</f>
        <v>2005-5/1</v>
      </c>
      <c r="M7" s="1407"/>
      <c r="N7" s="1408"/>
    </row>
    <row r="8" spans="1:14" s="435" customFormat="1" ht="12.75">
      <c r="A8" s="2"/>
      <c r="B8" s="2"/>
      <c r="C8" s="2"/>
      <c r="D8" s="2"/>
      <c r="E8" s="2"/>
      <c r="F8" s="2"/>
      <c r="G8" s="5"/>
      <c r="H8" s="2"/>
      <c r="I8" s="2"/>
      <c r="J8" s="2"/>
      <c r="K8" s="681" t="s">
        <v>354</v>
      </c>
      <c r="L8" s="1409"/>
      <c r="M8" s="1410"/>
      <c r="N8" s="1411"/>
    </row>
    <row r="9" spans="1:14" s="435" customFormat="1" ht="12.75">
      <c r="A9" s="2"/>
      <c r="B9" s="2"/>
      <c r="C9" s="2"/>
      <c r="D9" s="2"/>
      <c r="E9" s="2"/>
      <c r="F9" s="2"/>
      <c r="G9" s="5"/>
      <c r="H9" s="2"/>
      <c r="I9" s="2"/>
      <c r="J9" s="2"/>
      <c r="K9" s="682" t="s">
        <v>483</v>
      </c>
      <c r="L9" s="1422"/>
      <c r="M9" s="1423"/>
      <c r="N9" s="1403"/>
    </row>
    <row r="10" spans="1:14" s="464" customFormat="1" ht="12.75">
      <c r="A10" s="45"/>
      <c r="B10" s="90"/>
      <c r="C10" s="90"/>
      <c r="D10" s="90"/>
      <c r="E10" s="683"/>
      <c r="F10" s="90"/>
      <c r="G10" s="679"/>
      <c r="H10" s="679"/>
      <c r="I10" s="5"/>
      <c r="J10" s="5"/>
      <c r="K10" s="805" t="s">
        <v>55</v>
      </c>
      <c r="L10" s="1416" t="str">
        <f>versiebeheer!A8</f>
        <v>1.2</v>
      </c>
      <c r="M10" s="1417"/>
      <c r="N10" s="1418"/>
    </row>
    <row r="11" spans="1:14" s="464" customFormat="1" ht="12.75">
      <c r="A11" s="45"/>
      <c r="B11" s="90"/>
      <c r="C11" s="90"/>
      <c r="D11" s="90"/>
      <c r="E11" s="683"/>
      <c r="F11" s="90"/>
      <c r="G11" s="679"/>
      <c r="H11" s="679"/>
      <c r="I11" s="5"/>
      <c r="J11" s="5"/>
      <c r="K11" s="90"/>
      <c r="L11" s="851"/>
      <c r="M11" s="852"/>
      <c r="N11" s="852"/>
    </row>
    <row r="12" spans="1:14" s="464" customFormat="1" ht="15.75">
      <c r="A12" s="853" t="s">
        <v>87</v>
      </c>
      <c r="B12" s="90"/>
      <c r="C12" s="90"/>
      <c r="D12" s="90"/>
      <c r="E12" s="683"/>
      <c r="F12" s="90"/>
      <c r="G12" s="679"/>
      <c r="H12" s="679"/>
      <c r="I12" s="5"/>
      <c r="J12" s="5"/>
      <c r="K12" s="90"/>
      <c r="L12" s="851"/>
      <c r="M12" s="852"/>
      <c r="N12" s="852"/>
    </row>
    <row r="13" spans="1:14" s="464" customFormat="1" ht="15.75">
      <c r="A13" s="854"/>
      <c r="B13" s="2"/>
      <c r="C13" s="630"/>
      <c r="D13" s="630"/>
      <c r="E13" s="630"/>
      <c r="F13" s="630"/>
      <c r="G13" s="679"/>
      <c r="H13" s="679"/>
      <c r="I13" s="5"/>
      <c r="J13" s="5"/>
      <c r="K13" s="5"/>
      <c r="L13" s="90"/>
      <c r="M13" s="684"/>
      <c r="N13" s="684"/>
    </row>
    <row r="14" spans="1:14" s="454" customFormat="1" ht="12.75" customHeight="1">
      <c r="A14" s="1404"/>
      <c r="B14" s="1405"/>
      <c r="C14" s="1405"/>
      <c r="D14" s="1405"/>
      <c r="E14" s="1405"/>
      <c r="F14" s="1405"/>
      <c r="G14" s="1405"/>
      <c r="H14" s="1405"/>
      <c r="I14" s="1405"/>
      <c r="J14" s="1405"/>
      <c r="K14" s="1405"/>
      <c r="L14" s="1405"/>
      <c r="M14" s="1405"/>
      <c r="N14" s="1405"/>
    </row>
    <row r="15" spans="1:14" s="454" customFormat="1" ht="12.75" customHeight="1">
      <c r="A15" s="1405"/>
      <c r="B15" s="1405"/>
      <c r="C15" s="1405"/>
      <c r="D15" s="1405"/>
      <c r="E15" s="1405"/>
      <c r="F15" s="1405"/>
      <c r="G15" s="1405"/>
      <c r="H15" s="1405"/>
      <c r="I15" s="1405"/>
      <c r="J15" s="1405"/>
      <c r="K15" s="1405"/>
      <c r="L15" s="1405"/>
      <c r="M15" s="1405"/>
      <c r="N15" s="1405"/>
    </row>
    <row r="16" spans="1:14" s="454" customFormat="1" ht="12.75" customHeight="1">
      <c r="A16" s="1405"/>
      <c r="B16" s="1405"/>
      <c r="C16" s="1405"/>
      <c r="D16" s="1405"/>
      <c r="E16" s="1405"/>
      <c r="F16" s="1405"/>
      <c r="G16" s="1405"/>
      <c r="H16" s="1405"/>
      <c r="I16" s="1405"/>
      <c r="J16" s="1405"/>
      <c r="K16" s="1405"/>
      <c r="L16" s="1405"/>
      <c r="M16" s="1405"/>
      <c r="N16" s="1405"/>
    </row>
    <row r="17" spans="1:14" s="454" customFormat="1" ht="12.75" customHeight="1" thickBot="1">
      <c r="A17" s="512"/>
      <c r="B17" s="512"/>
      <c r="C17" s="512"/>
      <c r="D17" s="512"/>
      <c r="E17" s="512"/>
      <c r="F17" s="512"/>
      <c r="G17" s="512"/>
      <c r="H17" s="512"/>
      <c r="I17" s="512"/>
      <c r="J17" s="512"/>
      <c r="K17" s="512"/>
      <c r="L17" s="512"/>
      <c r="M17" s="512"/>
      <c r="N17" s="512"/>
    </row>
    <row r="18" spans="2:13" ht="12.75">
      <c r="B18" s="513"/>
      <c r="C18" s="514" t="s">
        <v>636</v>
      </c>
      <c r="D18" s="515"/>
      <c r="E18" s="515"/>
      <c r="F18" s="515"/>
      <c r="G18" s="515"/>
      <c r="H18" s="515"/>
      <c r="I18" s="516"/>
      <c r="J18" s="516"/>
      <c r="K18" s="516"/>
      <c r="L18" s="516"/>
      <c r="M18" s="517"/>
    </row>
    <row r="19" spans="2:13" ht="12.75">
      <c r="B19" s="518"/>
      <c r="C19"/>
      <c r="D19" s="464"/>
      <c r="E19" s="464"/>
      <c r="F19" s="464"/>
      <c r="G19" s="464"/>
      <c r="H19" s="464"/>
      <c r="I19" s="438"/>
      <c r="J19" s="438"/>
      <c r="K19" s="438"/>
      <c r="L19" s="438"/>
      <c r="M19" s="519"/>
    </row>
    <row r="20" spans="2:13" ht="12.75">
      <c r="B20" s="518"/>
      <c r="C20" s="464"/>
      <c r="D20" s="1414" t="s">
        <v>637</v>
      </c>
      <c r="E20" s="1415"/>
      <c r="F20" s="1415"/>
      <c r="G20" s="1415"/>
      <c r="H20" s="1415"/>
      <c r="I20" s="1415"/>
      <c r="J20" s="1415"/>
      <c r="K20" s="1415"/>
      <c r="L20" s="1415"/>
      <c r="M20" s="519"/>
    </row>
    <row r="21" spans="2:13" ht="12.75" customHeight="1">
      <c r="B21" s="518"/>
      <c r="C21"/>
      <c r="D21" s="1415"/>
      <c r="E21" s="1415"/>
      <c r="F21" s="1415"/>
      <c r="G21" s="1415"/>
      <c r="H21" s="1415"/>
      <c r="I21" s="1415"/>
      <c r="J21" s="1415"/>
      <c r="K21" s="1415"/>
      <c r="L21" s="1415"/>
      <c r="M21" s="519"/>
    </row>
    <row r="22" spans="2:13" ht="12.75">
      <c r="B22" s="518"/>
      <c r="C22" s="464"/>
      <c r="D22" s="1432" t="s">
        <v>638</v>
      </c>
      <c r="E22" s="1432"/>
      <c r="F22" s="1432"/>
      <c r="G22" s="1432"/>
      <c r="H22" s="1432"/>
      <c r="I22" s="1432"/>
      <c r="J22" s="1432"/>
      <c r="K22" s="1432"/>
      <c r="L22" s="1432"/>
      <c r="M22" s="519"/>
    </row>
    <row r="23" spans="2:13" ht="12.75">
      <c r="B23" s="518"/>
      <c r="C23" s="464"/>
      <c r="D23" s="1432"/>
      <c r="E23" s="1432"/>
      <c r="F23" s="1432"/>
      <c r="G23" s="1432"/>
      <c r="H23" s="1432"/>
      <c r="I23" s="1432"/>
      <c r="J23" s="1432"/>
      <c r="K23" s="1432"/>
      <c r="L23" s="1432"/>
      <c r="M23" s="519"/>
    </row>
    <row r="24" spans="2:13" ht="12.75">
      <c r="B24" s="518"/>
      <c r="C24" s="464"/>
      <c r="D24" s="1432"/>
      <c r="E24" s="1432"/>
      <c r="F24" s="1432"/>
      <c r="G24" s="1432"/>
      <c r="H24" s="1432"/>
      <c r="I24" s="1432"/>
      <c r="J24" s="1432"/>
      <c r="K24" s="1432"/>
      <c r="L24" s="1432"/>
      <c r="M24" s="519"/>
    </row>
    <row r="25" spans="2:13" ht="12.75">
      <c r="B25" s="518"/>
      <c r="C25" s="464"/>
      <c r="D25" s="1431" t="s">
        <v>75</v>
      </c>
      <c r="E25" s="1431"/>
      <c r="F25" s="1431"/>
      <c r="G25" s="1431"/>
      <c r="H25" s="1431"/>
      <c r="I25" s="1431"/>
      <c r="J25" s="1431"/>
      <c r="K25" s="1431"/>
      <c r="L25" s="1431"/>
      <c r="M25" s="519"/>
    </row>
    <row r="26" spans="2:13" ht="12.75">
      <c r="B26" s="518"/>
      <c r="C26" s="464"/>
      <c r="D26" s="1431"/>
      <c r="E26" s="1431"/>
      <c r="F26" s="1431"/>
      <c r="G26" s="1431"/>
      <c r="H26" s="1431"/>
      <c r="I26" s="1431"/>
      <c r="J26" s="1431"/>
      <c r="K26" s="1431"/>
      <c r="L26" s="1431"/>
      <c r="M26" s="519"/>
    </row>
    <row r="27" spans="2:13" ht="12.75">
      <c r="B27" s="518"/>
      <c r="C27" s="464"/>
      <c r="D27" s="1431"/>
      <c r="E27" s="1431"/>
      <c r="F27" s="1431"/>
      <c r="G27" s="1431"/>
      <c r="H27" s="1431"/>
      <c r="I27" s="1431"/>
      <c r="J27" s="1431"/>
      <c r="K27" s="1431"/>
      <c r="L27" s="1431"/>
      <c r="M27" s="519"/>
    </row>
    <row r="28" spans="2:13" ht="12.75">
      <c r="B28" s="518"/>
      <c r="C28" s="464"/>
      <c r="D28" s="438"/>
      <c r="E28" s="438"/>
      <c r="F28" s="438"/>
      <c r="G28" s="438"/>
      <c r="H28" s="438"/>
      <c r="I28" s="438"/>
      <c r="J28" s="438"/>
      <c r="K28" s="438"/>
      <c r="L28" s="438"/>
      <c r="M28" s="519"/>
    </row>
    <row r="29" spans="2:13" ht="12.75">
      <c r="B29" s="518"/>
      <c r="C29" s="464"/>
      <c r="D29" s="520" t="str">
        <f>IF(D30=TRUE,"      Invulvelden gearceerd","      Invulvelden niet gearceerd")</f>
        <v>      Invulvelden gearceerd</v>
      </c>
      <c r="E29" s="521"/>
      <c r="F29" s="522"/>
      <c r="G29" s="464"/>
      <c r="H29" s="464"/>
      <c r="I29"/>
      <c r="J29"/>
      <c r="K29"/>
      <c r="L29"/>
      <c r="M29" s="523"/>
    </row>
    <row r="30" spans="2:13" s="465" customFormat="1" ht="13.5" thickBot="1">
      <c r="B30" s="524"/>
      <c r="C30" s="525"/>
      <c r="D30" s="707" t="b">
        <v>1</v>
      </c>
      <c r="E30" s="526"/>
      <c r="F30" s="526"/>
      <c r="G30" s="525"/>
      <c r="H30" s="525"/>
      <c r="I30" s="707"/>
      <c r="J30" s="526"/>
      <c r="K30" s="526"/>
      <c r="L30" s="527"/>
      <c r="M30" s="528"/>
    </row>
    <row r="31" spans="1:17" s="454" customFormat="1" ht="12.75" customHeight="1">
      <c r="A31" s="484"/>
      <c r="B31" s="458"/>
      <c r="C31" s="456"/>
      <c r="D31" s="456"/>
      <c r="E31" s="456"/>
      <c r="F31" s="456"/>
      <c r="I31" s="468"/>
      <c r="J31" s="468"/>
      <c r="K31" s="855"/>
      <c r="L31" s="468"/>
      <c r="M31" s="529"/>
      <c r="N31" s="529"/>
      <c r="Q31" s="474"/>
    </row>
    <row r="32" spans="1:14" s="532" customFormat="1" ht="16.5" customHeight="1">
      <c r="A32" s="685" t="s">
        <v>336</v>
      </c>
      <c r="B32" s="593"/>
      <c r="C32" s="593"/>
      <c r="D32" s="593"/>
      <c r="E32" s="686" t="s">
        <v>544</v>
      </c>
      <c r="F32" s="687" t="s">
        <v>543</v>
      </c>
      <c r="H32" s="454"/>
      <c r="I32" s="468"/>
      <c r="J32" s="468"/>
      <c r="K32" s="856"/>
      <c r="L32" s="856"/>
      <c r="M32" s="529"/>
      <c r="N32" s="529"/>
    </row>
    <row r="33" spans="1:14" s="532" customFormat="1" ht="16.5" customHeight="1">
      <c r="A33" s="535"/>
      <c r="B33" s="500"/>
      <c r="C33" s="500"/>
      <c r="D33" s="500"/>
      <c r="E33" s="556"/>
      <c r="F33" s="1124"/>
      <c r="K33" s="449"/>
      <c r="L33" s="857"/>
      <c r="M33" s="533"/>
      <c r="N33" s="533"/>
    </row>
    <row r="34" spans="1:3" s="500" customFormat="1" ht="16.5" customHeight="1">
      <c r="A34" s="534"/>
      <c r="B34" s="534"/>
      <c r="C34" s="534"/>
    </row>
    <row r="35" spans="1:14" s="499" customFormat="1" ht="16.5" customHeight="1">
      <c r="A35" s="688" t="s">
        <v>337</v>
      </c>
      <c r="B35" s="689"/>
      <c r="C35" s="690"/>
      <c r="D35" s="1447"/>
      <c r="E35" s="1448"/>
      <c r="F35" s="1449"/>
      <c r="H35" s="1433" t="s">
        <v>627</v>
      </c>
      <c r="I35" s="1434"/>
      <c r="J35" s="1434"/>
      <c r="K35" s="1424"/>
      <c r="L35" s="1425"/>
      <c r="M35" s="1425"/>
      <c r="N35" s="1426"/>
    </row>
    <row r="36" spans="1:14" s="499" customFormat="1" ht="16.5" customHeight="1">
      <c r="A36" s="691" t="s">
        <v>338</v>
      </c>
      <c r="B36" s="692"/>
      <c r="C36" s="692"/>
      <c r="D36" s="1444"/>
      <c r="E36" s="1445"/>
      <c r="F36" s="1446"/>
      <c r="H36" s="1453" t="s">
        <v>475</v>
      </c>
      <c r="I36" s="1454"/>
      <c r="J36" s="1455"/>
      <c r="K36" s="1441"/>
      <c r="L36" s="1442"/>
      <c r="M36" s="1442"/>
      <c r="N36" s="1443"/>
    </row>
    <row r="37" spans="1:14" s="499" customFormat="1" ht="16.5" customHeight="1">
      <c r="A37" s="688" t="s">
        <v>475</v>
      </c>
      <c r="B37" s="690"/>
      <c r="C37" s="690"/>
      <c r="D37" s="1447"/>
      <c r="E37" s="1448"/>
      <c r="F37" s="1449"/>
      <c r="H37" s="1412" t="s">
        <v>354</v>
      </c>
      <c r="I37" s="1413"/>
      <c r="J37" s="1413"/>
      <c r="K37" s="1427"/>
      <c r="L37" s="1427"/>
      <c r="M37" s="1427"/>
      <c r="N37" s="1428"/>
    </row>
    <row r="38" spans="1:14" s="499" customFormat="1" ht="16.5" customHeight="1">
      <c r="A38" s="693" t="s">
        <v>476</v>
      </c>
      <c r="B38" s="694"/>
      <c r="C38" s="694"/>
      <c r="D38" s="1441"/>
      <c r="E38" s="1442"/>
      <c r="F38" s="1443"/>
      <c r="H38" s="1464" t="s">
        <v>328</v>
      </c>
      <c r="I38" s="1440"/>
      <c r="J38" s="1440"/>
      <c r="K38" s="1459"/>
      <c r="L38" s="1459"/>
      <c r="M38" s="1459"/>
      <c r="N38" s="1460"/>
    </row>
    <row r="39" spans="1:14" s="499" customFormat="1" ht="16.5" customHeight="1">
      <c r="A39" s="693" t="s">
        <v>477</v>
      </c>
      <c r="B39" s="694"/>
      <c r="C39" s="694"/>
      <c r="D39" s="1441"/>
      <c r="E39" s="1442"/>
      <c r="F39" s="1443"/>
      <c r="H39" s="1435" t="s">
        <v>628</v>
      </c>
      <c r="I39" s="1436"/>
      <c r="J39" s="1437"/>
      <c r="K39" s="1461"/>
      <c r="L39" s="1462"/>
      <c r="M39" s="1462"/>
      <c r="N39" s="1463"/>
    </row>
    <row r="40" spans="1:14" s="499" customFormat="1" ht="16.5" customHeight="1">
      <c r="A40" s="691" t="s">
        <v>478</v>
      </c>
      <c r="B40" s="692"/>
      <c r="C40" s="692"/>
      <c r="D40" s="1444"/>
      <c r="E40" s="1445"/>
      <c r="F40" s="1446"/>
      <c r="H40" s="1453" t="s">
        <v>475</v>
      </c>
      <c r="I40" s="1454"/>
      <c r="J40" s="1455"/>
      <c r="K40" s="1461"/>
      <c r="L40" s="1462"/>
      <c r="M40" s="1462"/>
      <c r="N40" s="1463"/>
    </row>
    <row r="41" spans="1:14" s="499" customFormat="1" ht="16.5" customHeight="1">
      <c r="A41" s="695" t="s">
        <v>482</v>
      </c>
      <c r="B41" s="696"/>
      <c r="C41" s="696"/>
      <c r="D41" s="696"/>
      <c r="E41" s="696"/>
      <c r="F41" s="697"/>
      <c r="H41" s="1453" t="s">
        <v>354</v>
      </c>
      <c r="I41" s="1454"/>
      <c r="J41" s="1455"/>
      <c r="K41" s="1441"/>
      <c r="L41" s="1442"/>
      <c r="M41" s="1442"/>
      <c r="N41" s="1443"/>
    </row>
    <row r="42" spans="1:14" s="499" customFormat="1" ht="16.5" customHeight="1">
      <c r="A42" s="698"/>
      <c r="B42" s="699"/>
      <c r="C42" s="699"/>
      <c r="D42" s="699"/>
      <c r="E42" s="699"/>
      <c r="F42" s="700"/>
      <c r="H42" s="1456" t="s">
        <v>328</v>
      </c>
      <c r="I42" s="1457"/>
      <c r="J42" s="1458"/>
      <c r="K42" s="1444"/>
      <c r="L42" s="1445"/>
      <c r="M42" s="1445"/>
      <c r="N42" s="1446"/>
    </row>
    <row r="43" spans="1:14" s="499" customFormat="1" ht="16.5" customHeight="1">
      <c r="A43" s="698"/>
      <c r="B43" s="699"/>
      <c r="C43" s="699"/>
      <c r="D43" s="699"/>
      <c r="E43" s="699"/>
      <c r="F43" s="700"/>
      <c r="H43" s="1450" t="s">
        <v>629</v>
      </c>
      <c r="I43" s="1451"/>
      <c r="J43" s="1452"/>
      <c r="K43" s="1447"/>
      <c r="L43" s="1448"/>
      <c r="M43" s="1448"/>
      <c r="N43" s="1449"/>
    </row>
    <row r="44" spans="1:14" s="499" customFormat="1" ht="16.5" customHeight="1">
      <c r="A44" s="698"/>
      <c r="B44" s="699"/>
      <c r="C44" s="699"/>
      <c r="D44" s="699"/>
      <c r="E44" s="699"/>
      <c r="F44" s="701" t="s">
        <v>481</v>
      </c>
      <c r="H44" s="1453" t="s">
        <v>354</v>
      </c>
      <c r="I44" s="1454"/>
      <c r="J44" s="1455"/>
      <c r="K44" s="1441"/>
      <c r="L44" s="1442"/>
      <c r="M44" s="1442"/>
      <c r="N44" s="1443"/>
    </row>
    <row r="45" spans="1:14" s="499" customFormat="1" ht="16.5" customHeight="1">
      <c r="A45" s="1429"/>
      <c r="B45" s="1430"/>
      <c r="C45" s="702" t="s">
        <v>479</v>
      </c>
      <c r="D45" s="1438"/>
      <c r="E45" s="1439"/>
      <c r="F45" s="703" t="s">
        <v>480</v>
      </c>
      <c r="H45" s="1456" t="s">
        <v>328</v>
      </c>
      <c r="I45" s="1457"/>
      <c r="J45" s="1458"/>
      <c r="K45" s="1444"/>
      <c r="L45" s="1445"/>
      <c r="M45" s="1445"/>
      <c r="N45" s="1446"/>
    </row>
    <row r="46" s="448" customFormat="1" ht="16.5" customHeight="1" thickBot="1"/>
    <row r="47" spans="1:14" s="458" customFormat="1" ht="16.5" customHeight="1" thickBot="1">
      <c r="A47" s="633" t="str">
        <f>CONCATENATE("Bovengenoemde partijen verzoeken de definitieve aanvaardbare kosten ",D3," goed te keuren/vast te stellen op:")</f>
        <v>Bovengenoemde partijen verzoeken de definitieve aanvaardbare kosten 2005 goed te keuren/vast te stellen op:</v>
      </c>
      <c r="B47" s="704"/>
      <c r="C47" s="704"/>
      <c r="D47" s="704"/>
      <c r="E47" s="704"/>
      <c r="F47" s="704"/>
      <c r="G47" s="704"/>
      <c r="H47" s="500"/>
      <c r="I47" s="500"/>
      <c r="J47" s="500"/>
      <c r="K47" s="500"/>
      <c r="L47" s="791">
        <f>Mutaties!E27</f>
        <v>0</v>
      </c>
      <c r="M47" s="792"/>
      <c r="N47" s="1157" t="str">
        <f>CONCATENATE("(regel ",Mutaties!A27,")")</f>
        <v>(regel 2219)</v>
      </c>
    </row>
    <row r="48" spans="1:14" ht="13.5" thickBot="1">
      <c r="A48" s="499"/>
      <c r="B48" s="535"/>
      <c r="C48" s="499"/>
      <c r="D48" s="500"/>
      <c r="E48" s="536"/>
      <c r="F48" s="499"/>
      <c r="G48" s="499"/>
      <c r="H48" s="499"/>
      <c r="I48" s="499"/>
      <c r="J48" s="499"/>
      <c r="K48" s="499"/>
      <c r="L48" s="499"/>
      <c r="M48" s="499"/>
      <c r="N48" s="499"/>
    </row>
    <row r="49" spans="1:11" ht="13.5" thickBot="1">
      <c r="A49" s="460" t="s">
        <v>691</v>
      </c>
      <c r="B49" s="468"/>
      <c r="C49" s="468"/>
      <c r="D49" s="468"/>
      <c r="E49" s="468"/>
      <c r="F49" s="803"/>
      <c r="G49" s="458"/>
      <c r="H49" s="704"/>
      <c r="I49" s="704"/>
      <c r="J49" s="704"/>
      <c r="K49" s="704"/>
    </row>
    <row r="50" ht="12.75">
      <c r="I50" s="439"/>
    </row>
  </sheetData>
  <sheetProtection password="CCBC" sheet="1" objects="1" scenarios="1"/>
  <mergeCells count="39">
    <mergeCell ref="D20:L21"/>
    <mergeCell ref="L10:N10"/>
    <mergeCell ref="L6:N6"/>
    <mergeCell ref="L9:N9"/>
    <mergeCell ref="A14:N16"/>
    <mergeCell ref="L7:N7"/>
    <mergeCell ref="L8:N8"/>
    <mergeCell ref="D45:E45"/>
    <mergeCell ref="A45:B45"/>
    <mergeCell ref="D25:L27"/>
    <mergeCell ref="D22:L24"/>
    <mergeCell ref="H35:J35"/>
    <mergeCell ref="K35:N35"/>
    <mergeCell ref="K37:N37"/>
    <mergeCell ref="H37:J37"/>
    <mergeCell ref="H36:J36"/>
    <mergeCell ref="K36:N36"/>
    <mergeCell ref="H38:J38"/>
    <mergeCell ref="H39:J39"/>
    <mergeCell ref="H41:J41"/>
    <mergeCell ref="H42:J42"/>
    <mergeCell ref="H40:J40"/>
    <mergeCell ref="K38:N38"/>
    <mergeCell ref="K39:N39"/>
    <mergeCell ref="K41:N41"/>
    <mergeCell ref="K42:N42"/>
    <mergeCell ref="K40:N40"/>
    <mergeCell ref="H43:J43"/>
    <mergeCell ref="H44:J44"/>
    <mergeCell ref="H45:J45"/>
    <mergeCell ref="K43:N43"/>
    <mergeCell ref="K44:N44"/>
    <mergeCell ref="K45:N45"/>
    <mergeCell ref="D39:F39"/>
    <mergeCell ref="D40:F40"/>
    <mergeCell ref="D35:F35"/>
    <mergeCell ref="D36:F36"/>
    <mergeCell ref="D37:F37"/>
    <mergeCell ref="D38:F38"/>
  </mergeCells>
  <conditionalFormatting sqref="A50:F53 E44:F44 H52:N55 F47:F48 D47:E49 K47:N50">
    <cfRule type="expression" priority="1" dxfId="0" stopIfTrue="1">
      <formula>$D$41=TRUE</formula>
    </cfRule>
  </conditionalFormatting>
  <conditionalFormatting sqref="D29:E29 E33:F33 D45:E45 A45 F49 K35:K45 D35:D40">
    <cfRule type="expression" priority="2" dxfId="0" stopIfTrue="1">
      <formula>$D$30=TRUE</formula>
    </cfRule>
  </conditionalFormatting>
  <printOptions/>
  <pageMargins left="0.3937007874015748" right="0.3937007874015748" top="0.3937007874015748" bottom="0.3937007874015748" header="0.5118110236220472" footer="0.5118110236220472"/>
  <pageSetup fitToHeight="1" fitToWidth="1" horizontalDpi="300" verticalDpi="300" orientation="landscape" paperSize="9" r:id="rId3"/>
  <drawing r:id="rId2"/>
  <legacyDrawing r:id="rId1"/>
</worksheet>
</file>

<file path=xl/worksheets/sheet20.xml><?xml version="1.0" encoding="utf-8"?>
<worksheet xmlns="http://schemas.openxmlformats.org/spreadsheetml/2006/main" xmlns:r="http://schemas.openxmlformats.org/officeDocument/2006/relationships">
  <sheetPr codeName="Blad19"/>
  <dimension ref="A1:AN181"/>
  <sheetViews>
    <sheetView showGridLines="0" showRowColHeaders="0" showZeros="0" showOutlineSymbols="0" view="pageBreakPreview" zoomScale="75" zoomScaleNormal="86" zoomScaleSheetLayoutView="75" workbookViewId="0" topLeftCell="A1">
      <selection activeCell="B8" sqref="B8"/>
    </sheetView>
  </sheetViews>
  <sheetFormatPr defaultColWidth="9.140625" defaultRowHeight="12.75"/>
  <cols>
    <col min="1" max="1" width="6.7109375" style="1386" customWidth="1"/>
    <col min="2" max="2" width="12.7109375" style="439" customWidth="1"/>
    <col min="3" max="3" width="9.28125" style="439" customWidth="1"/>
    <col min="4" max="4" width="11.8515625" style="436" customWidth="1"/>
    <col min="5" max="7" width="5.8515625" style="439" customWidth="1"/>
    <col min="8" max="9" width="12.421875" style="435" customWidth="1"/>
    <col min="10" max="10" width="3.7109375" style="435" customWidth="1"/>
    <col min="11" max="16" width="2.7109375" style="435" customWidth="1"/>
    <col min="17" max="18" width="12.421875" style="435" customWidth="1"/>
    <col min="19" max="20" width="12.421875" style="439" customWidth="1"/>
    <col min="21" max="21" width="7.28125" style="439" hidden="1" customWidth="1"/>
    <col min="22" max="22" width="5.8515625" style="439" hidden="1" customWidth="1"/>
    <col min="23" max="23" width="14.28125" style="439" hidden="1" customWidth="1"/>
    <col min="24" max="24" width="14.7109375" style="439" hidden="1" customWidth="1"/>
    <col min="25" max="25" width="15.00390625" style="439" hidden="1" customWidth="1"/>
    <col min="26" max="26" width="15.28125" style="439" hidden="1" customWidth="1"/>
    <col min="27" max="27" width="13.7109375" style="439" hidden="1" customWidth="1"/>
    <col min="28" max="28" width="11.7109375" style="439" hidden="1" customWidth="1"/>
    <col min="29" max="29" width="15.28125" style="439" hidden="1" customWidth="1"/>
    <col min="30" max="30" width="13.7109375" style="439" hidden="1" customWidth="1"/>
    <col min="31" max="31" width="12.8515625" style="439" hidden="1" customWidth="1"/>
    <col min="32" max="32" width="13.28125" style="439" hidden="1" customWidth="1"/>
    <col min="33" max="33" width="12.421875" style="439" hidden="1" customWidth="1"/>
    <col min="34" max="34" width="12.8515625" style="439" customWidth="1"/>
    <col min="35" max="35" width="11.8515625" style="439" customWidth="1"/>
    <col min="36" max="40" width="10.28125" style="439" customWidth="1"/>
    <col min="41" max="16384" width="9.140625" style="439" customWidth="1"/>
  </cols>
  <sheetData>
    <row r="1" spans="1:27" ht="15.75" customHeight="1">
      <c r="A1" s="1380"/>
      <c r="B1" s="630"/>
      <c r="C1" s="630"/>
      <c r="D1" s="2"/>
      <c r="E1" s="2"/>
      <c r="F1" s="2"/>
      <c r="G1" s="2"/>
      <c r="H1" s="2"/>
      <c r="I1" s="2"/>
      <c r="J1" s="2"/>
      <c r="K1" s="2"/>
      <c r="L1" s="2"/>
      <c r="M1" s="2"/>
      <c r="N1" s="2"/>
      <c r="O1" s="2"/>
      <c r="P1" s="2"/>
      <c r="Q1" s="2"/>
      <c r="R1" s="2"/>
      <c r="S1" s="630"/>
      <c r="T1" s="630"/>
      <c r="U1" s="440"/>
      <c r="V1" s="441"/>
      <c r="W1" s="440"/>
      <c r="X1" s="440"/>
      <c r="Y1" s="440"/>
      <c r="Z1" s="440"/>
      <c r="AA1" s="440"/>
    </row>
    <row r="2" spans="1:27" s="447" customFormat="1" ht="15.75" customHeight="1">
      <c r="A2" s="1387" t="str">
        <f>Inhoud!$A$2</f>
        <v>Nacalculatieformulier 2005</v>
      </c>
      <c r="B2" s="7"/>
      <c r="C2" s="7"/>
      <c r="D2" s="7"/>
      <c r="E2" s="7"/>
      <c r="F2" s="7"/>
      <c r="G2" s="7"/>
      <c r="H2" s="7"/>
      <c r="I2" s="8" t="b">
        <f>Voorblad!D30</f>
        <v>1</v>
      </c>
      <c r="J2" s="8"/>
      <c r="K2" s="8"/>
      <c r="L2" s="625"/>
      <c r="M2" s="625"/>
      <c r="N2" s="8"/>
      <c r="O2" s="625"/>
      <c r="P2" s="625"/>
      <c r="Q2" s="8"/>
      <c r="R2" s="625"/>
      <c r="S2" s="769"/>
      <c r="T2" s="10">
        <f>'A-G'!G123+1</f>
        <v>28</v>
      </c>
      <c r="U2" s="448"/>
      <c r="V2" s="449"/>
      <c r="W2" s="448"/>
      <c r="X2" s="448"/>
      <c r="Y2" s="448"/>
      <c r="Z2" s="448"/>
      <c r="AA2" s="448"/>
    </row>
    <row r="3" spans="1:20" s="456" customFormat="1" ht="12.75" customHeight="1">
      <c r="A3" s="1366"/>
      <c r="B3" s="649"/>
      <c r="C3" s="649"/>
      <c r="D3" s="167"/>
      <c r="E3" s="649"/>
      <c r="F3" s="649"/>
      <c r="G3" s="649"/>
      <c r="H3" s="168"/>
      <c r="I3" s="168"/>
      <c r="J3" s="168"/>
      <c r="K3" s="168"/>
      <c r="L3" s="168"/>
      <c r="M3" s="168"/>
      <c r="N3" s="168"/>
      <c r="O3" s="168"/>
      <c r="P3" s="168"/>
      <c r="Q3" s="168"/>
      <c r="R3" s="168"/>
      <c r="S3" s="567"/>
      <c r="T3" s="567"/>
    </row>
    <row r="4" spans="1:39" s="498" customFormat="1" ht="12.75" customHeight="1">
      <c r="A4" s="216"/>
      <c r="B4" s="1158" t="s">
        <v>346</v>
      </c>
      <c r="C4" s="1158" t="s">
        <v>354</v>
      </c>
      <c r="D4" s="1159" t="s">
        <v>572</v>
      </c>
      <c r="E4" s="1159" t="s">
        <v>362</v>
      </c>
      <c r="F4" s="1159" t="s">
        <v>341</v>
      </c>
      <c r="G4" s="1159" t="s">
        <v>575</v>
      </c>
      <c r="H4" s="1159" t="s">
        <v>347</v>
      </c>
      <c r="I4" s="1593" t="str">
        <f>CONCATENATE("Storting/Aflossing ",Voorblad!D3)</f>
        <v>Storting/Aflossing 2005</v>
      </c>
      <c r="J4" s="1596"/>
      <c r="K4" s="1596"/>
      <c r="L4" s="1596"/>
      <c r="M4" s="1596"/>
      <c r="N4" s="1596"/>
      <c r="O4" s="1596"/>
      <c r="P4" s="1597"/>
      <c r="Q4" s="1158" t="s">
        <v>347</v>
      </c>
      <c r="R4" s="1159" t="s">
        <v>366</v>
      </c>
      <c r="S4" s="1159" t="s">
        <v>604</v>
      </c>
      <c r="T4" s="1160" t="s">
        <v>578</v>
      </c>
      <c r="U4" s="577"/>
      <c r="V4" s="577"/>
      <c r="W4" s="577"/>
      <c r="X4" s="577"/>
      <c r="Y4" s="577"/>
      <c r="Z4" s="577"/>
      <c r="AA4" s="577"/>
      <c r="AB4" s="577"/>
      <c r="AC4" s="577"/>
      <c r="AD4" s="577"/>
      <c r="AE4" s="577"/>
      <c r="AF4" s="577"/>
      <c r="AG4" s="577"/>
      <c r="AH4" s="577"/>
      <c r="AI4" s="577"/>
      <c r="AJ4" s="577"/>
      <c r="AK4" s="577"/>
      <c r="AL4" s="577"/>
      <c r="AM4" s="577"/>
    </row>
    <row r="5" spans="1:39" s="498" customFormat="1" ht="12.75" customHeight="1">
      <c r="A5" s="216"/>
      <c r="B5" s="650"/>
      <c r="C5" s="650" t="s">
        <v>609</v>
      </c>
      <c r="D5" s="217" t="s">
        <v>657</v>
      </c>
      <c r="E5" s="217" t="s">
        <v>573</v>
      </c>
      <c r="F5" s="217" t="s">
        <v>574</v>
      </c>
      <c r="G5" s="217" t="s">
        <v>576</v>
      </c>
      <c r="H5" s="1161" t="str">
        <f>CONCATENATE("31-12-",Voorblad!D3-1," ")</f>
        <v>31-12-2004 </v>
      </c>
      <c r="I5" s="1163" t="s">
        <v>11</v>
      </c>
      <c r="J5" s="220" t="s">
        <v>360</v>
      </c>
      <c r="K5" s="1593" t="s">
        <v>361</v>
      </c>
      <c r="L5" s="1594"/>
      <c r="M5" s="1594"/>
      <c r="N5" s="1594"/>
      <c r="O5" s="1594"/>
      <c r="P5" s="1595"/>
      <c r="Q5" s="1161" t="str">
        <f>CONCATENATE("31-12-",Voorblad!D3," ")</f>
        <v>31-12-2005 </v>
      </c>
      <c r="R5" s="1162" t="s">
        <v>610</v>
      </c>
      <c r="S5" s="1162" t="s">
        <v>577</v>
      </c>
      <c r="T5" s="1162" t="s">
        <v>577</v>
      </c>
      <c r="U5" s="577"/>
      <c r="V5" s="577"/>
      <c r="W5" s="577"/>
      <c r="X5" s="577"/>
      <c r="Y5" s="577"/>
      <c r="Z5" s="577"/>
      <c r="AA5" s="577"/>
      <c r="AB5" s="577"/>
      <c r="AC5" s="577"/>
      <c r="AD5" s="577"/>
      <c r="AE5" s="577"/>
      <c r="AF5" s="577"/>
      <c r="AG5" s="577"/>
      <c r="AH5" s="577"/>
      <c r="AI5" s="577"/>
      <c r="AJ5" s="577"/>
      <c r="AK5" s="577"/>
      <c r="AL5" s="577"/>
      <c r="AM5" s="577"/>
    </row>
    <row r="6" spans="1:20" s="499" customFormat="1" ht="12.75" customHeight="1">
      <c r="A6" s="1381"/>
      <c r="B6" s="92"/>
      <c r="C6" s="92"/>
      <c r="D6" s="92"/>
      <c r="E6" s="92"/>
      <c r="F6" s="92"/>
      <c r="G6" s="92"/>
      <c r="H6" s="92"/>
      <c r="I6" s="92"/>
      <c r="J6" s="92"/>
      <c r="K6" s="92"/>
      <c r="L6" s="91"/>
      <c r="M6" s="92"/>
      <c r="N6" s="92"/>
      <c r="O6" s="92"/>
      <c r="P6" s="92"/>
      <c r="Q6" s="92"/>
      <c r="R6" s="92"/>
      <c r="S6" s="92"/>
      <c r="T6" s="92" t="s">
        <v>612</v>
      </c>
    </row>
    <row r="7" spans="1:20" s="456" customFormat="1" ht="12.75" customHeight="1">
      <c r="A7" s="1366" t="s">
        <v>462</v>
      </c>
      <c r="B7" s="651" t="s">
        <v>460</v>
      </c>
      <c r="C7" s="651"/>
      <c r="D7" s="167"/>
      <c r="E7" s="649"/>
      <c r="F7" s="649"/>
      <c r="G7" s="649"/>
      <c r="H7" s="168"/>
      <c r="I7" s="168"/>
      <c r="J7" s="168"/>
      <c r="K7" s="168"/>
      <c r="L7" s="168"/>
      <c r="M7" s="168"/>
      <c r="N7" s="168"/>
      <c r="O7" s="168"/>
      <c r="P7" s="168"/>
      <c r="Q7" s="168"/>
      <c r="R7" s="168"/>
      <c r="S7" s="567"/>
      <c r="T7" s="567"/>
    </row>
    <row r="8" spans="1:39" s="456" customFormat="1" ht="12.75" customHeight="1">
      <c r="A8" s="1369">
        <f>(100*T2)+1</f>
        <v>2801</v>
      </c>
      <c r="B8" s="747"/>
      <c r="C8" s="553"/>
      <c r="D8" s="553"/>
      <c r="E8" s="508"/>
      <c r="F8" s="508"/>
      <c r="G8" s="839"/>
      <c r="H8" s="568"/>
      <c r="I8" s="568"/>
      <c r="J8" s="501"/>
      <c r="K8" s="501"/>
      <c r="L8" s="501"/>
      <c r="M8" s="501"/>
      <c r="N8" s="501"/>
      <c r="O8" s="501"/>
      <c r="P8" s="501"/>
      <c r="Q8" s="571">
        <f>H8-AB8</f>
        <v>0</v>
      </c>
      <c r="R8" s="571">
        <f>R59</f>
        <v>0</v>
      </c>
      <c r="S8" s="571">
        <f>R8*F8/100</f>
        <v>0</v>
      </c>
      <c r="T8" s="570">
        <f>IF(G8="n",S8,E8/100*R8)</f>
        <v>0</v>
      </c>
      <c r="U8" s="573">
        <f aca="true" t="shared" si="0" ref="U8:Z8">IF(K8&gt;0,1,0)</f>
        <v>0</v>
      </c>
      <c r="V8" s="573">
        <f t="shared" si="0"/>
        <v>0</v>
      </c>
      <c r="W8" s="573">
        <f t="shared" si="0"/>
        <v>0</v>
      </c>
      <c r="X8" s="573">
        <f t="shared" si="0"/>
        <v>0</v>
      </c>
      <c r="Y8" s="573">
        <f t="shared" si="0"/>
        <v>0</v>
      </c>
      <c r="Z8" s="573">
        <f t="shared" si="0"/>
        <v>0</v>
      </c>
      <c r="AA8" s="573">
        <f>SUM(U8:Z8)</f>
        <v>0</v>
      </c>
      <c r="AB8" s="573">
        <f>AA8*I8</f>
        <v>0</v>
      </c>
      <c r="AC8" s="1132"/>
      <c r="AD8"/>
      <c r="AE8"/>
      <c r="AF8"/>
      <c r="AG8"/>
      <c r="AH8"/>
      <c r="AI8"/>
      <c r="AJ8" s="572"/>
      <c r="AK8" s="572"/>
      <c r="AL8" s="572"/>
      <c r="AM8" s="572"/>
    </row>
    <row r="9" spans="1:39" s="456" customFormat="1" ht="12.75" customHeight="1">
      <c r="A9" s="1369">
        <f>A8+1</f>
        <v>2802</v>
      </c>
      <c r="B9" s="747"/>
      <c r="C9" s="553"/>
      <c r="D9" s="553"/>
      <c r="E9" s="508"/>
      <c r="F9" s="552"/>
      <c r="G9" s="839"/>
      <c r="H9" s="568"/>
      <c r="I9" s="568"/>
      <c r="J9" s="501"/>
      <c r="K9" s="501"/>
      <c r="L9" s="501"/>
      <c r="M9" s="501"/>
      <c r="N9" s="501"/>
      <c r="O9" s="501"/>
      <c r="P9" s="501"/>
      <c r="Q9" s="571">
        <f aca="true" t="shared" si="1" ref="Q9:Q33">H9-AB9</f>
        <v>0</v>
      </c>
      <c r="R9" s="571">
        <f aca="true" t="shared" si="2" ref="R9:R42">R60</f>
        <v>0</v>
      </c>
      <c r="S9" s="571">
        <f>R9*F9/100</f>
        <v>0</v>
      </c>
      <c r="T9" s="570">
        <f aca="true" t="shared" si="3" ref="T9:T33">IF(G9="n",S9,E9/100*R9)</f>
        <v>0</v>
      </c>
      <c r="U9" s="573">
        <f aca="true" t="shared" si="4" ref="U9:U34">IF(K9&gt;0,1,0)</f>
        <v>0</v>
      </c>
      <c r="V9" s="573">
        <f aca="true" t="shared" si="5" ref="V9:V34">IF(L9&gt;0,1,0)</f>
        <v>0</v>
      </c>
      <c r="W9" s="573">
        <f aca="true" t="shared" si="6" ref="W9:W34">IF(M9&gt;0,1,0)</f>
        <v>0</v>
      </c>
      <c r="X9" s="573">
        <f aca="true" t="shared" si="7" ref="X9:X34">IF(N9&gt;0,1,0)</f>
        <v>0</v>
      </c>
      <c r="Y9" s="573">
        <f aca="true" t="shared" si="8" ref="Y9:Y34">IF(O9&gt;0,1,0)</f>
        <v>0</v>
      </c>
      <c r="Z9" s="573">
        <f aca="true" t="shared" si="9" ref="Z9:Z34">IF(P9&gt;0,1,0)</f>
        <v>0</v>
      </c>
      <c r="AA9" s="573">
        <f aca="true" t="shared" si="10" ref="AA9:AA34">SUM(U9:Z9)</f>
        <v>0</v>
      </c>
      <c r="AB9" s="573">
        <f aca="true" t="shared" si="11" ref="AB9:AB34">AA9*I9</f>
        <v>0</v>
      </c>
      <c r="AC9"/>
      <c r="AD9"/>
      <c r="AE9"/>
      <c r="AF9"/>
      <c r="AG9"/>
      <c r="AH9"/>
      <c r="AI9"/>
      <c r="AJ9" s="572"/>
      <c r="AK9" s="572"/>
      <c r="AL9" s="572"/>
      <c r="AM9" s="572"/>
    </row>
    <row r="10" spans="1:39" s="456" customFormat="1" ht="12.75" customHeight="1">
      <c r="A10" s="1369">
        <f>A9+1</f>
        <v>2803</v>
      </c>
      <c r="B10" s="747"/>
      <c r="C10" s="553"/>
      <c r="D10" s="553"/>
      <c r="E10" s="508"/>
      <c r="F10" s="552"/>
      <c r="G10" s="839"/>
      <c r="H10" s="568"/>
      <c r="I10" s="568"/>
      <c r="J10" s="501"/>
      <c r="K10" s="501"/>
      <c r="L10" s="501"/>
      <c r="M10" s="501"/>
      <c r="N10" s="501"/>
      <c r="O10" s="501"/>
      <c r="P10" s="501"/>
      <c r="Q10" s="571">
        <f t="shared" si="1"/>
        <v>0</v>
      </c>
      <c r="R10" s="571">
        <f t="shared" si="2"/>
        <v>0</v>
      </c>
      <c r="S10" s="571">
        <f aca="true" t="shared" si="12" ref="S10:S33">R10*F10/100</f>
        <v>0</v>
      </c>
      <c r="T10" s="570">
        <f t="shared" si="3"/>
        <v>0</v>
      </c>
      <c r="U10" s="573">
        <f t="shared" si="4"/>
        <v>0</v>
      </c>
      <c r="V10" s="573">
        <f t="shared" si="5"/>
        <v>0</v>
      </c>
      <c r="W10" s="573">
        <f t="shared" si="6"/>
        <v>0</v>
      </c>
      <c r="X10" s="573">
        <f t="shared" si="7"/>
        <v>0</v>
      </c>
      <c r="Y10" s="573">
        <f t="shared" si="8"/>
        <v>0</v>
      </c>
      <c r="Z10" s="573">
        <f t="shared" si="9"/>
        <v>0</v>
      </c>
      <c r="AA10" s="573">
        <f t="shared" si="10"/>
        <v>0</v>
      </c>
      <c r="AB10" s="573">
        <f t="shared" si="11"/>
        <v>0</v>
      </c>
      <c r="AC10"/>
      <c r="AD10"/>
      <c r="AE10"/>
      <c r="AF10"/>
      <c r="AG10"/>
      <c r="AH10"/>
      <c r="AI10"/>
      <c r="AJ10" s="572"/>
      <c r="AK10" s="572"/>
      <c r="AL10" s="572"/>
      <c r="AM10" s="572"/>
    </row>
    <row r="11" spans="1:39" s="456" customFormat="1" ht="12.75" customHeight="1">
      <c r="A11" s="1369">
        <f aca="true" t="shared" si="13" ref="A11:A17">A10+1</f>
        <v>2804</v>
      </c>
      <c r="B11" s="747"/>
      <c r="C11" s="553"/>
      <c r="D11" s="553"/>
      <c r="E11" s="508"/>
      <c r="F11" s="552"/>
      <c r="G11" s="839"/>
      <c r="H11" s="568"/>
      <c r="I11" s="568"/>
      <c r="J11" s="501"/>
      <c r="K11" s="501"/>
      <c r="L11" s="501"/>
      <c r="M11" s="501"/>
      <c r="N11" s="501"/>
      <c r="O11" s="501"/>
      <c r="P11" s="501"/>
      <c r="Q11" s="571">
        <f t="shared" si="1"/>
        <v>0</v>
      </c>
      <c r="R11" s="571">
        <f t="shared" si="2"/>
        <v>0</v>
      </c>
      <c r="S11" s="571">
        <f t="shared" si="12"/>
        <v>0</v>
      </c>
      <c r="T11" s="570">
        <f t="shared" si="3"/>
        <v>0</v>
      </c>
      <c r="U11" s="573">
        <f t="shared" si="4"/>
        <v>0</v>
      </c>
      <c r="V11" s="573">
        <f t="shared" si="5"/>
        <v>0</v>
      </c>
      <c r="W11" s="573">
        <f t="shared" si="6"/>
        <v>0</v>
      </c>
      <c r="X11" s="573">
        <f t="shared" si="7"/>
        <v>0</v>
      </c>
      <c r="Y11" s="573">
        <f t="shared" si="8"/>
        <v>0</v>
      </c>
      <c r="Z11" s="573">
        <f t="shared" si="9"/>
        <v>0</v>
      </c>
      <c r="AA11" s="573">
        <f t="shared" si="10"/>
        <v>0</v>
      </c>
      <c r="AB11" s="573">
        <f t="shared" si="11"/>
        <v>0</v>
      </c>
      <c r="AC11"/>
      <c r="AD11"/>
      <c r="AE11"/>
      <c r="AF11"/>
      <c r="AG11"/>
      <c r="AH11"/>
      <c r="AI11"/>
      <c r="AJ11" s="572"/>
      <c r="AK11" s="572"/>
      <c r="AL11" s="572"/>
      <c r="AM11" s="572"/>
    </row>
    <row r="12" spans="1:39" s="456" customFormat="1" ht="12.75" customHeight="1">
      <c r="A12" s="1369">
        <f t="shared" si="13"/>
        <v>2805</v>
      </c>
      <c r="B12" s="747"/>
      <c r="C12" s="553"/>
      <c r="D12" s="553"/>
      <c r="E12" s="508"/>
      <c r="F12" s="552"/>
      <c r="G12" s="839"/>
      <c r="H12" s="568"/>
      <c r="I12" s="568"/>
      <c r="J12" s="501"/>
      <c r="K12" s="501"/>
      <c r="L12" s="501"/>
      <c r="M12" s="501"/>
      <c r="N12" s="501"/>
      <c r="O12" s="501"/>
      <c r="P12" s="501"/>
      <c r="Q12" s="571">
        <f t="shared" si="1"/>
        <v>0</v>
      </c>
      <c r="R12" s="571">
        <f t="shared" si="2"/>
        <v>0</v>
      </c>
      <c r="S12" s="571">
        <f t="shared" si="12"/>
        <v>0</v>
      </c>
      <c r="T12" s="570">
        <f t="shared" si="3"/>
        <v>0</v>
      </c>
      <c r="U12" s="573">
        <f t="shared" si="4"/>
        <v>0</v>
      </c>
      <c r="V12" s="573">
        <f t="shared" si="5"/>
        <v>0</v>
      </c>
      <c r="W12" s="573">
        <f t="shared" si="6"/>
        <v>0</v>
      </c>
      <c r="X12" s="573">
        <f t="shared" si="7"/>
        <v>0</v>
      </c>
      <c r="Y12" s="573">
        <f t="shared" si="8"/>
        <v>0</v>
      </c>
      <c r="Z12" s="573">
        <f t="shared" si="9"/>
        <v>0</v>
      </c>
      <c r="AA12" s="573">
        <f t="shared" si="10"/>
        <v>0</v>
      </c>
      <c r="AB12" s="573">
        <f t="shared" si="11"/>
        <v>0</v>
      </c>
      <c r="AC12"/>
      <c r="AD12"/>
      <c r="AE12"/>
      <c r="AF12"/>
      <c r="AG12"/>
      <c r="AH12"/>
      <c r="AI12"/>
      <c r="AJ12" s="572"/>
      <c r="AK12" s="572"/>
      <c r="AL12" s="572"/>
      <c r="AM12" s="572"/>
    </row>
    <row r="13" spans="1:39" s="456" customFormat="1" ht="12.75" customHeight="1">
      <c r="A13" s="1369">
        <f t="shared" si="13"/>
        <v>2806</v>
      </c>
      <c r="B13" s="747"/>
      <c r="C13" s="553"/>
      <c r="D13" s="553"/>
      <c r="E13" s="508"/>
      <c r="F13" s="552"/>
      <c r="G13" s="839"/>
      <c r="H13" s="568"/>
      <c r="I13" s="568"/>
      <c r="J13" s="501"/>
      <c r="K13" s="501"/>
      <c r="L13" s="501"/>
      <c r="M13" s="501"/>
      <c r="N13" s="501"/>
      <c r="O13" s="501"/>
      <c r="P13" s="501"/>
      <c r="Q13" s="571">
        <f t="shared" si="1"/>
        <v>0</v>
      </c>
      <c r="R13" s="571">
        <f t="shared" si="2"/>
        <v>0</v>
      </c>
      <c r="S13" s="571">
        <f t="shared" si="12"/>
        <v>0</v>
      </c>
      <c r="T13" s="570">
        <f t="shared" si="3"/>
        <v>0</v>
      </c>
      <c r="U13" s="573">
        <f t="shared" si="4"/>
        <v>0</v>
      </c>
      <c r="V13" s="573">
        <f t="shared" si="5"/>
        <v>0</v>
      </c>
      <c r="W13" s="573">
        <f t="shared" si="6"/>
        <v>0</v>
      </c>
      <c r="X13" s="573">
        <f t="shared" si="7"/>
        <v>0</v>
      </c>
      <c r="Y13" s="573">
        <f t="shared" si="8"/>
        <v>0</v>
      </c>
      <c r="Z13" s="573">
        <f t="shared" si="9"/>
        <v>0</v>
      </c>
      <c r="AA13" s="573">
        <f t="shared" si="10"/>
        <v>0</v>
      </c>
      <c r="AB13" s="573">
        <f t="shared" si="11"/>
        <v>0</v>
      </c>
      <c r="AC13"/>
      <c r="AD13"/>
      <c r="AE13"/>
      <c r="AF13"/>
      <c r="AG13"/>
      <c r="AH13"/>
      <c r="AI13"/>
      <c r="AJ13" s="572"/>
      <c r="AK13" s="572"/>
      <c r="AL13" s="572"/>
      <c r="AM13" s="572"/>
    </row>
    <row r="14" spans="1:39" s="456" customFormat="1" ht="12.75" customHeight="1">
      <c r="A14" s="1369">
        <f t="shared" si="13"/>
        <v>2807</v>
      </c>
      <c r="B14" s="747"/>
      <c r="C14" s="553"/>
      <c r="D14" s="553"/>
      <c r="E14" s="750"/>
      <c r="F14" s="751"/>
      <c r="G14" s="840"/>
      <c r="H14" s="568"/>
      <c r="I14" s="568"/>
      <c r="J14" s="501"/>
      <c r="K14" s="501"/>
      <c r="L14" s="501"/>
      <c r="M14" s="501"/>
      <c r="N14" s="501"/>
      <c r="O14" s="501"/>
      <c r="P14" s="501"/>
      <c r="Q14" s="571">
        <f>H14-AB14</f>
        <v>0</v>
      </c>
      <c r="R14" s="571">
        <f t="shared" si="2"/>
        <v>0</v>
      </c>
      <c r="S14" s="571">
        <f t="shared" si="12"/>
        <v>0</v>
      </c>
      <c r="T14" s="570">
        <f t="shared" si="3"/>
        <v>0</v>
      </c>
      <c r="U14" s="573">
        <f t="shared" si="4"/>
        <v>0</v>
      </c>
      <c r="V14" s="573">
        <f t="shared" si="5"/>
        <v>0</v>
      </c>
      <c r="W14" s="573">
        <f t="shared" si="6"/>
        <v>0</v>
      </c>
      <c r="X14" s="573">
        <f t="shared" si="7"/>
        <v>0</v>
      </c>
      <c r="Y14" s="573">
        <f t="shared" si="8"/>
        <v>0</v>
      </c>
      <c r="Z14" s="573">
        <f t="shared" si="9"/>
        <v>0</v>
      </c>
      <c r="AA14" s="573">
        <f t="shared" si="10"/>
        <v>0</v>
      </c>
      <c r="AB14" s="573">
        <f t="shared" si="11"/>
        <v>0</v>
      </c>
      <c r="AC14"/>
      <c r="AD14"/>
      <c r="AE14"/>
      <c r="AF14"/>
      <c r="AG14"/>
      <c r="AH14"/>
      <c r="AI14"/>
      <c r="AJ14" s="572"/>
      <c r="AK14" s="572"/>
      <c r="AL14" s="572"/>
      <c r="AM14" s="572"/>
    </row>
    <row r="15" spans="1:39" s="456" customFormat="1" ht="12.75" customHeight="1">
      <c r="A15" s="1369">
        <f t="shared" si="13"/>
        <v>2808</v>
      </c>
      <c r="B15" s="747"/>
      <c r="C15" s="553"/>
      <c r="D15" s="553"/>
      <c r="E15" s="508"/>
      <c r="F15" s="552"/>
      <c r="G15" s="839"/>
      <c r="H15" s="568"/>
      <c r="I15" s="568"/>
      <c r="J15" s="501"/>
      <c r="K15" s="501"/>
      <c r="L15" s="501"/>
      <c r="M15" s="501"/>
      <c r="N15" s="501"/>
      <c r="O15" s="501"/>
      <c r="P15" s="501"/>
      <c r="Q15" s="571">
        <f t="shared" si="1"/>
        <v>0</v>
      </c>
      <c r="R15" s="571">
        <f t="shared" si="2"/>
        <v>0</v>
      </c>
      <c r="S15" s="571">
        <f t="shared" si="12"/>
        <v>0</v>
      </c>
      <c r="T15" s="570">
        <f t="shared" si="3"/>
        <v>0</v>
      </c>
      <c r="U15" s="573">
        <f t="shared" si="4"/>
        <v>0</v>
      </c>
      <c r="V15" s="573">
        <f t="shared" si="5"/>
        <v>0</v>
      </c>
      <c r="W15" s="573">
        <f t="shared" si="6"/>
        <v>0</v>
      </c>
      <c r="X15" s="573">
        <f t="shared" si="7"/>
        <v>0</v>
      </c>
      <c r="Y15" s="573">
        <f t="shared" si="8"/>
        <v>0</v>
      </c>
      <c r="Z15" s="573">
        <f t="shared" si="9"/>
        <v>0</v>
      </c>
      <c r="AA15" s="573">
        <f t="shared" si="10"/>
        <v>0</v>
      </c>
      <c r="AB15" s="573">
        <f t="shared" si="11"/>
        <v>0</v>
      </c>
      <c r="AC15"/>
      <c r="AD15"/>
      <c r="AE15"/>
      <c r="AF15"/>
      <c r="AG15"/>
      <c r="AH15"/>
      <c r="AI15"/>
      <c r="AJ15" s="572"/>
      <c r="AK15" s="572"/>
      <c r="AL15" s="572"/>
      <c r="AM15" s="572"/>
    </row>
    <row r="16" spans="1:39" s="456" customFormat="1" ht="12.75" customHeight="1">
      <c r="A16" s="1369">
        <f t="shared" si="13"/>
        <v>2809</v>
      </c>
      <c r="B16" s="747"/>
      <c r="C16" s="553"/>
      <c r="D16" s="553"/>
      <c r="E16" s="508"/>
      <c r="F16" s="552"/>
      <c r="G16" s="839"/>
      <c r="H16" s="568"/>
      <c r="I16" s="568"/>
      <c r="J16" s="501"/>
      <c r="K16" s="501"/>
      <c r="L16" s="501"/>
      <c r="M16" s="501"/>
      <c r="N16" s="501"/>
      <c r="O16" s="501"/>
      <c r="P16" s="501"/>
      <c r="Q16" s="571">
        <f t="shared" si="1"/>
        <v>0</v>
      </c>
      <c r="R16" s="571">
        <f t="shared" si="2"/>
        <v>0</v>
      </c>
      <c r="S16" s="571">
        <f t="shared" si="12"/>
        <v>0</v>
      </c>
      <c r="T16" s="570">
        <f t="shared" si="3"/>
        <v>0</v>
      </c>
      <c r="U16" s="573">
        <f t="shared" si="4"/>
        <v>0</v>
      </c>
      <c r="V16" s="573">
        <f t="shared" si="5"/>
        <v>0</v>
      </c>
      <c r="W16" s="573">
        <f t="shared" si="6"/>
        <v>0</v>
      </c>
      <c r="X16" s="573">
        <f t="shared" si="7"/>
        <v>0</v>
      </c>
      <c r="Y16" s="573">
        <f t="shared" si="8"/>
        <v>0</v>
      </c>
      <c r="Z16" s="573">
        <f t="shared" si="9"/>
        <v>0</v>
      </c>
      <c r="AA16" s="573">
        <f t="shared" si="10"/>
        <v>0</v>
      </c>
      <c r="AB16" s="573">
        <f t="shared" si="11"/>
        <v>0</v>
      </c>
      <c r="AC16"/>
      <c r="AD16"/>
      <c r="AE16"/>
      <c r="AF16"/>
      <c r="AG16"/>
      <c r="AH16"/>
      <c r="AI16"/>
      <c r="AJ16" s="572"/>
      <c r="AK16" s="572"/>
      <c r="AL16" s="572"/>
      <c r="AM16" s="572"/>
    </row>
    <row r="17" spans="1:39" s="456" customFormat="1" ht="12.75" customHeight="1">
      <c r="A17" s="1369">
        <f t="shared" si="13"/>
        <v>2810</v>
      </c>
      <c r="B17" s="747"/>
      <c r="C17" s="553"/>
      <c r="D17" s="553"/>
      <c r="E17" s="508"/>
      <c r="F17" s="552"/>
      <c r="G17" s="839"/>
      <c r="H17" s="568"/>
      <c r="I17" s="568"/>
      <c r="J17" s="501"/>
      <c r="K17" s="501"/>
      <c r="L17" s="501"/>
      <c r="M17" s="501"/>
      <c r="N17" s="501"/>
      <c r="O17" s="501"/>
      <c r="P17" s="501"/>
      <c r="Q17" s="571">
        <f t="shared" si="1"/>
        <v>0</v>
      </c>
      <c r="R17" s="571">
        <f t="shared" si="2"/>
        <v>0</v>
      </c>
      <c r="S17" s="571">
        <f t="shared" si="12"/>
        <v>0</v>
      </c>
      <c r="T17" s="570">
        <f t="shared" si="3"/>
        <v>0</v>
      </c>
      <c r="U17" s="573">
        <f t="shared" si="4"/>
        <v>0</v>
      </c>
      <c r="V17" s="573">
        <f t="shared" si="5"/>
        <v>0</v>
      </c>
      <c r="W17" s="573">
        <f t="shared" si="6"/>
        <v>0</v>
      </c>
      <c r="X17" s="573">
        <f t="shared" si="7"/>
        <v>0</v>
      </c>
      <c r="Y17" s="573">
        <f t="shared" si="8"/>
        <v>0</v>
      </c>
      <c r="Z17" s="573">
        <f t="shared" si="9"/>
        <v>0</v>
      </c>
      <c r="AA17" s="573">
        <f t="shared" si="10"/>
        <v>0</v>
      </c>
      <c r="AB17" s="573">
        <f t="shared" si="11"/>
        <v>0</v>
      </c>
      <c r="AC17"/>
      <c r="AD17"/>
      <c r="AE17"/>
      <c r="AF17"/>
      <c r="AG17"/>
      <c r="AH17"/>
      <c r="AI17"/>
      <c r="AJ17" s="572"/>
      <c r="AK17" s="572"/>
      <c r="AL17" s="572"/>
      <c r="AM17" s="572"/>
    </row>
    <row r="18" spans="1:39" s="456" customFormat="1" ht="12.75" customHeight="1">
      <c r="A18" s="1369">
        <f aca="true" t="shared" si="14" ref="A18:A23">A17+1</f>
        <v>2811</v>
      </c>
      <c r="B18" s="747"/>
      <c r="C18" s="553"/>
      <c r="D18" s="553"/>
      <c r="E18" s="508"/>
      <c r="F18" s="552"/>
      <c r="G18" s="839"/>
      <c r="H18" s="568"/>
      <c r="I18" s="568"/>
      <c r="J18" s="501"/>
      <c r="K18" s="501"/>
      <c r="L18" s="501"/>
      <c r="M18" s="501"/>
      <c r="N18" s="501"/>
      <c r="O18" s="501"/>
      <c r="P18" s="501"/>
      <c r="Q18" s="571">
        <f t="shared" si="1"/>
        <v>0</v>
      </c>
      <c r="R18" s="571">
        <f t="shared" si="2"/>
        <v>0</v>
      </c>
      <c r="S18" s="571">
        <f t="shared" si="12"/>
        <v>0</v>
      </c>
      <c r="T18" s="570">
        <f t="shared" si="3"/>
        <v>0</v>
      </c>
      <c r="U18" s="573">
        <f t="shared" si="4"/>
        <v>0</v>
      </c>
      <c r="V18" s="573">
        <f t="shared" si="5"/>
        <v>0</v>
      </c>
      <c r="W18" s="573">
        <f t="shared" si="6"/>
        <v>0</v>
      </c>
      <c r="X18" s="573">
        <f t="shared" si="7"/>
        <v>0</v>
      </c>
      <c r="Y18" s="573">
        <f t="shared" si="8"/>
        <v>0</v>
      </c>
      <c r="Z18" s="573">
        <f t="shared" si="9"/>
        <v>0</v>
      </c>
      <c r="AA18" s="573">
        <f t="shared" si="10"/>
        <v>0</v>
      </c>
      <c r="AB18" s="573">
        <f t="shared" si="11"/>
        <v>0</v>
      </c>
      <c r="AC18"/>
      <c r="AD18"/>
      <c r="AE18"/>
      <c r="AF18"/>
      <c r="AG18"/>
      <c r="AH18"/>
      <c r="AI18"/>
      <c r="AJ18" s="572"/>
      <c r="AK18" s="572"/>
      <c r="AL18" s="572"/>
      <c r="AM18" s="572"/>
    </row>
    <row r="19" spans="1:39" s="456" customFormat="1" ht="12.75" customHeight="1">
      <c r="A19" s="1369">
        <f t="shared" si="14"/>
        <v>2812</v>
      </c>
      <c r="B19" s="747"/>
      <c r="C19" s="553"/>
      <c r="D19" s="553"/>
      <c r="E19" s="508"/>
      <c r="F19" s="552"/>
      <c r="G19" s="839"/>
      <c r="H19" s="568"/>
      <c r="I19" s="568"/>
      <c r="J19" s="501"/>
      <c r="K19" s="501"/>
      <c r="L19" s="501"/>
      <c r="M19" s="501"/>
      <c r="N19" s="501"/>
      <c r="O19" s="501"/>
      <c r="P19" s="501"/>
      <c r="Q19" s="571">
        <f t="shared" si="1"/>
        <v>0</v>
      </c>
      <c r="R19" s="571">
        <f t="shared" si="2"/>
        <v>0</v>
      </c>
      <c r="S19" s="571">
        <f t="shared" si="12"/>
        <v>0</v>
      </c>
      <c r="T19" s="570">
        <f t="shared" si="3"/>
        <v>0</v>
      </c>
      <c r="U19" s="573">
        <f t="shared" si="4"/>
        <v>0</v>
      </c>
      <c r="V19" s="573">
        <f t="shared" si="5"/>
        <v>0</v>
      </c>
      <c r="W19" s="573">
        <f t="shared" si="6"/>
        <v>0</v>
      </c>
      <c r="X19" s="573">
        <f t="shared" si="7"/>
        <v>0</v>
      </c>
      <c r="Y19" s="573">
        <f t="shared" si="8"/>
        <v>0</v>
      </c>
      <c r="Z19" s="573">
        <f t="shared" si="9"/>
        <v>0</v>
      </c>
      <c r="AA19" s="573">
        <f t="shared" si="10"/>
        <v>0</v>
      </c>
      <c r="AB19" s="573">
        <f t="shared" si="11"/>
        <v>0</v>
      </c>
      <c r="AC19"/>
      <c r="AD19"/>
      <c r="AE19"/>
      <c r="AF19"/>
      <c r="AG19"/>
      <c r="AH19"/>
      <c r="AI19"/>
      <c r="AJ19" s="572"/>
      <c r="AK19" s="572"/>
      <c r="AL19" s="572"/>
      <c r="AM19" s="572"/>
    </row>
    <row r="20" spans="1:39" s="456" customFormat="1" ht="12.75" customHeight="1">
      <c r="A20" s="1369">
        <f t="shared" si="14"/>
        <v>2813</v>
      </c>
      <c r="B20" s="747"/>
      <c r="C20" s="553"/>
      <c r="D20" s="553"/>
      <c r="E20" s="508"/>
      <c r="F20" s="552"/>
      <c r="G20" s="839"/>
      <c r="H20" s="568"/>
      <c r="I20" s="568"/>
      <c r="J20" s="501"/>
      <c r="K20" s="501"/>
      <c r="L20" s="501"/>
      <c r="M20" s="501"/>
      <c r="N20" s="501"/>
      <c r="O20" s="501"/>
      <c r="P20" s="501"/>
      <c r="Q20" s="571">
        <f t="shared" si="1"/>
        <v>0</v>
      </c>
      <c r="R20" s="571">
        <f t="shared" si="2"/>
        <v>0</v>
      </c>
      <c r="S20" s="571">
        <f t="shared" si="12"/>
        <v>0</v>
      </c>
      <c r="T20" s="570">
        <f t="shared" si="3"/>
        <v>0</v>
      </c>
      <c r="U20" s="573">
        <f t="shared" si="4"/>
        <v>0</v>
      </c>
      <c r="V20" s="573">
        <f t="shared" si="5"/>
        <v>0</v>
      </c>
      <c r="W20" s="573">
        <f t="shared" si="6"/>
        <v>0</v>
      </c>
      <c r="X20" s="573">
        <f t="shared" si="7"/>
        <v>0</v>
      </c>
      <c r="Y20" s="573">
        <f t="shared" si="8"/>
        <v>0</v>
      </c>
      <c r="Z20" s="573">
        <f t="shared" si="9"/>
        <v>0</v>
      </c>
      <c r="AA20" s="573">
        <f t="shared" si="10"/>
        <v>0</v>
      </c>
      <c r="AB20" s="573">
        <f t="shared" si="11"/>
        <v>0</v>
      </c>
      <c r="AC20"/>
      <c r="AD20"/>
      <c r="AE20"/>
      <c r="AF20"/>
      <c r="AG20"/>
      <c r="AH20"/>
      <c r="AI20"/>
      <c r="AJ20" s="572"/>
      <c r="AK20" s="572"/>
      <c r="AL20" s="572"/>
      <c r="AM20" s="572"/>
    </row>
    <row r="21" spans="1:39" s="456" customFormat="1" ht="12.75" customHeight="1">
      <c r="A21" s="1369">
        <f t="shared" si="14"/>
        <v>2814</v>
      </c>
      <c r="B21" s="747"/>
      <c r="C21" s="553"/>
      <c r="D21" s="553"/>
      <c r="E21" s="508"/>
      <c r="F21" s="552"/>
      <c r="G21" s="839"/>
      <c r="H21" s="568"/>
      <c r="I21" s="568"/>
      <c r="J21" s="501"/>
      <c r="K21" s="501"/>
      <c r="L21" s="501"/>
      <c r="M21" s="501"/>
      <c r="N21" s="501"/>
      <c r="O21" s="501"/>
      <c r="P21" s="501"/>
      <c r="Q21" s="571">
        <f t="shared" si="1"/>
        <v>0</v>
      </c>
      <c r="R21" s="571">
        <f t="shared" si="2"/>
        <v>0</v>
      </c>
      <c r="S21" s="571">
        <f t="shared" si="12"/>
        <v>0</v>
      </c>
      <c r="T21" s="570">
        <f t="shared" si="3"/>
        <v>0</v>
      </c>
      <c r="U21" s="573">
        <f t="shared" si="4"/>
        <v>0</v>
      </c>
      <c r="V21" s="573">
        <f t="shared" si="5"/>
        <v>0</v>
      </c>
      <c r="W21" s="573">
        <f t="shared" si="6"/>
        <v>0</v>
      </c>
      <c r="X21" s="573">
        <f t="shared" si="7"/>
        <v>0</v>
      </c>
      <c r="Y21" s="573">
        <f t="shared" si="8"/>
        <v>0</v>
      </c>
      <c r="Z21" s="573">
        <f t="shared" si="9"/>
        <v>0</v>
      </c>
      <c r="AA21" s="573">
        <f t="shared" si="10"/>
        <v>0</v>
      </c>
      <c r="AB21" s="573">
        <f t="shared" si="11"/>
        <v>0</v>
      </c>
      <c r="AC21"/>
      <c r="AD21"/>
      <c r="AE21"/>
      <c r="AF21"/>
      <c r="AG21"/>
      <c r="AH21"/>
      <c r="AI21"/>
      <c r="AJ21" s="572"/>
      <c r="AK21" s="572"/>
      <c r="AL21" s="572"/>
      <c r="AM21" s="572"/>
    </row>
    <row r="22" spans="1:39" s="456" customFormat="1" ht="12.75" customHeight="1">
      <c r="A22" s="1369">
        <f t="shared" si="14"/>
        <v>2815</v>
      </c>
      <c r="B22" s="747"/>
      <c r="C22" s="553"/>
      <c r="D22" s="553"/>
      <c r="E22" s="508"/>
      <c r="F22" s="552"/>
      <c r="G22" s="839"/>
      <c r="H22" s="568"/>
      <c r="I22" s="568"/>
      <c r="J22" s="501"/>
      <c r="K22" s="501"/>
      <c r="L22" s="501"/>
      <c r="M22" s="501"/>
      <c r="N22" s="501"/>
      <c r="O22" s="501"/>
      <c r="P22" s="501"/>
      <c r="Q22" s="571">
        <f t="shared" si="1"/>
        <v>0</v>
      </c>
      <c r="R22" s="571">
        <f t="shared" si="2"/>
        <v>0</v>
      </c>
      <c r="S22" s="571">
        <f t="shared" si="12"/>
        <v>0</v>
      </c>
      <c r="T22" s="570">
        <f t="shared" si="3"/>
        <v>0</v>
      </c>
      <c r="U22" s="573">
        <f t="shared" si="4"/>
        <v>0</v>
      </c>
      <c r="V22" s="573">
        <f t="shared" si="5"/>
        <v>0</v>
      </c>
      <c r="W22" s="573">
        <f t="shared" si="6"/>
        <v>0</v>
      </c>
      <c r="X22" s="573">
        <f t="shared" si="7"/>
        <v>0</v>
      </c>
      <c r="Y22" s="573">
        <f t="shared" si="8"/>
        <v>0</v>
      </c>
      <c r="Z22" s="573">
        <f t="shared" si="9"/>
        <v>0</v>
      </c>
      <c r="AA22" s="573">
        <f t="shared" si="10"/>
        <v>0</v>
      </c>
      <c r="AB22" s="573">
        <f t="shared" si="11"/>
        <v>0</v>
      </c>
      <c r="AC22"/>
      <c r="AD22"/>
      <c r="AE22"/>
      <c r="AF22"/>
      <c r="AG22"/>
      <c r="AH22"/>
      <c r="AI22"/>
      <c r="AJ22" s="572"/>
      <c r="AK22" s="572"/>
      <c r="AL22" s="572"/>
      <c r="AM22" s="572"/>
    </row>
    <row r="23" spans="1:39" s="456" customFormat="1" ht="12.75" customHeight="1">
      <c r="A23" s="1369">
        <f t="shared" si="14"/>
        <v>2816</v>
      </c>
      <c r="B23" s="747"/>
      <c r="C23" s="553"/>
      <c r="D23" s="553"/>
      <c r="E23" s="508"/>
      <c r="F23" s="552"/>
      <c r="G23" s="839"/>
      <c r="H23" s="568"/>
      <c r="I23" s="568"/>
      <c r="J23" s="501"/>
      <c r="K23" s="501"/>
      <c r="L23" s="501"/>
      <c r="M23" s="501"/>
      <c r="N23" s="501"/>
      <c r="O23" s="501"/>
      <c r="P23" s="501"/>
      <c r="Q23" s="571">
        <f t="shared" si="1"/>
        <v>0</v>
      </c>
      <c r="R23" s="571">
        <f t="shared" si="2"/>
        <v>0</v>
      </c>
      <c r="S23" s="571">
        <f t="shared" si="12"/>
        <v>0</v>
      </c>
      <c r="T23" s="570">
        <f t="shared" si="3"/>
        <v>0</v>
      </c>
      <c r="U23" s="573">
        <f t="shared" si="4"/>
        <v>0</v>
      </c>
      <c r="V23" s="573">
        <f t="shared" si="5"/>
        <v>0</v>
      </c>
      <c r="W23" s="573">
        <f t="shared" si="6"/>
        <v>0</v>
      </c>
      <c r="X23" s="573">
        <f t="shared" si="7"/>
        <v>0</v>
      </c>
      <c r="Y23" s="573">
        <f t="shared" si="8"/>
        <v>0</v>
      </c>
      <c r="Z23" s="573">
        <f t="shared" si="9"/>
        <v>0</v>
      </c>
      <c r="AA23" s="573">
        <f t="shared" si="10"/>
        <v>0</v>
      </c>
      <c r="AB23" s="573">
        <f t="shared" si="11"/>
        <v>0</v>
      </c>
      <c r="AC23"/>
      <c r="AD23"/>
      <c r="AE23"/>
      <c r="AF23"/>
      <c r="AG23"/>
      <c r="AH23"/>
      <c r="AI23"/>
      <c r="AJ23" s="572"/>
      <c r="AK23" s="572"/>
      <c r="AL23" s="572"/>
      <c r="AM23" s="572"/>
    </row>
    <row r="24" spans="1:39" s="456" customFormat="1" ht="12.75" customHeight="1">
      <c r="A24" s="1369">
        <f aca="true" t="shared" si="15" ref="A24:A42">A23+1</f>
        <v>2817</v>
      </c>
      <c r="B24" s="747"/>
      <c r="C24" s="553"/>
      <c r="D24" s="553"/>
      <c r="E24" s="508"/>
      <c r="F24" s="552"/>
      <c r="G24" s="839"/>
      <c r="H24" s="568"/>
      <c r="I24" s="568"/>
      <c r="J24" s="501"/>
      <c r="K24" s="501"/>
      <c r="L24" s="501"/>
      <c r="M24" s="501"/>
      <c r="N24" s="501"/>
      <c r="O24" s="501"/>
      <c r="P24" s="501"/>
      <c r="Q24" s="571">
        <f t="shared" si="1"/>
        <v>0</v>
      </c>
      <c r="R24" s="571">
        <f t="shared" si="2"/>
        <v>0</v>
      </c>
      <c r="S24" s="571">
        <f t="shared" si="12"/>
        <v>0</v>
      </c>
      <c r="T24" s="570">
        <f t="shared" si="3"/>
        <v>0</v>
      </c>
      <c r="U24" s="573">
        <f t="shared" si="4"/>
        <v>0</v>
      </c>
      <c r="V24" s="573">
        <f t="shared" si="5"/>
        <v>0</v>
      </c>
      <c r="W24" s="573">
        <f t="shared" si="6"/>
        <v>0</v>
      </c>
      <c r="X24" s="573">
        <f t="shared" si="7"/>
        <v>0</v>
      </c>
      <c r="Y24" s="573">
        <f t="shared" si="8"/>
        <v>0</v>
      </c>
      <c r="Z24" s="573">
        <f t="shared" si="9"/>
        <v>0</v>
      </c>
      <c r="AA24" s="573">
        <f t="shared" si="10"/>
        <v>0</v>
      </c>
      <c r="AB24" s="573">
        <f t="shared" si="11"/>
        <v>0</v>
      </c>
      <c r="AC24"/>
      <c r="AD24"/>
      <c r="AE24"/>
      <c r="AF24"/>
      <c r="AG24"/>
      <c r="AH24"/>
      <c r="AI24"/>
      <c r="AJ24" s="572"/>
      <c r="AK24" s="572"/>
      <c r="AL24" s="572"/>
      <c r="AM24" s="572"/>
    </row>
    <row r="25" spans="1:39" s="456" customFormat="1" ht="12.75" customHeight="1">
      <c r="A25" s="1369">
        <f t="shared" si="15"/>
        <v>2818</v>
      </c>
      <c r="B25" s="747"/>
      <c r="C25" s="553"/>
      <c r="D25" s="553"/>
      <c r="E25" s="508"/>
      <c r="F25" s="552"/>
      <c r="G25" s="839"/>
      <c r="H25" s="568"/>
      <c r="I25" s="568"/>
      <c r="J25" s="501"/>
      <c r="K25" s="501"/>
      <c r="L25" s="501"/>
      <c r="M25" s="501"/>
      <c r="N25" s="501"/>
      <c r="O25" s="501"/>
      <c r="P25" s="501"/>
      <c r="Q25" s="571">
        <f t="shared" si="1"/>
        <v>0</v>
      </c>
      <c r="R25" s="571">
        <f t="shared" si="2"/>
        <v>0</v>
      </c>
      <c r="S25" s="571">
        <f t="shared" si="12"/>
        <v>0</v>
      </c>
      <c r="T25" s="570">
        <f t="shared" si="3"/>
        <v>0</v>
      </c>
      <c r="U25" s="573">
        <f t="shared" si="4"/>
        <v>0</v>
      </c>
      <c r="V25" s="573">
        <f t="shared" si="5"/>
        <v>0</v>
      </c>
      <c r="W25" s="573">
        <f t="shared" si="6"/>
        <v>0</v>
      </c>
      <c r="X25" s="573">
        <f t="shared" si="7"/>
        <v>0</v>
      </c>
      <c r="Y25" s="573">
        <f t="shared" si="8"/>
        <v>0</v>
      </c>
      <c r="Z25" s="573">
        <f t="shared" si="9"/>
        <v>0</v>
      </c>
      <c r="AA25" s="573">
        <f t="shared" si="10"/>
        <v>0</v>
      </c>
      <c r="AB25" s="573">
        <f t="shared" si="11"/>
        <v>0</v>
      </c>
      <c r="AC25"/>
      <c r="AD25"/>
      <c r="AE25"/>
      <c r="AF25"/>
      <c r="AG25"/>
      <c r="AH25"/>
      <c r="AI25"/>
      <c r="AJ25" s="572"/>
      <c r="AK25" s="572"/>
      <c r="AL25" s="572"/>
      <c r="AM25" s="572"/>
    </row>
    <row r="26" spans="1:39" s="456" customFormat="1" ht="12.75" customHeight="1">
      <c r="A26" s="1369">
        <f t="shared" si="15"/>
        <v>2819</v>
      </c>
      <c r="B26" s="747"/>
      <c r="C26" s="553"/>
      <c r="D26" s="553"/>
      <c r="E26" s="508"/>
      <c r="F26" s="552"/>
      <c r="G26" s="839"/>
      <c r="H26" s="568"/>
      <c r="I26" s="568"/>
      <c r="J26" s="501"/>
      <c r="K26" s="501"/>
      <c r="L26" s="501"/>
      <c r="M26" s="501"/>
      <c r="N26" s="501"/>
      <c r="O26" s="501"/>
      <c r="P26" s="501"/>
      <c r="Q26" s="571">
        <f t="shared" si="1"/>
        <v>0</v>
      </c>
      <c r="R26" s="571">
        <f t="shared" si="2"/>
        <v>0</v>
      </c>
      <c r="S26" s="571">
        <f t="shared" si="12"/>
        <v>0</v>
      </c>
      <c r="T26" s="570">
        <f t="shared" si="3"/>
        <v>0</v>
      </c>
      <c r="U26" s="573">
        <f t="shared" si="4"/>
        <v>0</v>
      </c>
      <c r="V26" s="573">
        <f t="shared" si="5"/>
        <v>0</v>
      </c>
      <c r="W26" s="573">
        <f t="shared" si="6"/>
        <v>0</v>
      </c>
      <c r="X26" s="573">
        <f t="shared" si="7"/>
        <v>0</v>
      </c>
      <c r="Y26" s="573">
        <f t="shared" si="8"/>
        <v>0</v>
      </c>
      <c r="Z26" s="573">
        <f t="shared" si="9"/>
        <v>0</v>
      </c>
      <c r="AA26" s="573">
        <f t="shared" si="10"/>
        <v>0</v>
      </c>
      <c r="AB26" s="573">
        <f t="shared" si="11"/>
        <v>0</v>
      </c>
      <c r="AC26"/>
      <c r="AD26"/>
      <c r="AE26"/>
      <c r="AF26"/>
      <c r="AG26"/>
      <c r="AH26"/>
      <c r="AI26"/>
      <c r="AJ26" s="572"/>
      <c r="AK26" s="572"/>
      <c r="AL26" s="572"/>
      <c r="AM26" s="572"/>
    </row>
    <row r="27" spans="1:39" s="456" customFormat="1" ht="12.75" customHeight="1">
      <c r="A27" s="1369">
        <f t="shared" si="15"/>
        <v>2820</v>
      </c>
      <c r="B27" s="747"/>
      <c r="C27" s="553"/>
      <c r="D27" s="553"/>
      <c r="E27" s="508"/>
      <c r="F27" s="552"/>
      <c r="G27" s="839"/>
      <c r="H27" s="568"/>
      <c r="I27" s="568"/>
      <c r="J27" s="501"/>
      <c r="K27" s="501"/>
      <c r="L27" s="501"/>
      <c r="M27" s="501"/>
      <c r="N27" s="501"/>
      <c r="O27" s="501"/>
      <c r="P27" s="501"/>
      <c r="Q27" s="571">
        <f t="shared" si="1"/>
        <v>0</v>
      </c>
      <c r="R27" s="571">
        <f t="shared" si="2"/>
        <v>0</v>
      </c>
      <c r="S27" s="571">
        <f t="shared" si="12"/>
        <v>0</v>
      </c>
      <c r="T27" s="570">
        <f t="shared" si="3"/>
        <v>0</v>
      </c>
      <c r="U27" s="573">
        <f t="shared" si="4"/>
        <v>0</v>
      </c>
      <c r="V27" s="573">
        <f t="shared" si="5"/>
        <v>0</v>
      </c>
      <c r="W27" s="573">
        <f t="shared" si="6"/>
        <v>0</v>
      </c>
      <c r="X27" s="573">
        <f t="shared" si="7"/>
        <v>0</v>
      </c>
      <c r="Y27" s="573">
        <f t="shared" si="8"/>
        <v>0</v>
      </c>
      <c r="Z27" s="573">
        <f t="shared" si="9"/>
        <v>0</v>
      </c>
      <c r="AA27" s="573">
        <f t="shared" si="10"/>
        <v>0</v>
      </c>
      <c r="AB27" s="573">
        <f t="shared" si="11"/>
        <v>0</v>
      </c>
      <c r="AC27"/>
      <c r="AD27"/>
      <c r="AE27"/>
      <c r="AF27"/>
      <c r="AG27"/>
      <c r="AH27"/>
      <c r="AI27"/>
      <c r="AJ27" s="572"/>
      <c r="AK27" s="572"/>
      <c r="AL27" s="572"/>
      <c r="AM27" s="572"/>
    </row>
    <row r="28" spans="1:39" s="456" customFormat="1" ht="12.75" customHeight="1">
      <c r="A28" s="1369">
        <f t="shared" si="15"/>
        <v>2821</v>
      </c>
      <c r="B28" s="747"/>
      <c r="C28" s="553"/>
      <c r="D28" s="553"/>
      <c r="E28" s="508"/>
      <c r="F28" s="552"/>
      <c r="G28" s="839"/>
      <c r="H28" s="568"/>
      <c r="I28" s="568"/>
      <c r="J28" s="501"/>
      <c r="K28" s="501"/>
      <c r="L28" s="501"/>
      <c r="M28" s="501"/>
      <c r="N28" s="501"/>
      <c r="O28" s="501"/>
      <c r="P28" s="501"/>
      <c r="Q28" s="571">
        <f t="shared" si="1"/>
        <v>0</v>
      </c>
      <c r="R28" s="571">
        <f t="shared" si="2"/>
        <v>0</v>
      </c>
      <c r="S28" s="571">
        <f t="shared" si="12"/>
        <v>0</v>
      </c>
      <c r="T28" s="570">
        <f t="shared" si="3"/>
        <v>0</v>
      </c>
      <c r="U28" s="573">
        <f t="shared" si="4"/>
        <v>0</v>
      </c>
      <c r="V28" s="573">
        <f t="shared" si="5"/>
        <v>0</v>
      </c>
      <c r="W28" s="573">
        <f t="shared" si="6"/>
        <v>0</v>
      </c>
      <c r="X28" s="573">
        <f t="shared" si="7"/>
        <v>0</v>
      </c>
      <c r="Y28" s="573">
        <f t="shared" si="8"/>
        <v>0</v>
      </c>
      <c r="Z28" s="573">
        <f t="shared" si="9"/>
        <v>0</v>
      </c>
      <c r="AA28" s="573">
        <f t="shared" si="10"/>
        <v>0</v>
      </c>
      <c r="AB28" s="573">
        <f t="shared" si="11"/>
        <v>0</v>
      </c>
      <c r="AC28"/>
      <c r="AD28"/>
      <c r="AE28"/>
      <c r="AF28"/>
      <c r="AG28"/>
      <c r="AH28"/>
      <c r="AI28"/>
      <c r="AJ28" s="572"/>
      <c r="AK28" s="572"/>
      <c r="AL28" s="572"/>
      <c r="AM28" s="572"/>
    </row>
    <row r="29" spans="1:39" s="456" customFormat="1" ht="12.75" customHeight="1">
      <c r="A29" s="1369">
        <f t="shared" si="15"/>
        <v>2822</v>
      </c>
      <c r="B29" s="747"/>
      <c r="C29" s="553"/>
      <c r="D29" s="553"/>
      <c r="E29" s="508"/>
      <c r="F29" s="552"/>
      <c r="G29" s="839"/>
      <c r="H29" s="568"/>
      <c r="I29" s="568"/>
      <c r="J29" s="501"/>
      <c r="K29" s="501"/>
      <c r="L29" s="501"/>
      <c r="M29" s="501"/>
      <c r="N29" s="501"/>
      <c r="O29" s="501"/>
      <c r="P29" s="501"/>
      <c r="Q29" s="571">
        <f t="shared" si="1"/>
        <v>0</v>
      </c>
      <c r="R29" s="571">
        <f t="shared" si="2"/>
        <v>0</v>
      </c>
      <c r="S29" s="571">
        <f t="shared" si="12"/>
        <v>0</v>
      </c>
      <c r="T29" s="570">
        <f t="shared" si="3"/>
        <v>0</v>
      </c>
      <c r="U29" s="573">
        <f t="shared" si="4"/>
        <v>0</v>
      </c>
      <c r="V29" s="573">
        <f t="shared" si="5"/>
        <v>0</v>
      </c>
      <c r="W29" s="573">
        <f t="shared" si="6"/>
        <v>0</v>
      </c>
      <c r="X29" s="573">
        <f t="shared" si="7"/>
        <v>0</v>
      </c>
      <c r="Y29" s="573">
        <f t="shared" si="8"/>
        <v>0</v>
      </c>
      <c r="Z29" s="573">
        <f t="shared" si="9"/>
        <v>0</v>
      </c>
      <c r="AA29" s="573">
        <f t="shared" si="10"/>
        <v>0</v>
      </c>
      <c r="AB29" s="573">
        <f t="shared" si="11"/>
        <v>0</v>
      </c>
      <c r="AC29"/>
      <c r="AD29"/>
      <c r="AE29"/>
      <c r="AF29"/>
      <c r="AG29"/>
      <c r="AH29"/>
      <c r="AI29"/>
      <c r="AJ29" s="572"/>
      <c r="AK29" s="572"/>
      <c r="AL29" s="572"/>
      <c r="AM29" s="572"/>
    </row>
    <row r="30" spans="1:39" s="456" customFormat="1" ht="12.75" customHeight="1">
      <c r="A30" s="1369">
        <f t="shared" si="15"/>
        <v>2823</v>
      </c>
      <c r="B30" s="747"/>
      <c r="C30" s="553"/>
      <c r="D30" s="553"/>
      <c r="E30" s="508"/>
      <c r="F30" s="552"/>
      <c r="G30" s="839"/>
      <c r="H30" s="568"/>
      <c r="I30" s="568"/>
      <c r="J30" s="501"/>
      <c r="K30" s="501"/>
      <c r="L30" s="501"/>
      <c r="M30" s="501"/>
      <c r="N30" s="501"/>
      <c r="O30" s="501"/>
      <c r="P30" s="501"/>
      <c r="Q30" s="571">
        <f t="shared" si="1"/>
        <v>0</v>
      </c>
      <c r="R30" s="571">
        <f t="shared" si="2"/>
        <v>0</v>
      </c>
      <c r="S30" s="571">
        <f t="shared" si="12"/>
        <v>0</v>
      </c>
      <c r="T30" s="570">
        <f t="shared" si="3"/>
        <v>0</v>
      </c>
      <c r="U30" s="573">
        <f aca="true" t="shared" si="16" ref="U30:Z31">IF(K30&gt;0,1,0)</f>
        <v>0</v>
      </c>
      <c r="V30" s="573">
        <f t="shared" si="16"/>
        <v>0</v>
      </c>
      <c r="W30" s="573">
        <f t="shared" si="16"/>
        <v>0</v>
      </c>
      <c r="X30" s="573">
        <f t="shared" si="16"/>
        <v>0</v>
      </c>
      <c r="Y30" s="573">
        <f t="shared" si="16"/>
        <v>0</v>
      </c>
      <c r="Z30" s="573">
        <f t="shared" si="16"/>
        <v>0</v>
      </c>
      <c r="AA30" s="573">
        <f>SUM(U30:Z30)</f>
        <v>0</v>
      </c>
      <c r="AB30" s="573">
        <f t="shared" si="11"/>
        <v>0</v>
      </c>
      <c r="AC30"/>
      <c r="AD30"/>
      <c r="AE30"/>
      <c r="AF30"/>
      <c r="AG30"/>
      <c r="AH30"/>
      <c r="AI30"/>
      <c r="AJ30" s="572"/>
      <c r="AK30" s="572"/>
      <c r="AL30" s="572"/>
      <c r="AM30" s="572"/>
    </row>
    <row r="31" spans="1:39" s="456" customFormat="1" ht="12.75" customHeight="1">
      <c r="A31" s="1369">
        <f t="shared" si="15"/>
        <v>2824</v>
      </c>
      <c r="B31" s="747"/>
      <c r="C31" s="553"/>
      <c r="D31" s="553"/>
      <c r="E31" s="508"/>
      <c r="F31" s="552"/>
      <c r="G31" s="839"/>
      <c r="H31" s="568"/>
      <c r="I31" s="568"/>
      <c r="J31" s="501"/>
      <c r="K31" s="501"/>
      <c r="L31" s="501"/>
      <c r="M31" s="501"/>
      <c r="N31" s="501"/>
      <c r="O31" s="501"/>
      <c r="P31" s="501"/>
      <c r="Q31" s="571">
        <f t="shared" si="1"/>
        <v>0</v>
      </c>
      <c r="R31" s="571">
        <f t="shared" si="2"/>
        <v>0</v>
      </c>
      <c r="S31" s="571">
        <f t="shared" si="12"/>
        <v>0</v>
      </c>
      <c r="T31" s="570">
        <f t="shared" si="3"/>
        <v>0</v>
      </c>
      <c r="U31" s="573">
        <f t="shared" si="16"/>
        <v>0</v>
      </c>
      <c r="V31" s="573">
        <f t="shared" si="16"/>
        <v>0</v>
      </c>
      <c r="W31" s="573">
        <f t="shared" si="16"/>
        <v>0</v>
      </c>
      <c r="X31" s="573">
        <f t="shared" si="16"/>
        <v>0</v>
      </c>
      <c r="Y31" s="573">
        <f t="shared" si="16"/>
        <v>0</v>
      </c>
      <c r="Z31" s="573">
        <f t="shared" si="16"/>
        <v>0</v>
      </c>
      <c r="AA31" s="573">
        <f>SUM(U31:Z31)</f>
        <v>0</v>
      </c>
      <c r="AB31" s="573">
        <f t="shared" si="11"/>
        <v>0</v>
      </c>
      <c r="AC31"/>
      <c r="AD31"/>
      <c r="AE31"/>
      <c r="AF31"/>
      <c r="AG31"/>
      <c r="AH31"/>
      <c r="AI31"/>
      <c r="AJ31" s="572"/>
      <c r="AK31" s="572"/>
      <c r="AL31" s="572"/>
      <c r="AM31" s="572"/>
    </row>
    <row r="32" spans="1:39" s="456" customFormat="1" ht="12.75" customHeight="1">
      <c r="A32" s="1369">
        <f t="shared" si="15"/>
        <v>2825</v>
      </c>
      <c r="B32" s="747"/>
      <c r="C32" s="553"/>
      <c r="D32" s="553"/>
      <c r="E32" s="508"/>
      <c r="F32" s="552"/>
      <c r="G32" s="839"/>
      <c r="H32" s="568"/>
      <c r="I32" s="568"/>
      <c r="J32" s="501"/>
      <c r="K32" s="501"/>
      <c r="L32" s="501"/>
      <c r="M32" s="501"/>
      <c r="N32" s="501"/>
      <c r="O32" s="501"/>
      <c r="P32" s="501"/>
      <c r="Q32" s="571">
        <f t="shared" si="1"/>
        <v>0</v>
      </c>
      <c r="R32" s="571">
        <f t="shared" si="2"/>
        <v>0</v>
      </c>
      <c r="S32" s="571">
        <f t="shared" si="12"/>
        <v>0</v>
      </c>
      <c r="T32" s="570">
        <f t="shared" si="3"/>
        <v>0</v>
      </c>
      <c r="U32" s="573">
        <f t="shared" si="4"/>
        <v>0</v>
      </c>
      <c r="V32" s="573">
        <f t="shared" si="5"/>
        <v>0</v>
      </c>
      <c r="W32" s="573">
        <f t="shared" si="6"/>
        <v>0</v>
      </c>
      <c r="X32" s="573">
        <f t="shared" si="7"/>
        <v>0</v>
      </c>
      <c r="Y32" s="573">
        <f t="shared" si="8"/>
        <v>0</v>
      </c>
      <c r="Z32" s="573">
        <f t="shared" si="9"/>
        <v>0</v>
      </c>
      <c r="AA32" s="573">
        <f t="shared" si="10"/>
        <v>0</v>
      </c>
      <c r="AB32" s="573">
        <f t="shared" si="11"/>
        <v>0</v>
      </c>
      <c r="AC32"/>
      <c r="AD32"/>
      <c r="AE32"/>
      <c r="AF32"/>
      <c r="AG32"/>
      <c r="AH32"/>
      <c r="AI32"/>
      <c r="AJ32" s="572"/>
      <c r="AK32" s="572"/>
      <c r="AL32" s="572"/>
      <c r="AM32" s="572"/>
    </row>
    <row r="33" spans="1:39" s="456" customFormat="1" ht="12.75" customHeight="1">
      <c r="A33" s="1369">
        <f t="shared" si="15"/>
        <v>2826</v>
      </c>
      <c r="B33" s="747"/>
      <c r="C33" s="553"/>
      <c r="D33" s="553"/>
      <c r="E33" s="508"/>
      <c r="F33" s="552"/>
      <c r="G33" s="839"/>
      <c r="H33" s="568"/>
      <c r="I33" s="568"/>
      <c r="J33" s="501"/>
      <c r="K33" s="501"/>
      <c r="L33" s="501"/>
      <c r="M33" s="501"/>
      <c r="N33" s="501"/>
      <c r="O33" s="501"/>
      <c r="P33" s="501"/>
      <c r="Q33" s="571">
        <f t="shared" si="1"/>
        <v>0</v>
      </c>
      <c r="R33" s="571">
        <f t="shared" si="2"/>
        <v>0</v>
      </c>
      <c r="S33" s="571">
        <f t="shared" si="12"/>
        <v>0</v>
      </c>
      <c r="T33" s="570">
        <f t="shared" si="3"/>
        <v>0</v>
      </c>
      <c r="U33" s="573">
        <f t="shared" si="4"/>
        <v>0</v>
      </c>
      <c r="V33" s="573">
        <f t="shared" si="5"/>
        <v>0</v>
      </c>
      <c r="W33" s="573">
        <f t="shared" si="6"/>
        <v>0</v>
      </c>
      <c r="X33" s="573">
        <f t="shared" si="7"/>
        <v>0</v>
      </c>
      <c r="Y33" s="573">
        <f t="shared" si="8"/>
        <v>0</v>
      </c>
      <c r="Z33" s="573">
        <f t="shared" si="9"/>
        <v>0</v>
      </c>
      <c r="AA33" s="573">
        <f t="shared" si="10"/>
        <v>0</v>
      </c>
      <c r="AB33" s="573">
        <f t="shared" si="11"/>
        <v>0</v>
      </c>
      <c r="AC33"/>
      <c r="AD33"/>
      <c r="AE33"/>
      <c r="AF33"/>
      <c r="AG33"/>
      <c r="AH33"/>
      <c r="AI33"/>
      <c r="AJ33" s="572"/>
      <c r="AK33" s="572"/>
      <c r="AL33" s="572"/>
      <c r="AM33" s="572"/>
    </row>
    <row r="34" spans="1:39" s="456" customFormat="1" ht="12.75" customHeight="1">
      <c r="A34" s="1369">
        <f t="shared" si="15"/>
        <v>2827</v>
      </c>
      <c r="B34" s="748"/>
      <c r="C34" s="749"/>
      <c r="D34" s="749"/>
      <c r="E34" s="750"/>
      <c r="F34" s="751"/>
      <c r="G34" s="840"/>
      <c r="H34" s="568"/>
      <c r="I34" s="568"/>
      <c r="J34" s="501"/>
      <c r="K34" s="501"/>
      <c r="L34" s="501"/>
      <c r="M34" s="501"/>
      <c r="N34" s="501"/>
      <c r="O34" s="501"/>
      <c r="P34" s="501"/>
      <c r="Q34" s="571">
        <f>H34-AB34</f>
        <v>0</v>
      </c>
      <c r="R34" s="571">
        <f t="shared" si="2"/>
        <v>0</v>
      </c>
      <c r="S34" s="571">
        <f>R34*F34/100</f>
        <v>0</v>
      </c>
      <c r="T34" s="570">
        <f>IF(G34="n",S34,E34/100*R34)</f>
        <v>0</v>
      </c>
      <c r="U34" s="573">
        <f t="shared" si="4"/>
        <v>0</v>
      </c>
      <c r="V34" s="573">
        <f t="shared" si="5"/>
        <v>0</v>
      </c>
      <c r="W34" s="573">
        <f t="shared" si="6"/>
        <v>0</v>
      </c>
      <c r="X34" s="573">
        <f t="shared" si="7"/>
        <v>0</v>
      </c>
      <c r="Y34" s="573">
        <f t="shared" si="8"/>
        <v>0</v>
      </c>
      <c r="Z34" s="573">
        <f t="shared" si="9"/>
        <v>0</v>
      </c>
      <c r="AA34" s="573">
        <f t="shared" si="10"/>
        <v>0</v>
      </c>
      <c r="AB34" s="573">
        <f t="shared" si="11"/>
        <v>0</v>
      </c>
      <c r="AC34"/>
      <c r="AD34"/>
      <c r="AE34"/>
      <c r="AF34"/>
      <c r="AG34"/>
      <c r="AH34"/>
      <c r="AI34"/>
      <c r="AJ34" s="572"/>
      <c r="AK34" s="572"/>
      <c r="AL34" s="572"/>
      <c r="AM34" s="572"/>
    </row>
    <row r="35" spans="1:39" s="456" customFormat="1" ht="12.75" customHeight="1">
      <c r="A35" s="1369">
        <f t="shared" si="15"/>
        <v>2828</v>
      </c>
      <c r="B35" s="748"/>
      <c r="C35" s="749"/>
      <c r="D35" s="749"/>
      <c r="E35" s="750"/>
      <c r="F35" s="751"/>
      <c r="G35" s="840"/>
      <c r="H35" s="568"/>
      <c r="I35" s="568"/>
      <c r="J35" s="501"/>
      <c r="K35" s="501"/>
      <c r="L35" s="501"/>
      <c r="M35" s="501"/>
      <c r="N35" s="501"/>
      <c r="O35" s="501"/>
      <c r="P35" s="501"/>
      <c r="Q35" s="571">
        <f aca="true" t="shared" si="17" ref="Q35:Q42">H35-AB35</f>
        <v>0</v>
      </c>
      <c r="R35" s="571">
        <f t="shared" si="2"/>
        <v>0</v>
      </c>
      <c r="S35" s="571">
        <f aca="true" t="shared" si="18" ref="S35:S42">R35*F35/100</f>
        <v>0</v>
      </c>
      <c r="T35" s="570">
        <f aca="true" t="shared" si="19" ref="T35:T42">IF(G35="n",S35,E35/100*R35)</f>
        <v>0</v>
      </c>
      <c r="U35" s="573">
        <f aca="true" t="shared" si="20" ref="U35:U42">IF(K35&gt;0,1,0)</f>
        <v>0</v>
      </c>
      <c r="V35" s="573">
        <f aca="true" t="shared" si="21" ref="V35:V42">IF(L35&gt;0,1,0)</f>
        <v>0</v>
      </c>
      <c r="W35" s="573">
        <f aca="true" t="shared" si="22" ref="W35:W42">IF(M35&gt;0,1,0)</f>
        <v>0</v>
      </c>
      <c r="X35" s="573">
        <f aca="true" t="shared" si="23" ref="X35:X42">IF(N35&gt;0,1,0)</f>
        <v>0</v>
      </c>
      <c r="Y35" s="573">
        <f aca="true" t="shared" si="24" ref="Y35:Y42">IF(O35&gt;0,1,0)</f>
        <v>0</v>
      </c>
      <c r="Z35" s="573">
        <f aca="true" t="shared" si="25" ref="Z35:Z42">IF(P35&gt;0,1,0)</f>
        <v>0</v>
      </c>
      <c r="AA35" s="573">
        <f aca="true" t="shared" si="26" ref="AA35:AA42">SUM(U35:Z35)</f>
        <v>0</v>
      </c>
      <c r="AB35" s="573">
        <f aca="true" t="shared" si="27" ref="AB35:AB42">AA35*I35</f>
        <v>0</v>
      </c>
      <c r="AC35"/>
      <c r="AD35"/>
      <c r="AE35"/>
      <c r="AF35"/>
      <c r="AG35"/>
      <c r="AH35"/>
      <c r="AI35"/>
      <c r="AJ35" s="572"/>
      <c r="AK35" s="572"/>
      <c r="AL35" s="572"/>
      <c r="AM35" s="572"/>
    </row>
    <row r="36" spans="1:39" s="456" customFormat="1" ht="12.75" customHeight="1">
      <c r="A36" s="1369">
        <f t="shared" si="15"/>
        <v>2829</v>
      </c>
      <c r="B36" s="748"/>
      <c r="C36" s="749"/>
      <c r="D36" s="749"/>
      <c r="E36" s="750"/>
      <c r="F36" s="751"/>
      <c r="G36" s="840"/>
      <c r="H36" s="568"/>
      <c r="I36" s="568"/>
      <c r="J36" s="501"/>
      <c r="K36" s="501"/>
      <c r="L36" s="501"/>
      <c r="M36" s="501"/>
      <c r="N36" s="501"/>
      <c r="O36" s="501"/>
      <c r="P36" s="501"/>
      <c r="Q36" s="571">
        <f t="shared" si="17"/>
        <v>0</v>
      </c>
      <c r="R36" s="571">
        <f t="shared" si="2"/>
        <v>0</v>
      </c>
      <c r="S36" s="571">
        <f t="shared" si="18"/>
        <v>0</v>
      </c>
      <c r="T36" s="570">
        <f t="shared" si="19"/>
        <v>0</v>
      </c>
      <c r="U36" s="573">
        <f t="shared" si="20"/>
        <v>0</v>
      </c>
      <c r="V36" s="573">
        <f t="shared" si="21"/>
        <v>0</v>
      </c>
      <c r="W36" s="573">
        <f t="shared" si="22"/>
        <v>0</v>
      </c>
      <c r="X36" s="573">
        <f t="shared" si="23"/>
        <v>0</v>
      </c>
      <c r="Y36" s="573">
        <f t="shared" si="24"/>
        <v>0</v>
      </c>
      <c r="Z36" s="573">
        <f t="shared" si="25"/>
        <v>0</v>
      </c>
      <c r="AA36" s="573">
        <f t="shared" si="26"/>
        <v>0</v>
      </c>
      <c r="AB36" s="573">
        <f t="shared" si="27"/>
        <v>0</v>
      </c>
      <c r="AC36"/>
      <c r="AD36"/>
      <c r="AE36"/>
      <c r="AF36"/>
      <c r="AG36"/>
      <c r="AH36"/>
      <c r="AI36"/>
      <c r="AJ36" s="572"/>
      <c r="AK36" s="572"/>
      <c r="AL36" s="572"/>
      <c r="AM36" s="572"/>
    </row>
    <row r="37" spans="1:39" s="456" customFormat="1" ht="12.75" customHeight="1">
      <c r="A37" s="1369">
        <f t="shared" si="15"/>
        <v>2830</v>
      </c>
      <c r="B37" s="748"/>
      <c r="C37" s="749"/>
      <c r="D37" s="749"/>
      <c r="E37" s="750"/>
      <c r="F37" s="751"/>
      <c r="G37" s="840"/>
      <c r="H37" s="568"/>
      <c r="I37" s="568"/>
      <c r="J37" s="501"/>
      <c r="K37" s="501"/>
      <c r="L37" s="501"/>
      <c r="M37" s="501"/>
      <c r="N37" s="501"/>
      <c r="O37" s="501"/>
      <c r="P37" s="501"/>
      <c r="Q37" s="571">
        <f t="shared" si="17"/>
        <v>0</v>
      </c>
      <c r="R37" s="571">
        <f t="shared" si="2"/>
        <v>0</v>
      </c>
      <c r="S37" s="571">
        <f t="shared" si="18"/>
        <v>0</v>
      </c>
      <c r="T37" s="570">
        <f t="shared" si="19"/>
        <v>0</v>
      </c>
      <c r="U37" s="573">
        <f t="shared" si="20"/>
        <v>0</v>
      </c>
      <c r="V37" s="573">
        <f t="shared" si="21"/>
        <v>0</v>
      </c>
      <c r="W37" s="573">
        <f t="shared" si="22"/>
        <v>0</v>
      </c>
      <c r="X37" s="573">
        <f t="shared" si="23"/>
        <v>0</v>
      </c>
      <c r="Y37" s="573">
        <f t="shared" si="24"/>
        <v>0</v>
      </c>
      <c r="Z37" s="573">
        <f t="shared" si="25"/>
        <v>0</v>
      </c>
      <c r="AA37" s="573">
        <f t="shared" si="26"/>
        <v>0</v>
      </c>
      <c r="AB37" s="573">
        <f t="shared" si="27"/>
        <v>0</v>
      </c>
      <c r="AC37"/>
      <c r="AD37"/>
      <c r="AE37"/>
      <c r="AF37"/>
      <c r="AG37"/>
      <c r="AH37"/>
      <c r="AI37"/>
      <c r="AJ37" s="572"/>
      <c r="AK37" s="572"/>
      <c r="AL37" s="572"/>
      <c r="AM37" s="572"/>
    </row>
    <row r="38" spans="1:39" s="456" customFormat="1" ht="12.75" customHeight="1">
      <c r="A38" s="1369">
        <f t="shared" si="15"/>
        <v>2831</v>
      </c>
      <c r="B38" s="748"/>
      <c r="C38" s="749"/>
      <c r="D38" s="749"/>
      <c r="E38" s="750"/>
      <c r="F38" s="751"/>
      <c r="G38" s="840"/>
      <c r="H38" s="568"/>
      <c r="I38" s="568"/>
      <c r="J38" s="501"/>
      <c r="K38" s="501"/>
      <c r="L38" s="501"/>
      <c r="M38" s="501"/>
      <c r="N38" s="501"/>
      <c r="O38" s="501"/>
      <c r="P38" s="501"/>
      <c r="Q38" s="571">
        <f t="shared" si="17"/>
        <v>0</v>
      </c>
      <c r="R38" s="571">
        <f t="shared" si="2"/>
        <v>0</v>
      </c>
      <c r="S38" s="571">
        <f t="shared" si="18"/>
        <v>0</v>
      </c>
      <c r="T38" s="570">
        <f t="shared" si="19"/>
        <v>0</v>
      </c>
      <c r="U38" s="573">
        <f t="shared" si="20"/>
        <v>0</v>
      </c>
      <c r="V38" s="573">
        <f t="shared" si="21"/>
        <v>0</v>
      </c>
      <c r="W38" s="573">
        <f t="shared" si="22"/>
        <v>0</v>
      </c>
      <c r="X38" s="573">
        <f t="shared" si="23"/>
        <v>0</v>
      </c>
      <c r="Y38" s="573">
        <f t="shared" si="24"/>
        <v>0</v>
      </c>
      <c r="Z38" s="573">
        <f t="shared" si="25"/>
        <v>0</v>
      </c>
      <c r="AA38" s="573">
        <f t="shared" si="26"/>
        <v>0</v>
      </c>
      <c r="AB38" s="573">
        <f t="shared" si="27"/>
        <v>0</v>
      </c>
      <c r="AC38"/>
      <c r="AD38"/>
      <c r="AE38"/>
      <c r="AF38"/>
      <c r="AG38"/>
      <c r="AH38"/>
      <c r="AI38"/>
      <c r="AJ38" s="572"/>
      <c r="AK38" s="572"/>
      <c r="AL38" s="572"/>
      <c r="AM38" s="572"/>
    </row>
    <row r="39" spans="1:39" s="456" customFormat="1" ht="12.75" customHeight="1">
      <c r="A39" s="1369">
        <f t="shared" si="15"/>
        <v>2832</v>
      </c>
      <c r="B39" s="748"/>
      <c r="C39" s="749"/>
      <c r="D39" s="749"/>
      <c r="E39" s="750"/>
      <c r="F39" s="751"/>
      <c r="G39" s="840"/>
      <c r="H39" s="568"/>
      <c r="I39" s="568"/>
      <c r="J39" s="501"/>
      <c r="K39" s="501"/>
      <c r="L39" s="501"/>
      <c r="M39" s="501"/>
      <c r="N39" s="501"/>
      <c r="O39" s="501"/>
      <c r="P39" s="501"/>
      <c r="Q39" s="571">
        <f t="shared" si="17"/>
        <v>0</v>
      </c>
      <c r="R39" s="571">
        <f t="shared" si="2"/>
        <v>0</v>
      </c>
      <c r="S39" s="571">
        <f t="shared" si="18"/>
        <v>0</v>
      </c>
      <c r="T39" s="570">
        <f t="shared" si="19"/>
        <v>0</v>
      </c>
      <c r="U39" s="573">
        <f t="shared" si="20"/>
        <v>0</v>
      </c>
      <c r="V39" s="573">
        <f t="shared" si="21"/>
        <v>0</v>
      </c>
      <c r="W39" s="573">
        <f t="shared" si="22"/>
        <v>0</v>
      </c>
      <c r="X39" s="573">
        <f t="shared" si="23"/>
        <v>0</v>
      </c>
      <c r="Y39" s="573">
        <f t="shared" si="24"/>
        <v>0</v>
      </c>
      <c r="Z39" s="573">
        <f t="shared" si="25"/>
        <v>0</v>
      </c>
      <c r="AA39" s="573">
        <f t="shared" si="26"/>
        <v>0</v>
      </c>
      <c r="AB39" s="573">
        <f t="shared" si="27"/>
        <v>0</v>
      </c>
      <c r="AC39"/>
      <c r="AD39"/>
      <c r="AE39"/>
      <c r="AF39"/>
      <c r="AG39"/>
      <c r="AH39"/>
      <c r="AI39"/>
      <c r="AJ39" s="572"/>
      <c r="AK39" s="572"/>
      <c r="AL39" s="572"/>
      <c r="AM39" s="572"/>
    </row>
    <row r="40" spans="1:39" s="456" customFormat="1" ht="12.75" customHeight="1">
      <c r="A40" s="1369">
        <f t="shared" si="15"/>
        <v>2833</v>
      </c>
      <c r="B40" s="748"/>
      <c r="C40" s="749"/>
      <c r="D40" s="749"/>
      <c r="E40" s="750"/>
      <c r="F40" s="751"/>
      <c r="G40" s="840"/>
      <c r="H40" s="568"/>
      <c r="I40" s="568"/>
      <c r="J40" s="501"/>
      <c r="K40" s="501"/>
      <c r="L40" s="501"/>
      <c r="M40" s="501"/>
      <c r="N40" s="501"/>
      <c r="O40" s="501"/>
      <c r="P40" s="501"/>
      <c r="Q40" s="571">
        <f t="shared" si="17"/>
        <v>0</v>
      </c>
      <c r="R40" s="571">
        <f t="shared" si="2"/>
        <v>0</v>
      </c>
      <c r="S40" s="571">
        <f t="shared" si="18"/>
        <v>0</v>
      </c>
      <c r="T40" s="570">
        <f t="shared" si="19"/>
        <v>0</v>
      </c>
      <c r="U40" s="573">
        <f t="shared" si="20"/>
        <v>0</v>
      </c>
      <c r="V40" s="573">
        <f t="shared" si="21"/>
        <v>0</v>
      </c>
      <c r="W40" s="573">
        <f t="shared" si="22"/>
        <v>0</v>
      </c>
      <c r="X40" s="573">
        <f t="shared" si="23"/>
        <v>0</v>
      </c>
      <c r="Y40" s="573">
        <f t="shared" si="24"/>
        <v>0</v>
      </c>
      <c r="Z40" s="573">
        <f t="shared" si="25"/>
        <v>0</v>
      </c>
      <c r="AA40" s="573">
        <f t="shared" si="26"/>
        <v>0</v>
      </c>
      <c r="AB40" s="573">
        <f t="shared" si="27"/>
        <v>0</v>
      </c>
      <c r="AC40"/>
      <c r="AD40"/>
      <c r="AE40"/>
      <c r="AF40"/>
      <c r="AG40"/>
      <c r="AH40"/>
      <c r="AI40"/>
      <c r="AJ40" s="572"/>
      <c r="AK40" s="572"/>
      <c r="AL40" s="572"/>
      <c r="AM40" s="572"/>
    </row>
    <row r="41" spans="1:39" s="456" customFormat="1" ht="12.75" customHeight="1">
      <c r="A41" s="1369">
        <f t="shared" si="15"/>
        <v>2834</v>
      </c>
      <c r="B41" s="748"/>
      <c r="C41" s="749"/>
      <c r="D41" s="749"/>
      <c r="E41" s="750"/>
      <c r="F41" s="751"/>
      <c r="G41" s="840"/>
      <c r="H41" s="568"/>
      <c r="I41" s="568"/>
      <c r="J41" s="501"/>
      <c r="K41" s="501"/>
      <c r="L41" s="501"/>
      <c r="M41" s="501"/>
      <c r="N41" s="501"/>
      <c r="O41" s="501"/>
      <c r="P41" s="501"/>
      <c r="Q41" s="571">
        <f t="shared" si="17"/>
        <v>0</v>
      </c>
      <c r="R41" s="571">
        <f t="shared" si="2"/>
        <v>0</v>
      </c>
      <c r="S41" s="571">
        <f t="shared" si="18"/>
        <v>0</v>
      </c>
      <c r="T41" s="570">
        <f t="shared" si="19"/>
        <v>0</v>
      </c>
      <c r="U41" s="573">
        <f t="shared" si="20"/>
        <v>0</v>
      </c>
      <c r="V41" s="573">
        <f t="shared" si="21"/>
        <v>0</v>
      </c>
      <c r="W41" s="573">
        <f t="shared" si="22"/>
        <v>0</v>
      </c>
      <c r="X41" s="573">
        <f t="shared" si="23"/>
        <v>0</v>
      </c>
      <c r="Y41" s="573">
        <f t="shared" si="24"/>
        <v>0</v>
      </c>
      <c r="Z41" s="573">
        <f t="shared" si="25"/>
        <v>0</v>
      </c>
      <c r="AA41" s="573">
        <f t="shared" si="26"/>
        <v>0</v>
      </c>
      <c r="AB41" s="573">
        <f t="shared" si="27"/>
        <v>0</v>
      </c>
      <c r="AC41"/>
      <c r="AD41"/>
      <c r="AE41"/>
      <c r="AF41"/>
      <c r="AG41"/>
      <c r="AH41"/>
      <c r="AI41"/>
      <c r="AJ41" s="572"/>
      <c r="AK41" s="572"/>
      <c r="AL41" s="572"/>
      <c r="AM41" s="572"/>
    </row>
    <row r="42" spans="1:39" s="456" customFormat="1" ht="12.75" customHeight="1">
      <c r="A42" s="1369">
        <f t="shared" si="15"/>
        <v>2835</v>
      </c>
      <c r="B42" s="748"/>
      <c r="C42" s="749"/>
      <c r="D42" s="749"/>
      <c r="E42" s="750"/>
      <c r="F42" s="751"/>
      <c r="G42" s="840"/>
      <c r="H42" s="568"/>
      <c r="I42" s="568"/>
      <c r="J42" s="501"/>
      <c r="K42" s="501"/>
      <c r="L42" s="501"/>
      <c r="M42" s="501"/>
      <c r="N42" s="501"/>
      <c r="O42" s="501"/>
      <c r="P42" s="501"/>
      <c r="Q42" s="571">
        <f t="shared" si="17"/>
        <v>0</v>
      </c>
      <c r="R42" s="571">
        <f t="shared" si="2"/>
        <v>0</v>
      </c>
      <c r="S42" s="571">
        <f t="shared" si="18"/>
        <v>0</v>
      </c>
      <c r="T42" s="570">
        <f t="shared" si="19"/>
        <v>0</v>
      </c>
      <c r="U42" s="573">
        <f t="shared" si="20"/>
        <v>0</v>
      </c>
      <c r="V42" s="573">
        <f t="shared" si="21"/>
        <v>0</v>
      </c>
      <c r="W42" s="573">
        <f t="shared" si="22"/>
        <v>0</v>
      </c>
      <c r="X42" s="573">
        <f t="shared" si="23"/>
        <v>0</v>
      </c>
      <c r="Y42" s="573">
        <f t="shared" si="24"/>
        <v>0</v>
      </c>
      <c r="Z42" s="573">
        <f t="shared" si="25"/>
        <v>0</v>
      </c>
      <c r="AA42" s="573">
        <f t="shared" si="26"/>
        <v>0</v>
      </c>
      <c r="AB42" s="573">
        <f t="shared" si="27"/>
        <v>0</v>
      </c>
      <c r="AC42"/>
      <c r="AD42"/>
      <c r="AE42"/>
      <c r="AF42"/>
      <c r="AG42"/>
      <c r="AH42"/>
      <c r="AI42"/>
      <c r="AJ42" s="572"/>
      <c r="AK42" s="572"/>
      <c r="AL42" s="572"/>
      <c r="AM42" s="572"/>
    </row>
    <row r="43" spans="1:39" s="456" customFormat="1" ht="12.75" customHeight="1">
      <c r="A43" s="1369">
        <f>A42+1</f>
        <v>2836</v>
      </c>
      <c r="B43" s="722" t="str">
        <f>CONCATENATE("Sub(totaal) regel ",A8," t/m ",A42)</f>
        <v>Sub(totaal) regel 2801 t/m 2835</v>
      </c>
      <c r="C43" s="722"/>
      <c r="D43" s="989"/>
      <c r="E43" s="719"/>
      <c r="F43" s="783"/>
      <c r="G43" s="784"/>
      <c r="H43" s="1181">
        <f>SUM(H8:H42)</f>
        <v>0</v>
      </c>
      <c r="I43" s="1182">
        <f>AB43</f>
        <v>0</v>
      </c>
      <c r="J43" s="773"/>
      <c r="K43" s="774"/>
      <c r="L43" s="774"/>
      <c r="M43" s="774"/>
      <c r="N43" s="774"/>
      <c r="O43" s="774"/>
      <c r="P43" s="775"/>
      <c r="Q43" s="752">
        <f>SUM(Q8:Q42)</f>
        <v>0</v>
      </c>
      <c r="R43" s="752">
        <f>SUM(R8:R42)</f>
        <v>0</v>
      </c>
      <c r="S43" s="752">
        <f>SUM(S8:S42)</f>
        <v>0</v>
      </c>
      <c r="T43" s="752">
        <f>SUM(T8:T42)</f>
        <v>0</v>
      </c>
      <c r="U43" s="573"/>
      <c r="V43" s="573"/>
      <c r="W43" s="573"/>
      <c r="X43" s="573"/>
      <c r="Y43" s="573"/>
      <c r="Z43" s="573"/>
      <c r="AA43" s="573"/>
      <c r="AB43" s="796">
        <f>SUM(AB8:AB42)</f>
        <v>0</v>
      </c>
      <c r="AC43" s="573"/>
      <c r="AD43" s="572"/>
      <c r="AE43" s="572"/>
      <c r="AF43" s="572"/>
      <c r="AG43" s="572"/>
      <c r="AH43" s="572"/>
      <c r="AI43" s="572"/>
      <c r="AJ43" s="572"/>
      <c r="AK43" s="572"/>
      <c r="AL43" s="572"/>
      <c r="AM43" s="572"/>
    </row>
    <row r="44" spans="1:39" s="456" customFormat="1" ht="12.75" customHeight="1">
      <c r="A44" s="1382"/>
      <c r="B44" s="454"/>
      <c r="C44" s="454"/>
      <c r="D44" s="476"/>
      <c r="E44" s="454"/>
      <c r="F44" s="454"/>
      <c r="G44" s="454"/>
      <c r="H44" s="502"/>
      <c r="I44" s="502"/>
      <c r="J44" s="502"/>
      <c r="K44" s="502"/>
      <c r="L44" s="502"/>
      <c r="M44" s="502"/>
      <c r="N44" s="502"/>
      <c r="O44" s="502"/>
      <c r="P44" s="502"/>
      <c r="Q44" s="502"/>
      <c r="R44" s="490"/>
      <c r="U44" s="573"/>
      <c r="V44" s="573"/>
      <c r="W44" s="573"/>
      <c r="X44" s="573"/>
      <c r="Y44" s="573"/>
      <c r="Z44" s="573"/>
      <c r="AA44" s="573"/>
      <c r="AB44" s="796"/>
      <c r="AC44" s="573"/>
      <c r="AD44" s="572"/>
      <c r="AE44" s="572"/>
      <c r="AF44" s="572"/>
      <c r="AG44" s="572"/>
      <c r="AH44" s="572"/>
      <c r="AI44" s="572"/>
      <c r="AJ44" s="572"/>
      <c r="AK44" s="572"/>
      <c r="AL44" s="572"/>
      <c r="AM44" s="572"/>
    </row>
    <row r="45" spans="1:39" s="456" customFormat="1" ht="12.75" customHeight="1">
      <c r="A45" s="1388" t="str">
        <f>CONCATENATE("Indien u meer langlopende leningen heeft, kunt u op pag. ",T96," en ",S141," verder gaan met invullen")</f>
        <v>Indien u meer langlopende leningen heeft, kunt u op pag. 30 en 31 verder gaan met invullen</v>
      </c>
      <c r="B45" s="454"/>
      <c r="C45" s="454"/>
      <c r="D45" s="476"/>
      <c r="E45" s="454"/>
      <c r="F45" s="454"/>
      <c r="G45" s="454"/>
      <c r="H45" s="502"/>
      <c r="I45" s="502"/>
      <c r="J45" s="502"/>
      <c r="K45" s="502"/>
      <c r="L45" s="502"/>
      <c r="M45" s="502"/>
      <c r="N45" s="502"/>
      <c r="O45" s="502"/>
      <c r="P45" s="502"/>
      <c r="Q45" s="502"/>
      <c r="R45" s="490"/>
      <c r="U45" s="573"/>
      <c r="V45" s="573"/>
      <c r="W45" s="573"/>
      <c r="X45" s="573"/>
      <c r="Y45" s="573"/>
      <c r="Z45" s="573"/>
      <c r="AA45" s="573"/>
      <c r="AB45" s="796"/>
      <c r="AC45" s="573"/>
      <c r="AD45" s="572"/>
      <c r="AE45" s="572"/>
      <c r="AF45" s="572"/>
      <c r="AG45" s="572"/>
      <c r="AH45" s="572"/>
      <c r="AI45" s="572"/>
      <c r="AJ45" s="572"/>
      <c r="AK45" s="572"/>
      <c r="AL45" s="572"/>
      <c r="AM45" s="572"/>
    </row>
    <row r="46" spans="1:39" s="456" customFormat="1" ht="12.75" customHeight="1">
      <c r="A46" s="1382"/>
      <c r="B46" s="454"/>
      <c r="C46" s="454"/>
      <c r="D46" s="476"/>
      <c r="E46" s="454"/>
      <c r="F46" s="454"/>
      <c r="G46" s="454"/>
      <c r="H46" s="502"/>
      <c r="I46" s="502"/>
      <c r="J46" s="502"/>
      <c r="K46" s="502"/>
      <c r="L46" s="502"/>
      <c r="M46" s="502"/>
      <c r="N46" s="502"/>
      <c r="O46" s="502"/>
      <c r="P46" s="502"/>
      <c r="Q46" s="502"/>
      <c r="R46" s="490"/>
      <c r="U46" s="573"/>
      <c r="V46" s="573"/>
      <c r="W46" s="573"/>
      <c r="X46" s="573"/>
      <c r="Y46" s="573"/>
      <c r="Z46" s="573"/>
      <c r="AA46" s="573"/>
      <c r="AB46" s="796"/>
      <c r="AC46" s="573"/>
      <c r="AD46" s="572"/>
      <c r="AE46" s="572"/>
      <c r="AF46" s="572"/>
      <c r="AG46" s="572"/>
      <c r="AH46" s="572"/>
      <c r="AI46" s="572"/>
      <c r="AJ46" s="572"/>
      <c r="AK46" s="572"/>
      <c r="AL46" s="572"/>
      <c r="AM46" s="572"/>
    </row>
    <row r="47" spans="1:39" s="456" customFormat="1" ht="12.75" customHeight="1">
      <c r="A47" s="1369" t="str">
        <f>CONCATENATE(A43,"a")</f>
        <v>2836a</v>
      </c>
      <c r="B47" s="1085" t="str">
        <f>CONCATENATE("Subtotaal gewogen schuld van pagina ",T96," regel ",A137)</f>
        <v>Subtotaal gewogen schuld van pagina 30 regel 3036</v>
      </c>
      <c r="C47" s="1183"/>
      <c r="D47" s="1175"/>
      <c r="E47" s="1183"/>
      <c r="F47" s="1183"/>
      <c r="G47" s="1183"/>
      <c r="H47" s="1184"/>
      <c r="I47" s="1184"/>
      <c r="J47" s="1184"/>
      <c r="K47" s="1184"/>
      <c r="L47" s="1184"/>
      <c r="M47" s="1184"/>
      <c r="N47" s="1184"/>
      <c r="O47" s="1184"/>
      <c r="P47" s="1184"/>
      <c r="Q47" s="1184"/>
      <c r="R47" s="1185">
        <f>R137</f>
        <v>0</v>
      </c>
      <c r="U47" s="573"/>
      <c r="V47" s="573"/>
      <c r="W47" s="573"/>
      <c r="X47" s="573"/>
      <c r="Y47" s="573"/>
      <c r="Z47" s="573"/>
      <c r="AA47" s="573"/>
      <c r="AB47" s="796"/>
      <c r="AC47" s="573"/>
      <c r="AD47" s="572"/>
      <c r="AE47" s="572"/>
      <c r="AF47" s="572"/>
      <c r="AG47" s="572"/>
      <c r="AH47" s="572"/>
      <c r="AI47" s="572"/>
      <c r="AJ47" s="572"/>
      <c r="AK47" s="572"/>
      <c r="AL47" s="572"/>
      <c r="AM47" s="572"/>
    </row>
    <row r="48" spans="1:39" s="456" customFormat="1" ht="12.75" customHeight="1">
      <c r="A48" s="1383"/>
      <c r="B48" s="439"/>
      <c r="C48" s="439"/>
      <c r="D48" s="435"/>
      <c r="E48" s="435"/>
      <c r="F48" s="435"/>
      <c r="G48" s="435"/>
      <c r="H48" s="435"/>
      <c r="I48" s="435"/>
      <c r="J48" s="435"/>
      <c r="K48" s="435"/>
      <c r="L48" s="435"/>
      <c r="M48" s="435"/>
      <c r="N48" s="435"/>
      <c r="O48" s="435"/>
      <c r="P48" s="435"/>
      <c r="Q48" s="435"/>
      <c r="R48" s="435"/>
      <c r="S48" s="439"/>
      <c r="T48" s="439"/>
      <c r="U48" s="573"/>
      <c r="V48" s="573"/>
      <c r="W48" s="573"/>
      <c r="X48" s="573"/>
      <c r="Y48" s="573"/>
      <c r="Z48" s="573"/>
      <c r="AA48" s="573"/>
      <c r="AB48" s="796"/>
      <c r="AC48" s="573"/>
      <c r="AD48" s="572"/>
      <c r="AE48" s="572"/>
      <c r="AF48" s="572"/>
      <c r="AG48" s="572"/>
      <c r="AH48" s="572"/>
      <c r="AI48" s="572"/>
      <c r="AJ48" s="572"/>
      <c r="AK48" s="572"/>
      <c r="AL48" s="572"/>
      <c r="AM48" s="572"/>
    </row>
    <row r="49" spans="1:40" s="456" customFormat="1" ht="12.75" customHeight="1">
      <c r="A49" s="1369">
        <f>A43+1</f>
        <v>2837</v>
      </c>
      <c r="B49" s="776" t="s">
        <v>436</v>
      </c>
      <c r="C49" s="777"/>
      <c r="D49" s="777"/>
      <c r="E49" s="777"/>
      <c r="F49" s="777"/>
      <c r="G49" s="777"/>
      <c r="H49" s="778"/>
      <c r="I49" s="778"/>
      <c r="J49" s="778"/>
      <c r="K49" s="778"/>
      <c r="L49" s="778"/>
      <c r="M49" s="778"/>
      <c r="N49" s="778"/>
      <c r="O49" s="778"/>
      <c r="P49" s="778"/>
      <c r="Q49" s="1178"/>
      <c r="R49" s="574">
        <v>0</v>
      </c>
      <c r="S49" s="573"/>
      <c r="T49" s="572"/>
      <c r="U49" s="573"/>
      <c r="V49" s="572"/>
      <c r="W49" s="572"/>
      <c r="X49" s="572"/>
      <c r="Y49" s="572"/>
      <c r="Z49" s="572"/>
      <c r="AA49" s="572"/>
      <c r="AB49" s="572"/>
      <c r="AC49" s="573"/>
      <c r="AD49" s="572"/>
      <c r="AE49" s="572"/>
      <c r="AF49" s="572"/>
      <c r="AG49" s="572"/>
      <c r="AH49" s="572"/>
      <c r="AI49" s="572"/>
      <c r="AJ49" s="572"/>
      <c r="AK49" s="572"/>
      <c r="AL49" s="572"/>
      <c r="AM49" s="572"/>
      <c r="AN49" s="572"/>
    </row>
    <row r="50" spans="1:40" s="456" customFormat="1" ht="12.75" customHeight="1">
      <c r="A50" s="1369">
        <f>A49+1</f>
        <v>2838</v>
      </c>
      <c r="B50" s="779" t="s">
        <v>348</v>
      </c>
      <c r="C50" s="717"/>
      <c r="D50" s="777"/>
      <c r="E50" s="717"/>
      <c r="F50" s="717"/>
      <c r="G50" s="717"/>
      <c r="H50" s="780"/>
      <c r="I50" s="780"/>
      <c r="J50" s="780"/>
      <c r="K50" s="780"/>
      <c r="L50" s="780"/>
      <c r="M50" s="780"/>
      <c r="N50" s="780"/>
      <c r="O50" s="780"/>
      <c r="P50" s="780"/>
      <c r="Q50" s="1179"/>
      <c r="R50" s="570"/>
      <c r="S50" s="572"/>
      <c r="T50" s="572"/>
      <c r="U50" s="572"/>
      <c r="V50" s="572"/>
      <c r="W50" s="572"/>
      <c r="X50" s="572"/>
      <c r="Y50" s="572"/>
      <c r="Z50" s="572"/>
      <c r="AA50" s="572"/>
      <c r="AB50" s="572"/>
      <c r="AC50" s="572"/>
      <c r="AD50" s="572"/>
      <c r="AE50" s="572"/>
      <c r="AF50" s="572"/>
      <c r="AG50" s="572"/>
      <c r="AH50" s="572"/>
      <c r="AI50" s="572"/>
      <c r="AJ50" s="572"/>
      <c r="AK50" s="572"/>
      <c r="AL50" s="572"/>
      <c r="AM50" s="572"/>
      <c r="AN50" s="572"/>
    </row>
    <row r="51" spans="1:40" s="467" customFormat="1" ht="12.75" customHeight="1">
      <c r="A51" s="1369">
        <f>A50+1</f>
        <v>2839</v>
      </c>
      <c r="B51" s="744" t="str">
        <f>CONCATENATE("Totaal regel ",A43," t/m ",A50)</f>
        <v>Totaal regel 2836 t/m 2838</v>
      </c>
      <c r="C51" s="741"/>
      <c r="D51" s="781"/>
      <c r="E51" s="781"/>
      <c r="F51" s="781"/>
      <c r="G51" s="781"/>
      <c r="H51" s="782"/>
      <c r="I51" s="782"/>
      <c r="J51" s="782"/>
      <c r="K51" s="782"/>
      <c r="L51" s="782"/>
      <c r="M51" s="782"/>
      <c r="N51" s="782"/>
      <c r="O51" s="782"/>
      <c r="P51" s="782"/>
      <c r="Q51" s="1180"/>
      <c r="R51" s="752">
        <f>R43+R47-R49+R50</f>
        <v>0</v>
      </c>
      <c r="S51" s="575"/>
      <c r="T51" s="575"/>
      <c r="U51" s="575"/>
      <c r="V51" s="575"/>
      <c r="W51" s="575"/>
      <c r="X51" s="575"/>
      <c r="Y51" s="575"/>
      <c r="Z51" s="575"/>
      <c r="AA51" s="575"/>
      <c r="AB51" s="575"/>
      <c r="AC51" s="575"/>
      <c r="AD51" s="575"/>
      <c r="AE51" s="575"/>
      <c r="AF51" s="575"/>
      <c r="AG51" s="575"/>
      <c r="AH51" s="575"/>
      <c r="AI51" s="575"/>
      <c r="AJ51" s="575"/>
      <c r="AK51" s="575"/>
      <c r="AL51" s="575"/>
      <c r="AM51" s="575"/>
      <c r="AN51" s="575"/>
    </row>
    <row r="52" spans="1:18" s="456" customFormat="1" ht="12.75" customHeight="1">
      <c r="A52" s="1388" t="s">
        <v>633</v>
      </c>
      <c r="B52" s="454"/>
      <c r="C52" s="454"/>
      <c r="D52" s="476"/>
      <c r="E52" s="454"/>
      <c r="F52" s="454"/>
      <c r="G52" s="454"/>
      <c r="H52" s="502"/>
      <c r="I52" s="502"/>
      <c r="J52" s="502"/>
      <c r="K52" s="502"/>
      <c r="L52" s="502"/>
      <c r="M52" s="502"/>
      <c r="N52" s="502"/>
      <c r="O52" s="502"/>
      <c r="P52" s="502"/>
      <c r="Q52" s="502"/>
      <c r="R52" s="490"/>
    </row>
    <row r="53" spans="1:27" ht="15.75" customHeight="1">
      <c r="A53" s="1311" t="s">
        <v>12</v>
      </c>
      <c r="D53" s="435"/>
      <c r="E53" s="435"/>
      <c r="F53" s="435"/>
      <c r="G53" s="435"/>
      <c r="U53" s="440"/>
      <c r="V53" s="441"/>
      <c r="W53" s="440"/>
      <c r="X53" s="440"/>
      <c r="Y53" s="440"/>
      <c r="Z53" s="440"/>
      <c r="AA53" s="440"/>
    </row>
    <row r="54" spans="1:27" s="447" customFormat="1" ht="15.75" customHeight="1">
      <c r="A54" s="1387" t="str">
        <f>A2</f>
        <v>Nacalculatieformulier 2005</v>
      </c>
      <c r="B54" s="7"/>
      <c r="C54" s="7"/>
      <c r="D54" s="7"/>
      <c r="E54" s="7"/>
      <c r="F54" s="7"/>
      <c r="G54" s="7"/>
      <c r="H54" s="8"/>
      <c r="I54" s="625"/>
      <c r="J54" s="8"/>
      <c r="K54" s="8"/>
      <c r="L54" s="625"/>
      <c r="M54" s="625"/>
      <c r="N54" s="8"/>
      <c r="O54" s="625"/>
      <c r="P54" s="625"/>
      <c r="Q54" s="8"/>
      <c r="R54" s="625"/>
      <c r="S54" s="769"/>
      <c r="T54" s="10">
        <f>T2+1</f>
        <v>29</v>
      </c>
      <c r="U54" s="448"/>
      <c r="V54" s="449"/>
      <c r="W54" s="448"/>
      <c r="X54" s="448"/>
      <c r="Y54" s="448"/>
      <c r="Z54" s="448"/>
      <c r="AA54" s="448"/>
    </row>
    <row r="55" spans="1:19" s="456" customFormat="1" ht="12.75" customHeight="1">
      <c r="A55" s="1366"/>
      <c r="B55" s="649"/>
      <c r="C55" s="649"/>
      <c r="D55" s="167"/>
      <c r="E55" s="649"/>
      <c r="F55" s="649"/>
      <c r="G55" s="649"/>
      <c r="H55" s="168"/>
      <c r="I55" s="168"/>
      <c r="J55" s="168"/>
      <c r="K55" s="168"/>
      <c r="L55" s="168"/>
      <c r="M55" s="168"/>
      <c r="N55" s="168"/>
      <c r="O55" s="168"/>
      <c r="P55" s="168"/>
      <c r="Q55" s="168"/>
      <c r="R55" s="168"/>
      <c r="S55" s="567"/>
    </row>
    <row r="56" spans="1:19" s="456" customFormat="1" ht="12.75" customHeight="1">
      <c r="A56" s="1367"/>
      <c r="B56" s="621" t="s">
        <v>658</v>
      </c>
      <c r="C56" s="652"/>
      <c r="D56" s="653"/>
      <c r="E56" s="555"/>
      <c r="F56" s="654"/>
      <c r="G56" s="654"/>
      <c r="H56" s="655"/>
      <c r="I56" s="655"/>
      <c r="J56" s="655"/>
      <c r="K56" s="655"/>
      <c r="L56" s="655"/>
      <c r="M56" s="655"/>
      <c r="N56" s="655"/>
      <c r="O56" s="655"/>
      <c r="P56" s="655"/>
      <c r="Q56" s="656"/>
      <c r="R56" s="613" t="s">
        <v>393</v>
      </c>
      <c r="S56" s="623" t="s">
        <v>602</v>
      </c>
    </row>
    <row r="57" spans="1:19" s="456" customFormat="1" ht="12.75" customHeight="1">
      <c r="A57" s="1367"/>
      <c r="B57" s="610"/>
      <c r="C57" s="610"/>
      <c r="D57" s="626"/>
      <c r="E57" s="610"/>
      <c r="F57" s="632"/>
      <c r="G57" s="632"/>
      <c r="H57" s="657"/>
      <c r="I57" s="657"/>
      <c r="J57" s="657"/>
      <c r="K57" s="657"/>
      <c r="L57" s="657"/>
      <c r="M57" s="657"/>
      <c r="N57" s="657"/>
      <c r="O57" s="657"/>
      <c r="P57" s="657"/>
      <c r="Q57" s="657"/>
      <c r="R57" s="658"/>
      <c r="S57" s="614" t="s">
        <v>603</v>
      </c>
    </row>
    <row r="58" spans="1:19" s="503" customFormat="1" ht="12.75" customHeight="1">
      <c r="A58" s="1384"/>
      <c r="B58" s="659" t="s">
        <v>608</v>
      </c>
      <c r="C58" s="659"/>
      <c r="D58" s="660"/>
      <c r="E58" s="661"/>
      <c r="F58" s="662"/>
      <c r="G58" s="662"/>
      <c r="H58" s="661"/>
      <c r="I58" s="1598"/>
      <c r="J58" s="1599"/>
      <c r="K58" s="1598"/>
      <c r="L58" s="1599"/>
      <c r="M58" s="1599"/>
      <c r="N58" s="1599"/>
      <c r="O58" s="1599"/>
      <c r="P58" s="1599"/>
      <c r="Q58" s="662"/>
      <c r="R58" s="663"/>
      <c r="S58" s="663"/>
    </row>
    <row r="59" spans="1:28" s="503" customFormat="1" ht="12.75" customHeight="1">
      <c r="A59" s="1385">
        <f>T54*100+1</f>
        <v>2901</v>
      </c>
      <c r="B59" s="1601">
        <f>IF(I8=0,H8,(((DATE(Voorblad!$D$3,K8,J8)-DATE(Voorblad!$D$3,1,1))*H8)/Voorblad!L$3))</f>
        <v>0</v>
      </c>
      <c r="C59" s="1601"/>
      <c r="D59" s="1592">
        <f>IF(K8=0,0,(IF(L8=0,((DATE(Voorblad!D$3+1,1,1)-DATE(Voorblad!$D$3,(K8),J8))*(H8-(1*I8)))/Voorblad!L$3,((DATE(Voorblad!$D$3,(L8),J8)-DATE(Voorblad!$D$3,(K8),J8))*(H8-(1*I8)))/Voorblad!L$3)))</f>
        <v>0</v>
      </c>
      <c r="E59" s="1592"/>
      <c r="F59" s="1592">
        <f>IF(L8=0,0,(IF(M8=0,((DATE(Voorblad!D$3+1,1,1)-DATE(Voorblad!$D$3,(L8),J8))*(H8-(2*I8)))/365,((DATE(Voorblad!$D$3,(M8),J8)-DATE(Voorblad!$D$3,(L8),J8))*(H8-(2*I8)))/Voorblad!L$3)))</f>
        <v>0</v>
      </c>
      <c r="G59" s="1592"/>
      <c r="H59" s="504">
        <f>IF(M8=0,0,(IF(N8=0,((DATE(Voorblad!D$3+1,1,1)-DATE(Voorblad!$D$3,(M8),J8))*(H8-(3*I8)))/Voorblad!L$3,((DATE(Voorblad!$D$3,(N8),J8)-DATE(Voorblad!$D$3,(M8),J8))*(H8-(3*I8)))/Voorblad!L$3)))</f>
        <v>0</v>
      </c>
      <c r="I59" s="1592">
        <f>IF(N8=0,0,(IF(O8=0,((DATE(Voorblad!D$3+1,1,1)-DATE(Voorblad!$D$3,(N8),J8))*(H8-(4*I8)))/Voorblad!L$3,((DATE(Voorblad!$D$3,(O8),J8)-DATE(Voorblad!$D$3,(N8),J8))*(H8-(4*I8)))/Voorblad!L$3)))</f>
        <v>0</v>
      </c>
      <c r="J59" s="1592"/>
      <c r="K59" s="1592">
        <f>IF(O8=0,0,(IF(P8=0,((DATE(Voorblad!D$3+1,1,1)-DATE(Voorblad!$D$3,(O8),J8))*(H8-(5*I8)))/Voorblad!L$3,((DATE(Voorblad!$D$3,(P8),J8)-DATE(Voorblad!$D$3,(O8),J8))*(H8-(5*I8)))/Voorblad!L$3)))</f>
        <v>0</v>
      </c>
      <c r="L59" s="1592"/>
      <c r="M59" s="1592"/>
      <c r="N59" s="1592"/>
      <c r="O59" s="1592"/>
      <c r="P59" s="1592"/>
      <c r="Q59" s="505">
        <f>IF(P8=0,0,((DATE(Voorblad!D$3+1,1,1)-DATE(Voorblad!$D$3,(P8),J8))*(H8-(6*I8)))/Voorblad!L$3)</f>
        <v>0</v>
      </c>
      <c r="R59" s="576">
        <f aca="true" t="shared" si="28" ref="R59:R68">SUM(B59:Q59)</f>
        <v>0</v>
      </c>
      <c r="S59" s="571">
        <f aca="true" t="shared" si="29" ref="S59:S93">IF(G8="n",R59*(F8/100),R59*(E8/100))</f>
        <v>0</v>
      </c>
      <c r="T59" s="439"/>
      <c r="U59"/>
      <c r="V59"/>
      <c r="W59"/>
      <c r="X59"/>
      <c r="Y59"/>
      <c r="Z59"/>
      <c r="AA59" s="506">
        <f aca="true" t="shared" si="30" ref="AA59:AA85">Q59</f>
        <v>0</v>
      </c>
      <c r="AB59" s="506">
        <f aca="true" t="shared" si="31" ref="AB59:AB85">L59</f>
        <v>0</v>
      </c>
    </row>
    <row r="60" spans="1:28" s="503" customFormat="1" ht="12.75" customHeight="1">
      <c r="A60" s="1385">
        <f>A59+1</f>
        <v>2902</v>
      </c>
      <c r="B60" s="1601">
        <f>IF(I9=0,H9,(((DATE(Voorblad!$D$3,K9,J9)-DATE(Voorblad!$D$3,1,1))*H9)/Voorblad!L$3))</f>
        <v>0</v>
      </c>
      <c r="C60" s="1601"/>
      <c r="D60" s="1592">
        <f>IF(K9=0,0,(IF(L9=0,((DATE(Voorblad!D$3+1,1,1)-DATE(Voorblad!$D$3,(K9),J9))*(H9-(1*I9)))/Voorblad!L$3,((DATE(Voorblad!$D$3,(L9),J9)-DATE(Voorblad!$D$3,(K9),J9))*(H9-(1*I9)))/Voorblad!L$3)))</f>
        <v>0</v>
      </c>
      <c r="E60" s="1592"/>
      <c r="F60" s="1592">
        <f>IF(L9=0,0,(IF(M9=0,((DATE(Voorblad!D$3+1,1,1)-DATE(Voorblad!$D$3,(L9),J9))*(H9-(2*I9)))/365,((DATE(Voorblad!$D$3,(M9),J9)-DATE(Voorblad!$D$3,(L9),J9))*(H9-(2*I9)))/Voorblad!L$3)))</f>
        <v>0</v>
      </c>
      <c r="G60" s="1592"/>
      <c r="H60" s="504">
        <f>IF(M9=0,0,(IF(N9=0,((DATE(Voorblad!D$3+1,1,1)-DATE(Voorblad!$D$3,(M9),J9))*(H9-(3*I9)))/Voorblad!L$3,((DATE(Voorblad!$D$3,(N9),J9)-DATE(Voorblad!$D$3,(M9),J9))*(H9-(3*I9)))/Voorblad!L$3)))</f>
        <v>0</v>
      </c>
      <c r="I60" s="1592">
        <f>IF(N9=0,0,(IF(O9=0,((DATE(Voorblad!D$3+1,1,1)-DATE(Voorblad!$D$3,(N9),J9))*(H9-(4*I9)))/Voorblad!L$3,((DATE(Voorblad!$D$3,(O9),J9)-DATE(Voorblad!$D$3,(N9),J9))*(H9-(4*I9)))/Voorblad!L$3)))</f>
        <v>0</v>
      </c>
      <c r="J60" s="1592"/>
      <c r="K60" s="1592">
        <f>IF(O9=0,0,(IF(P9=0,((DATE(Voorblad!D$3+1,1,1)-DATE(Voorblad!$D$3,(O9),J9))*(H9-(5*I9)))/Voorblad!L$3,((DATE(Voorblad!$D$3,(P9),J9)-DATE(Voorblad!$D$3,(O9),J9))*(H9-(5*I9)))/Voorblad!L$3)))</f>
        <v>0</v>
      </c>
      <c r="L60" s="1592"/>
      <c r="M60" s="1592"/>
      <c r="N60" s="1592"/>
      <c r="O60" s="1592"/>
      <c r="P60" s="1592"/>
      <c r="Q60" s="505">
        <f>IF(P9=0,0,((DATE(Voorblad!D$3+1,1,1)-DATE(Voorblad!$D$3,(P9),J9))*(H9-(6*I9)))/Voorblad!L$3)</f>
        <v>0</v>
      </c>
      <c r="R60" s="576">
        <f t="shared" si="28"/>
        <v>0</v>
      </c>
      <c r="S60" s="571">
        <f t="shared" si="29"/>
        <v>0</v>
      </c>
      <c r="T60" s="439"/>
      <c r="U60"/>
      <c r="V60"/>
      <c r="W60"/>
      <c r="X60"/>
      <c r="Y60"/>
      <c r="Z60"/>
      <c r="AA60" s="506">
        <f t="shared" si="30"/>
        <v>0</v>
      </c>
      <c r="AB60" s="506">
        <f t="shared" si="31"/>
        <v>0</v>
      </c>
    </row>
    <row r="61" spans="1:28" s="503" customFormat="1" ht="12.75" customHeight="1">
      <c r="A61" s="1385">
        <f>A60+1</f>
        <v>2903</v>
      </c>
      <c r="B61" s="1601">
        <f>IF(I10=0,H10,(((DATE(Voorblad!$D$3,K10,J10)-DATE(Voorblad!$D$3,1,1))*H10)/Voorblad!L$3))</f>
        <v>0</v>
      </c>
      <c r="C61" s="1601"/>
      <c r="D61" s="1592">
        <f>IF(K10=0,0,(IF(L10=0,((DATE(Voorblad!D$3+1,1,1)-DATE(Voorblad!$D$3,(K10),J10))*(H10-(1*I10)))/Voorblad!L$3,((DATE(Voorblad!$D$3,(L10),J10)-DATE(Voorblad!$D$3,(K10),J10))*(H10-(1*I10)))/Voorblad!L$3)))</f>
        <v>0</v>
      </c>
      <c r="E61" s="1592"/>
      <c r="F61" s="1592">
        <f>IF(L10=0,0,(IF(M10=0,((DATE(Voorblad!D$3+1,1,1)-DATE(Voorblad!$D$3,(L10),J10))*(H10-(2*I10)))/365,((DATE(Voorblad!$D$3,(M10),J10)-DATE(Voorblad!$D$3,(L10),J10))*(H10-(2*I10)))/Voorblad!L$3)))</f>
        <v>0</v>
      </c>
      <c r="G61" s="1592"/>
      <c r="H61" s="504">
        <f>IF(M10=0,0,(IF(N10=0,((DATE(Voorblad!D$3+1,1,1)-DATE(Voorblad!$D$3,(M10),J10))*(H10-(3*I10)))/Voorblad!L$3,((DATE(Voorblad!$D$3,(N10),J10)-DATE(Voorblad!$D$3,(M10),J10))*(H10-(3*I10)))/Voorblad!L$3)))</f>
        <v>0</v>
      </c>
      <c r="I61" s="1592">
        <f>IF(N10=0,0,(IF(O10=0,((DATE(Voorblad!D$3+1,1,1)-DATE(Voorblad!$D$3,(N10),J10))*(H10-(4*I10)))/Voorblad!L$3,((DATE(Voorblad!$D$3,(O10),J10)-DATE(Voorblad!$D$3,(N10),J10))*(H10-(4*I10)))/Voorblad!L$3)))</f>
        <v>0</v>
      </c>
      <c r="J61" s="1592"/>
      <c r="K61" s="1592">
        <f>IF(O10=0,0,(IF(P10=0,((DATE(Voorblad!D$3+1,1,1)-DATE(Voorblad!$D$3,(O10),J10))*(H10-(5*I10)))/Voorblad!L$3,((DATE(Voorblad!$D$3,(P10),J10)-DATE(Voorblad!$D$3,(O10),J10))*(H10-(5*I10)))/Voorblad!L$3)))</f>
        <v>0</v>
      </c>
      <c r="L61" s="1592"/>
      <c r="M61" s="1592"/>
      <c r="N61" s="1592"/>
      <c r="O61" s="1592"/>
      <c r="P61" s="1592"/>
      <c r="Q61" s="505">
        <f>IF(P10=0,0,((DATE(Voorblad!D$3+1,1,1)-DATE(Voorblad!$D$3,(P10),J10))*(H10-(6*I10)))/Voorblad!L$3)</f>
        <v>0</v>
      </c>
      <c r="R61" s="576">
        <f t="shared" si="28"/>
        <v>0</v>
      </c>
      <c r="S61" s="571">
        <f t="shared" si="29"/>
        <v>0</v>
      </c>
      <c r="T61" s="439"/>
      <c r="U61"/>
      <c r="V61"/>
      <c r="W61"/>
      <c r="X61"/>
      <c r="Y61"/>
      <c r="Z61"/>
      <c r="AA61" s="506">
        <f t="shared" si="30"/>
        <v>0</v>
      </c>
      <c r="AB61" s="506">
        <f t="shared" si="31"/>
        <v>0</v>
      </c>
    </row>
    <row r="62" spans="1:28" s="503" customFormat="1" ht="12.75" customHeight="1">
      <c r="A62" s="1385">
        <f aca="true" t="shared" si="32" ref="A62:A85">A61+1</f>
        <v>2904</v>
      </c>
      <c r="B62" s="1601">
        <f>IF(I11=0,H11,(((DATE(Voorblad!$D$3,K11,J11)-DATE(Voorblad!$D$3,1,1))*H11)/Voorblad!L$3))</f>
        <v>0</v>
      </c>
      <c r="C62" s="1601"/>
      <c r="D62" s="1592">
        <f>IF(K11=0,0,(IF(L11=0,((DATE(Voorblad!D$3+1,1,1)-DATE(Voorblad!$D$3,(K11),J11))*(H11-(1*I11)))/Voorblad!L$3,((DATE(Voorblad!$D$3,(L11),J11)-DATE(Voorblad!$D$3,(K11),J11))*(H11-(1*I11)))/Voorblad!L$3)))</f>
        <v>0</v>
      </c>
      <c r="E62" s="1592"/>
      <c r="F62" s="1592">
        <f>IF(L11=0,0,(IF(M11=0,((DATE(Voorblad!D$3+1,1,1)-DATE(Voorblad!$D$3,(L11),J11))*(H11-(2*I11)))/365,((DATE(Voorblad!$D$3,(M11),J11)-DATE(Voorblad!$D$3,(L11),J11))*(H11-(2*I11)))/Voorblad!L$3)))</f>
        <v>0</v>
      </c>
      <c r="G62" s="1592"/>
      <c r="H62" s="504">
        <f>IF(M11=0,0,(IF(N11=0,((DATE(Voorblad!D$3+1,1,1)-DATE(Voorblad!$D$3,(M11),J11))*(H11-(3*I11)))/Voorblad!L$3,((DATE(Voorblad!$D$3,(N11),J11)-DATE(Voorblad!$D$3,(M11),J11))*(H11-(3*I11)))/Voorblad!L$3)))</f>
        <v>0</v>
      </c>
      <c r="I62" s="1592">
        <f>IF(N11=0,0,(IF(O11=0,((DATE(Voorblad!D$3+1,1,1)-DATE(Voorblad!$D$3,(N11),J11))*(H11-(4*I11)))/Voorblad!L$3,((DATE(Voorblad!$D$3,(O11),J11)-DATE(Voorblad!$D$3,(N11),J11))*(H11-(4*I11)))/Voorblad!L$3)))</f>
        <v>0</v>
      </c>
      <c r="J62" s="1592"/>
      <c r="K62" s="1592">
        <f>IF(O11=0,0,(IF(P11=0,((DATE(Voorblad!D$3+1,1,1)-DATE(Voorblad!$D$3,(O11),J11))*(H11-(5*I11)))/Voorblad!L$3,((DATE(Voorblad!$D$3,(P11),J11)-DATE(Voorblad!$D$3,(O11),J11))*(H11-(5*I11)))/Voorblad!L$3)))</f>
        <v>0</v>
      </c>
      <c r="L62" s="1592"/>
      <c r="M62" s="1592"/>
      <c r="N62" s="1592"/>
      <c r="O62" s="1592"/>
      <c r="P62" s="1592"/>
      <c r="Q62" s="505">
        <f>IF(P11=0,0,((DATE(Voorblad!D$3+1,1,1)-DATE(Voorblad!$D$3,(P11),J11))*(H11-(6*I11)))/Voorblad!L$3)</f>
        <v>0</v>
      </c>
      <c r="R62" s="576">
        <f t="shared" si="28"/>
        <v>0</v>
      </c>
      <c r="S62" s="571">
        <f t="shared" si="29"/>
        <v>0</v>
      </c>
      <c r="T62" s="439"/>
      <c r="U62"/>
      <c r="V62"/>
      <c r="W62"/>
      <c r="X62"/>
      <c r="Y62"/>
      <c r="Z62"/>
      <c r="AA62" s="506">
        <f t="shared" si="30"/>
        <v>0</v>
      </c>
      <c r="AB62" s="506">
        <f t="shared" si="31"/>
        <v>0</v>
      </c>
    </row>
    <row r="63" spans="1:28" s="503" customFormat="1" ht="12.75" customHeight="1">
      <c r="A63" s="1385">
        <f t="shared" si="32"/>
        <v>2905</v>
      </c>
      <c r="B63" s="1601">
        <f>IF(I12=0,H12,(((DATE(Voorblad!$D$3,K12,J12)-DATE(Voorblad!$D$3,1,1))*H12)/Voorblad!L$3))</f>
        <v>0</v>
      </c>
      <c r="C63" s="1601"/>
      <c r="D63" s="1592">
        <f>IF(K12=0,0,(IF(L12=0,((DATE(Voorblad!D$3+1,1,1)-DATE(Voorblad!$D$3,(K12),J12))*(H12-(1*I12)))/Voorblad!L$3,((DATE(Voorblad!$D$3,(L12),J12)-DATE(Voorblad!$D$3,(K12),J12))*(H12-(1*I12)))/Voorblad!L$3)))</f>
        <v>0</v>
      </c>
      <c r="E63" s="1592"/>
      <c r="F63" s="1592">
        <f>IF(L12=0,0,(IF(M12=0,((DATE(Voorblad!D$3+1,1,1)-DATE(Voorblad!$D$3,(L12),J12))*(H12-(2*I12)))/365,((DATE(Voorblad!$D$3,(M12),J12)-DATE(Voorblad!$D$3,(L12),J12))*(H12-(2*I12)))/Voorblad!L$3)))</f>
        <v>0</v>
      </c>
      <c r="G63" s="1592"/>
      <c r="H63" s="504">
        <f>IF(M12=0,0,(IF(N12=0,((DATE(Voorblad!D$3+1,1,1)-DATE(Voorblad!$D$3,(M12),J12))*(H12-(3*I12)))/Voorblad!L$3,((DATE(Voorblad!$D$3,(N12),J12)-DATE(Voorblad!$D$3,(M12),J12))*(H12-(3*I12)))/Voorblad!L$3)))</f>
        <v>0</v>
      </c>
      <c r="I63" s="1592">
        <f>IF(N12=0,0,(IF(O12=0,((DATE(Voorblad!D$3+1,1,1)-DATE(Voorblad!$D$3,(N12),J12))*(H12-(4*I12)))/Voorblad!L$3,((DATE(Voorblad!$D$3,(O12),J12)-DATE(Voorblad!$D$3,(N12),J12))*(H12-(4*I12)))/Voorblad!L$3)))</f>
        <v>0</v>
      </c>
      <c r="J63" s="1592"/>
      <c r="K63" s="1592">
        <f>IF(O12=0,0,(IF(P12=0,((DATE(Voorblad!D$3+1,1,1)-DATE(Voorblad!$D$3,(O12),J12))*(H12-(5*I12)))/Voorblad!L$3,((DATE(Voorblad!$D$3,(P12),J12)-DATE(Voorblad!$D$3,(O12),J12))*(H12-(5*I12)))/Voorblad!L$3)))</f>
        <v>0</v>
      </c>
      <c r="L63" s="1592"/>
      <c r="M63" s="1592"/>
      <c r="N63" s="1592"/>
      <c r="O63" s="1592"/>
      <c r="P63" s="1592"/>
      <c r="Q63" s="505">
        <f>IF(P12=0,0,((DATE(Voorblad!D$3+1,1,1)-DATE(Voorblad!$D$3,(P12),J12))*(H12-(6*I12)))/Voorblad!L$3)</f>
        <v>0</v>
      </c>
      <c r="R63" s="576">
        <f t="shared" si="28"/>
        <v>0</v>
      </c>
      <c r="S63" s="571">
        <f t="shared" si="29"/>
        <v>0</v>
      </c>
      <c r="T63" s="439"/>
      <c r="U63"/>
      <c r="V63"/>
      <c r="W63"/>
      <c r="X63"/>
      <c r="Y63"/>
      <c r="Z63"/>
      <c r="AA63" s="506">
        <f t="shared" si="30"/>
        <v>0</v>
      </c>
      <c r="AB63" s="506">
        <f t="shared" si="31"/>
        <v>0</v>
      </c>
    </row>
    <row r="64" spans="1:28" s="503" customFormat="1" ht="12.75" customHeight="1">
      <c r="A64" s="1385">
        <f t="shared" si="32"/>
        <v>2906</v>
      </c>
      <c r="B64" s="1601">
        <f>IF(I13=0,H13,(((DATE(Voorblad!$D$3,K13,J13)-DATE(Voorblad!$D$3,1,1))*H13)/Voorblad!L$3))</f>
        <v>0</v>
      </c>
      <c r="C64" s="1601"/>
      <c r="D64" s="1592">
        <f>IF(K13=0,0,(IF(L13=0,((DATE(Voorblad!D$3+1,1,1)-DATE(Voorblad!$D$3,(K13),J13))*(H13-(1*I13)))/Voorblad!L$3,((DATE(Voorblad!$D$3,(L13),J13)-DATE(Voorblad!$D$3,(K13),J13))*(H13-(1*I13)))/Voorblad!L$3)))</f>
        <v>0</v>
      </c>
      <c r="E64" s="1592"/>
      <c r="F64" s="1592">
        <f>IF(L13=0,0,(IF(M13=0,((DATE(Voorblad!D$3+1,1,1)-DATE(Voorblad!$D$3,(L13),J13))*(H13-(2*I13)))/365,((DATE(Voorblad!$D$3,(M13),J13)-DATE(Voorblad!$D$3,(L13),J13))*(H13-(2*I13)))/Voorblad!L$3)))</f>
        <v>0</v>
      </c>
      <c r="G64" s="1592"/>
      <c r="H64" s="504">
        <f>IF(M13=0,0,(IF(N13=0,((DATE(Voorblad!D$3+1,1,1)-DATE(Voorblad!$D$3,(M13),J13))*(H13-(3*I13)))/Voorblad!L$3,((DATE(Voorblad!$D$3,(N13),J13)-DATE(Voorblad!$D$3,(M13),J13))*(H13-(3*I13)))/Voorblad!L$3)))</f>
        <v>0</v>
      </c>
      <c r="I64" s="1592">
        <f>IF(N13=0,0,(IF(O13=0,((DATE(Voorblad!D$3+1,1,1)-DATE(Voorblad!$D$3,(N13),J13))*(H13-(4*I13)))/Voorblad!L$3,((DATE(Voorblad!$D$3,(O13),J13)-DATE(Voorblad!$D$3,(N13),J13))*(H13-(4*I13)))/Voorblad!L$3)))</f>
        <v>0</v>
      </c>
      <c r="J64" s="1592"/>
      <c r="K64" s="1592">
        <f>IF(O13=0,0,(IF(P13=0,((DATE(Voorblad!D$3+1,1,1)-DATE(Voorblad!$D$3,(O13),J13))*(H13-(5*I13)))/Voorblad!L$3,((DATE(Voorblad!$D$3,(P13),J13)-DATE(Voorblad!$D$3,(O13),J13))*(H13-(5*I13)))/Voorblad!L$3)))</f>
        <v>0</v>
      </c>
      <c r="L64" s="1592"/>
      <c r="M64" s="1592"/>
      <c r="N64" s="1592"/>
      <c r="O64" s="1592"/>
      <c r="P64" s="1592"/>
      <c r="Q64" s="505">
        <f>IF(P13=0,0,((DATE(Voorblad!D$3+1,1,1)-DATE(Voorblad!$D$3,(P13),J13))*(H13-(6*I13)))/Voorblad!L$3)</f>
        <v>0</v>
      </c>
      <c r="R64" s="576">
        <f t="shared" si="28"/>
        <v>0</v>
      </c>
      <c r="S64" s="571">
        <f t="shared" si="29"/>
        <v>0</v>
      </c>
      <c r="T64" s="439"/>
      <c r="U64"/>
      <c r="V64"/>
      <c r="W64"/>
      <c r="X64"/>
      <c r="Y64"/>
      <c r="Z64"/>
      <c r="AA64" s="506">
        <f t="shared" si="30"/>
        <v>0</v>
      </c>
      <c r="AB64" s="506">
        <f t="shared" si="31"/>
        <v>0</v>
      </c>
    </row>
    <row r="65" spans="1:28" s="503" customFormat="1" ht="12.75" customHeight="1">
      <c r="A65" s="1385">
        <f t="shared" si="32"/>
        <v>2907</v>
      </c>
      <c r="B65" s="1601">
        <f>IF(I14=0,H14,(((DATE(Voorblad!$D$3,K14,J14)-DATE(Voorblad!$D$3,1,1))*H14)/Voorblad!L$3))</f>
        <v>0</v>
      </c>
      <c r="C65" s="1601"/>
      <c r="D65" s="1592">
        <f>IF(K14=0,0,(IF(L14=0,((DATE(Voorblad!D$3+1,1,1)-DATE(Voorblad!$D$3,(K14),J14))*(H14-(1*I14)))/Voorblad!L$3,((DATE(Voorblad!$D$3,(L14),J14)-DATE(Voorblad!$D$3,(K14),J14))*(H14-(1*I14)))/Voorblad!L$3)))</f>
        <v>0</v>
      </c>
      <c r="E65" s="1592"/>
      <c r="F65" s="1592">
        <f>IF(L14=0,0,(IF(M14=0,((DATE(Voorblad!D$3+1,1,1)-DATE(Voorblad!$D$3,(L14),J14))*(H14-(2*I14)))/365,((DATE(Voorblad!$D$3,(M14),J14)-DATE(Voorblad!$D$3,(L14),J14))*(H14-(2*I14)))/Voorblad!L$3)))</f>
        <v>0</v>
      </c>
      <c r="G65" s="1592"/>
      <c r="H65" s="504">
        <f>IF(M14=0,0,(IF(N14=0,((DATE(Voorblad!D$3+1,1,1)-DATE(Voorblad!$D$3,(M14),J14))*(H14-(3*I14)))/Voorblad!L$3,((DATE(Voorblad!$D$3,(N14),J14)-DATE(Voorblad!$D$3,(M14),J14))*(H14-(3*I14)))/Voorblad!L$3)))</f>
        <v>0</v>
      </c>
      <c r="I65" s="1592">
        <f>IF(N14=0,0,(IF(O14=0,((DATE(Voorblad!D$3+1,1,1)-DATE(Voorblad!$D$3,(N14),J14))*(H14-(4*I14)))/Voorblad!L$3,((DATE(Voorblad!$D$3,(O14),J14)-DATE(Voorblad!$D$3,(N14),J14))*(H14-(4*I14)))/Voorblad!L$3)))</f>
        <v>0</v>
      </c>
      <c r="J65" s="1592"/>
      <c r="K65" s="1592">
        <f>IF(O14=0,0,(IF(P14=0,((DATE(Voorblad!D$3+1,1,1)-DATE(Voorblad!$D$3,(O14),J14))*(H14-(5*I14)))/Voorblad!L$3,((DATE(Voorblad!$D$3,(P14),J14)-DATE(Voorblad!$D$3,(O14),J14))*(H14-(5*I14)))/Voorblad!L$3)))</f>
        <v>0</v>
      </c>
      <c r="L65" s="1592"/>
      <c r="M65" s="1592"/>
      <c r="N65" s="1592"/>
      <c r="O65" s="1592"/>
      <c r="P65" s="1592"/>
      <c r="Q65" s="505">
        <f>IF(P14=0,0,((DATE(Voorblad!D$3+1,1,1)-DATE(Voorblad!$D$3,(P14),J14))*(H14-(6*I14)))/Voorblad!L$3)</f>
        <v>0</v>
      </c>
      <c r="R65" s="576">
        <f t="shared" si="28"/>
        <v>0</v>
      </c>
      <c r="S65" s="571">
        <f t="shared" si="29"/>
        <v>0</v>
      </c>
      <c r="T65" s="439"/>
      <c r="U65"/>
      <c r="V65"/>
      <c r="W65"/>
      <c r="X65"/>
      <c r="Y65"/>
      <c r="Z65"/>
      <c r="AA65" s="506">
        <f t="shared" si="30"/>
        <v>0</v>
      </c>
      <c r="AB65" s="506">
        <f t="shared" si="31"/>
        <v>0</v>
      </c>
    </row>
    <row r="66" spans="1:28" s="503" customFormat="1" ht="12.75" customHeight="1">
      <c r="A66" s="1385">
        <f t="shared" si="32"/>
        <v>2908</v>
      </c>
      <c r="B66" s="1601">
        <f>IF(I15=0,H15,(((DATE(Voorblad!$D$3,K15,J15)-DATE(Voorblad!$D$3,1,1))*H15)/Voorblad!L$3))</f>
        <v>0</v>
      </c>
      <c r="C66" s="1601"/>
      <c r="D66" s="1592">
        <f>IF(K15=0,0,(IF(L15=0,((DATE(Voorblad!D$3+1,1,1)-DATE(Voorblad!$D$3,(K15),J15))*(H15-(1*I15)))/Voorblad!L$3,((DATE(Voorblad!$D$3,(L15),J15)-DATE(Voorblad!$D$3,(K15),J15))*(H15-(1*I15)))/Voorblad!L$3)))</f>
        <v>0</v>
      </c>
      <c r="E66" s="1592"/>
      <c r="F66" s="1592">
        <f>IF(L15=0,0,(IF(M15=0,((DATE(Voorblad!D$3+1,1,1)-DATE(Voorblad!$D$3,(L15),J15))*(H15-(2*I15)))/365,((DATE(Voorblad!$D$3,(M15),J15)-DATE(Voorblad!$D$3,(L15),J15))*(H15-(2*I15)))/Voorblad!L$3)))</f>
        <v>0</v>
      </c>
      <c r="G66" s="1592"/>
      <c r="H66" s="504">
        <f>IF(M15=0,0,(IF(N15=0,((DATE(Voorblad!D$3+1,1,1)-DATE(Voorblad!$D$3,(M15),J15))*(H15-(3*I15)))/Voorblad!L$3,((DATE(Voorblad!$D$3,(N15),J15)-DATE(Voorblad!$D$3,(M15),J15))*(H15-(3*I15)))/Voorblad!L$3)))</f>
        <v>0</v>
      </c>
      <c r="I66" s="1592">
        <f>IF(N15=0,0,(IF(O15=0,((DATE(Voorblad!D$3+1,1,1)-DATE(Voorblad!$D$3,(N15),J15))*(H15-(4*I15)))/Voorblad!L$3,((DATE(Voorblad!$D$3,(O15),J15)-DATE(Voorblad!$D$3,(N15),J15))*(H15-(4*I15)))/Voorblad!L$3)))</f>
        <v>0</v>
      </c>
      <c r="J66" s="1592"/>
      <c r="K66" s="1592">
        <f>IF(O15=0,0,(IF(P15=0,((DATE(Voorblad!D$3+1,1,1)-DATE(Voorblad!$D$3,(O15),J15))*(H15-(5*I15)))/Voorblad!L$3,((DATE(Voorblad!$D$3,(P15),J15)-DATE(Voorblad!$D$3,(O15),J15))*(H15-(5*I15)))/Voorblad!L$3)))</f>
        <v>0</v>
      </c>
      <c r="L66" s="1592"/>
      <c r="M66" s="1592"/>
      <c r="N66" s="1592"/>
      <c r="O66" s="1592"/>
      <c r="P66" s="1592"/>
      <c r="Q66" s="505">
        <f>IF(P15=0,0,((DATE(Voorblad!D$3+1,1,1)-DATE(Voorblad!$D$3,(P15),J15))*(H15-(6*I15)))/Voorblad!L$3)</f>
        <v>0</v>
      </c>
      <c r="R66" s="576">
        <f t="shared" si="28"/>
        <v>0</v>
      </c>
      <c r="S66" s="571">
        <f t="shared" si="29"/>
        <v>0</v>
      </c>
      <c r="T66" s="439"/>
      <c r="U66"/>
      <c r="V66"/>
      <c r="W66"/>
      <c r="X66"/>
      <c r="Y66"/>
      <c r="Z66"/>
      <c r="AA66" s="506">
        <f t="shared" si="30"/>
        <v>0</v>
      </c>
      <c r="AB66" s="506">
        <f t="shared" si="31"/>
        <v>0</v>
      </c>
    </row>
    <row r="67" spans="1:28" s="503" customFormat="1" ht="12.75" customHeight="1">
      <c r="A67" s="1385">
        <f t="shared" si="32"/>
        <v>2909</v>
      </c>
      <c r="B67" s="1601">
        <f>IF(I16=0,H16,(((DATE(Voorblad!$D$3,K16,J16)-DATE(Voorblad!$D$3,1,1))*H16)/Voorblad!L$3))</f>
        <v>0</v>
      </c>
      <c r="C67" s="1601"/>
      <c r="D67" s="1592">
        <f>IF(K16=0,0,(IF(L16=0,((DATE(Voorblad!D$3+1,1,1)-DATE(Voorblad!$D$3,(K16),J16))*(H16-(1*I16)))/Voorblad!L$3,((DATE(Voorblad!$D$3,(L16),J16)-DATE(Voorblad!$D$3,(K16),J16))*(H16-(1*I16)))/Voorblad!L$3)))</f>
        <v>0</v>
      </c>
      <c r="E67" s="1592"/>
      <c r="F67" s="1592">
        <f>IF(L16=0,0,(IF(M16=0,((DATE(Voorblad!D$3+1,1,1)-DATE(Voorblad!$D$3,(L16),J16))*(H16-(2*I16)))/365,((DATE(Voorblad!$D$3,(M16),J16)-DATE(Voorblad!$D$3,(L16),J16))*(H16-(2*I16)))/Voorblad!L$3)))</f>
        <v>0</v>
      </c>
      <c r="G67" s="1592"/>
      <c r="H67" s="504">
        <f>IF(M16=0,0,(IF(N16=0,((DATE(Voorblad!D$3+1,1,1)-DATE(Voorblad!$D$3,(M16),J16))*(H16-(3*I16)))/Voorblad!L$3,((DATE(Voorblad!$D$3,(N16),J16)-DATE(Voorblad!$D$3,(M16),J16))*(H16-(3*I16)))/Voorblad!L$3)))</f>
        <v>0</v>
      </c>
      <c r="I67" s="1592">
        <f>IF(N16=0,0,(IF(O16=0,((DATE(Voorblad!D$3+1,1,1)-DATE(Voorblad!$D$3,(N16),J16))*(H16-(4*I16)))/Voorblad!L$3,((DATE(Voorblad!$D$3,(O16),J16)-DATE(Voorblad!$D$3,(N16),J16))*(H16-(4*I16)))/Voorblad!L$3)))</f>
        <v>0</v>
      </c>
      <c r="J67" s="1592"/>
      <c r="K67" s="1592">
        <f>IF(O16=0,0,(IF(P16=0,((DATE(Voorblad!D$3+1,1,1)-DATE(Voorblad!$D$3,(O16),J16))*(H16-(5*I16)))/Voorblad!L$3,((DATE(Voorblad!$D$3,(P16),J16)-DATE(Voorblad!$D$3,(O16),J16))*(H16-(5*I16)))/Voorblad!L$3)))</f>
        <v>0</v>
      </c>
      <c r="L67" s="1592"/>
      <c r="M67" s="1592"/>
      <c r="N67" s="1592"/>
      <c r="O67" s="1592"/>
      <c r="P67" s="1592"/>
      <c r="Q67" s="505">
        <f>IF(P16=0,0,((DATE(Voorblad!D$3+1,1,1)-DATE(Voorblad!$D$3,(P16),J16))*(H16-(6*I16)))/Voorblad!L$3)</f>
        <v>0</v>
      </c>
      <c r="R67" s="576">
        <f t="shared" si="28"/>
        <v>0</v>
      </c>
      <c r="S67" s="571">
        <f t="shared" si="29"/>
        <v>0</v>
      </c>
      <c r="T67" s="439"/>
      <c r="U67"/>
      <c r="V67"/>
      <c r="W67"/>
      <c r="X67"/>
      <c r="Y67"/>
      <c r="Z67"/>
      <c r="AA67" s="506"/>
      <c r="AB67" s="506"/>
    </row>
    <row r="68" spans="1:28" s="503" customFormat="1" ht="12.75" customHeight="1">
      <c r="A68" s="1385">
        <f t="shared" si="32"/>
        <v>2910</v>
      </c>
      <c r="B68" s="1601">
        <f>IF(I17=0,H17,(((DATE(Voorblad!$D$3,K17,J17)-DATE(Voorblad!$D$3,1,1))*H17)/Voorblad!L$3))</f>
        <v>0</v>
      </c>
      <c r="C68" s="1601"/>
      <c r="D68" s="1592">
        <f>IF(K17=0,0,(IF(L17=0,((DATE(Voorblad!D$3+1,1,1)-DATE(Voorblad!$D$3,(K17),J17))*(H17-(1*I17)))/Voorblad!L$3,((DATE(Voorblad!$D$3,(L17),J17)-DATE(Voorblad!$D$3,(K17),J17))*(H17-(1*I17)))/Voorblad!L$3)))</f>
        <v>0</v>
      </c>
      <c r="E68" s="1592"/>
      <c r="F68" s="1592">
        <f>IF(L17=0,0,(IF(M17=0,((DATE(Voorblad!D$3+1,1,1)-DATE(Voorblad!$D$3,(L17),J17))*(H17-(2*I17)))/365,((DATE(Voorblad!$D$3,(M17),J17)-DATE(Voorblad!$D$3,(L17),J17))*(H17-(2*I17)))/Voorblad!L$3)))</f>
        <v>0</v>
      </c>
      <c r="G68" s="1592"/>
      <c r="H68" s="504">
        <f>IF(M17=0,0,(IF(N17=0,((DATE(Voorblad!D$3+1,1,1)-DATE(Voorblad!$D$3,(M17),J17))*(H17-(3*I17)))/Voorblad!L$3,((DATE(Voorblad!$D$3,(N17),J17)-DATE(Voorblad!$D$3,(M17),J17))*(H17-(3*I17)))/Voorblad!L$3)))</f>
        <v>0</v>
      </c>
      <c r="I68" s="1592">
        <f>IF(N17=0,0,(IF(O17=0,((DATE(Voorblad!D$3+1,1,1)-DATE(Voorblad!$D$3,(N17),J17))*(H17-(4*I17)))/Voorblad!L$3,((DATE(Voorblad!$D$3,(O17),J17)-DATE(Voorblad!$D$3,(N17),J17))*(H17-(4*I17)))/Voorblad!L$3)))</f>
        <v>0</v>
      </c>
      <c r="J68" s="1592"/>
      <c r="K68" s="1592">
        <f>IF(O17=0,0,(IF(P17=0,((DATE(Voorblad!D$3+1,1,1)-DATE(Voorblad!$D$3,(O17),J17))*(H17-(5*I17)))/Voorblad!L$3,((DATE(Voorblad!$D$3,(P17),J17)-DATE(Voorblad!$D$3,(O17),J17))*(H17-(5*I17)))/Voorblad!L$3)))</f>
        <v>0</v>
      </c>
      <c r="L68" s="1592"/>
      <c r="M68" s="1592"/>
      <c r="N68" s="1592"/>
      <c r="O68" s="1592"/>
      <c r="P68" s="1592"/>
      <c r="Q68" s="505">
        <f>IF(P17=0,0,((DATE(Voorblad!D$3+1,1,1)-DATE(Voorblad!$D$3,(P17),J17))*(H17-(6*I17)))/Voorblad!L$3)</f>
        <v>0</v>
      </c>
      <c r="R68" s="576">
        <f t="shared" si="28"/>
        <v>0</v>
      </c>
      <c r="S68" s="571">
        <f t="shared" si="29"/>
        <v>0</v>
      </c>
      <c r="T68" s="439"/>
      <c r="U68"/>
      <c r="V68"/>
      <c r="W68"/>
      <c r="X68"/>
      <c r="Y68"/>
      <c r="Z68"/>
      <c r="AA68" s="506"/>
      <c r="AB68" s="506"/>
    </row>
    <row r="69" spans="1:28" s="503" customFormat="1" ht="12.75" customHeight="1">
      <c r="A69" s="1385">
        <f t="shared" si="32"/>
        <v>2911</v>
      </c>
      <c r="B69" s="1601">
        <f>IF(I18=0,H18,(((DATE(Voorblad!$D$3,K18,J18)-DATE(Voorblad!$D$3,1,1))*H18)/Voorblad!L$3))</f>
        <v>0</v>
      </c>
      <c r="C69" s="1601"/>
      <c r="D69" s="1592">
        <f>IF(K18=0,0,(IF(L18=0,((DATE(Voorblad!D$3+1,1,1)-DATE(Voorblad!$D$3,(K18),J18))*(H18-(1*I18)))/Voorblad!L$3,((DATE(Voorblad!$D$3,(L18),J18)-DATE(Voorblad!$D$3,(K18),J18))*(H18-(1*I18)))/Voorblad!L$3)))</f>
        <v>0</v>
      </c>
      <c r="E69" s="1592"/>
      <c r="F69" s="1592">
        <f>IF(L18=0,0,(IF(M18=0,((DATE(Voorblad!D$3+1,1,1)-DATE(Voorblad!$D$3,(L18),J18))*(H18-(2*I18)))/365,((DATE(Voorblad!$D$3,(M18),J18)-DATE(Voorblad!$D$3,(L18),J18))*(H18-(2*I18)))/Voorblad!L$3)))</f>
        <v>0</v>
      </c>
      <c r="G69" s="1592"/>
      <c r="H69" s="504">
        <f>IF(M18=0,0,(IF(N18=0,((DATE(Voorblad!D$3+1,1,1)-DATE(Voorblad!$D$3,(M18),J18))*(H18-(3*I18)))/Voorblad!L$3,((DATE(Voorblad!$D$3,(N18),J18)-DATE(Voorblad!$D$3,(M18),J18))*(H18-(3*I18)))/Voorblad!L$3)))</f>
        <v>0</v>
      </c>
      <c r="I69" s="1592">
        <f>IF(N18=0,0,(IF(O18=0,((DATE(Voorblad!D$3+1,1,1)-DATE(Voorblad!$D$3,(N18),J18))*(H18-(4*I18)))/Voorblad!L$3,((DATE(Voorblad!$D$3,(O18),J18)-DATE(Voorblad!$D$3,(N18),J18))*(H18-(4*I18)))/Voorblad!L$3)))</f>
        <v>0</v>
      </c>
      <c r="J69" s="1592"/>
      <c r="K69" s="1592">
        <f>IF(O18=0,0,(IF(P18=0,((DATE(Voorblad!D$3+1,1,1)-DATE(Voorblad!$D$3,(O18),J18))*(H18-(5*I18)))/Voorblad!L$3,((DATE(Voorblad!$D$3,(P18),J18)-DATE(Voorblad!$D$3,(O18),J18))*(H18-(5*I18)))/Voorblad!L$3)))</f>
        <v>0</v>
      </c>
      <c r="L69" s="1592"/>
      <c r="M69" s="1592"/>
      <c r="N69" s="1592"/>
      <c r="O69" s="1592"/>
      <c r="P69" s="1592"/>
      <c r="Q69" s="505">
        <f>IF(P18=0,0,((DATE(Voorblad!D$3+1,1,1)-DATE(Voorblad!$D$3,(P18),J18))*(H18-(6*I18)))/Voorblad!L$3)</f>
        <v>0</v>
      </c>
      <c r="R69" s="576">
        <f>SUM(B69:Q69)</f>
        <v>0</v>
      </c>
      <c r="S69" s="571">
        <f t="shared" si="29"/>
        <v>0</v>
      </c>
      <c r="T69" s="439"/>
      <c r="U69"/>
      <c r="V69"/>
      <c r="W69"/>
      <c r="X69"/>
      <c r="Y69"/>
      <c r="Z69"/>
      <c r="AA69" s="506"/>
      <c r="AB69" s="506"/>
    </row>
    <row r="70" spans="1:28" s="503" customFormat="1" ht="12.75" customHeight="1">
      <c r="A70" s="1385">
        <f t="shared" si="32"/>
        <v>2912</v>
      </c>
      <c r="B70" s="1601">
        <f>IF(I19=0,H19,(((DATE(Voorblad!$D$3,K19,J19)-DATE(Voorblad!$D$3,1,1))*H19)/Voorblad!L$3))</f>
        <v>0</v>
      </c>
      <c r="C70" s="1601"/>
      <c r="D70" s="1592">
        <f>IF(K19=0,0,(IF(L19=0,((DATE(Voorblad!D$3+1,1,1)-DATE(Voorblad!$D$3,(K19),J19))*(H19-(1*I19)))/Voorblad!L$3,((DATE(Voorblad!$D$3,(L19),J19)-DATE(Voorblad!$D$3,(K19),J19))*(H19-(1*I19)))/Voorblad!L$3)))</f>
        <v>0</v>
      </c>
      <c r="E70" s="1592"/>
      <c r="F70" s="1592">
        <f>IF(L19=0,0,(IF(M19=0,((DATE(Voorblad!D$3+1,1,1)-DATE(Voorblad!$D$3,(L19),J19))*(H19-(2*I19)))/365,((DATE(Voorblad!$D$3,(M19),J19)-DATE(Voorblad!$D$3,(L19),J19))*(H19-(2*I19)))/Voorblad!L$3)))</f>
        <v>0</v>
      </c>
      <c r="G70" s="1592"/>
      <c r="H70" s="504">
        <f>IF(M19=0,0,(IF(N19=0,((DATE(Voorblad!D$3+1,1,1)-DATE(Voorblad!$D$3,(M19),J19))*(H19-(3*I19)))/Voorblad!L$3,((DATE(Voorblad!$D$3,(N19),J19)-DATE(Voorblad!$D$3,(M19),J19))*(H19-(3*I19)))/Voorblad!L$3)))</f>
        <v>0</v>
      </c>
      <c r="I70" s="1592">
        <f>IF(N19=0,0,(IF(O19=0,((DATE(Voorblad!D$3+1,1,1)-DATE(Voorblad!$D$3,(N19),J19))*(H19-(4*I19)))/Voorblad!L$3,((DATE(Voorblad!$D$3,(O19),J19)-DATE(Voorblad!$D$3,(N19),J19))*(H19-(4*I19)))/Voorblad!L$3)))</f>
        <v>0</v>
      </c>
      <c r="J70" s="1592"/>
      <c r="K70" s="1592">
        <f>IF(O19=0,0,(IF(P19=0,((DATE(Voorblad!D$3+1,1,1)-DATE(Voorblad!$D$3,(O19),J19))*(H19-(5*I19)))/Voorblad!L$3,((DATE(Voorblad!$D$3,(P19),J19)-DATE(Voorblad!$D$3,(O19),J19))*(H19-(5*I19)))/Voorblad!L$3)))</f>
        <v>0</v>
      </c>
      <c r="L70" s="1592"/>
      <c r="M70" s="1592"/>
      <c r="N70" s="1592"/>
      <c r="O70" s="1592"/>
      <c r="P70" s="1592"/>
      <c r="Q70" s="505">
        <f>IF(P19=0,0,((DATE(Voorblad!D$3+1,1,1)-DATE(Voorblad!$D$3,(P19),J19))*(H19-(6*I19)))/Voorblad!L$3)</f>
        <v>0</v>
      </c>
      <c r="R70" s="576">
        <f>SUM(B70:Q70)</f>
        <v>0</v>
      </c>
      <c r="S70" s="571">
        <f t="shared" si="29"/>
        <v>0</v>
      </c>
      <c r="T70" s="439"/>
      <c r="U70"/>
      <c r="V70"/>
      <c r="W70"/>
      <c r="X70"/>
      <c r="Y70"/>
      <c r="Z70"/>
      <c r="AA70" s="506"/>
      <c r="AB70" s="506"/>
    </row>
    <row r="71" spans="1:28" s="503" customFormat="1" ht="12.75" customHeight="1">
      <c r="A71" s="1385">
        <f t="shared" si="32"/>
        <v>2913</v>
      </c>
      <c r="B71" s="1601">
        <f>IF(I20=0,H20,(((DATE(Voorblad!$D$3,K20,J20)-DATE(Voorblad!$D$3,1,1))*H20)/Voorblad!L$3))</f>
        <v>0</v>
      </c>
      <c r="C71" s="1601"/>
      <c r="D71" s="1592">
        <f>IF(K20=0,0,(IF(L20=0,((DATE(Voorblad!D$3+1,1,1)-DATE(Voorblad!$D$3,(K20),J20))*(H20-(1*I20)))/Voorblad!L$3,((DATE(Voorblad!$D$3,(L20),J20)-DATE(Voorblad!$D$3,(K20),J20))*(H20-(1*I20)))/Voorblad!L$3)))</f>
        <v>0</v>
      </c>
      <c r="E71" s="1592"/>
      <c r="F71" s="1592">
        <f>IF(L20=0,0,(IF(M20=0,((DATE(Voorblad!D$3+1,1,1)-DATE(Voorblad!$D$3,(L20),J20))*(H20-(2*I20)))/365,((DATE(Voorblad!$D$3,(M20),J20)-DATE(Voorblad!$D$3,(L20),J20))*(H20-(2*I20)))/Voorblad!L$3)))</f>
        <v>0</v>
      </c>
      <c r="G71" s="1592"/>
      <c r="H71" s="504">
        <f>IF(M20=0,0,(IF(N20=0,((DATE(Voorblad!D$3+1,1,1)-DATE(Voorblad!$D$3,(M20),J20))*(H20-(3*I20)))/Voorblad!L$3,((DATE(Voorblad!$D$3,(N20),J20)-DATE(Voorblad!$D$3,(M20),J20))*(H20-(3*I20)))/Voorblad!L$3)))</f>
        <v>0</v>
      </c>
      <c r="I71" s="1592">
        <f>IF(N20=0,0,(IF(O20=0,((DATE(Voorblad!D$3+1,1,1)-DATE(Voorblad!$D$3,(N20),J20))*(H20-(4*I20)))/Voorblad!L$3,((DATE(Voorblad!$D$3,(O20),J20)-DATE(Voorblad!$D$3,(N20),J20))*(H20-(4*I20)))/Voorblad!L$3)))</f>
        <v>0</v>
      </c>
      <c r="J71" s="1592"/>
      <c r="K71" s="1592">
        <f>IF(O20=0,0,(IF(P20=0,((DATE(Voorblad!D$3+1,1,1)-DATE(Voorblad!$D$3,(O20),J20))*(H20-(5*I20)))/Voorblad!L$3,((DATE(Voorblad!$D$3,(P20),J20)-DATE(Voorblad!$D$3,(O20),J20))*(H20-(5*I20)))/Voorblad!L$3)))</f>
        <v>0</v>
      </c>
      <c r="L71" s="1592"/>
      <c r="M71" s="1592"/>
      <c r="N71" s="1592"/>
      <c r="O71" s="1592"/>
      <c r="P71" s="1592"/>
      <c r="Q71" s="505">
        <f>IF(P20=0,0,((DATE(Voorblad!D$3+1,1,1)-DATE(Voorblad!$D$3,(P20),J20))*(H20-(6*I20)))/Voorblad!L$3)</f>
        <v>0</v>
      </c>
      <c r="R71" s="576">
        <f>SUM(B71:Q71)</f>
        <v>0</v>
      </c>
      <c r="S71" s="571">
        <f t="shared" si="29"/>
        <v>0</v>
      </c>
      <c r="T71" s="439"/>
      <c r="U71"/>
      <c r="V71"/>
      <c r="W71"/>
      <c r="X71"/>
      <c r="Y71"/>
      <c r="Z71"/>
      <c r="AA71" s="506"/>
      <c r="AB71" s="506"/>
    </row>
    <row r="72" spans="1:28" s="503" customFormat="1" ht="12.75" customHeight="1">
      <c r="A72" s="1385">
        <f t="shared" si="32"/>
        <v>2914</v>
      </c>
      <c r="B72" s="1601">
        <f>IF(I21=0,H21,(((DATE(Voorblad!$D$3,K21,J21)-DATE(Voorblad!$D$3,1,1))*H21)/Voorblad!L$3))</f>
        <v>0</v>
      </c>
      <c r="C72" s="1601"/>
      <c r="D72" s="1592">
        <f>IF(K21=0,0,(IF(L21=0,((DATE(Voorblad!D$3+1,1,1)-DATE(Voorblad!$D$3,(K21),J21))*(H21-(1*I21)))/Voorblad!L$3,((DATE(Voorblad!$D$3,(L21),J21)-DATE(Voorblad!$D$3,(K21),J21))*(H21-(1*I21)))/Voorblad!L$3)))</f>
        <v>0</v>
      </c>
      <c r="E72" s="1592"/>
      <c r="F72" s="1592">
        <f>IF(L21=0,0,(IF(M21=0,((DATE(Voorblad!D$3+1,1,1)-DATE(Voorblad!$D$3,(L21),J21))*(H21-(2*I21)))/365,((DATE(Voorblad!$D$3,(M21),J21)-DATE(Voorblad!$D$3,(L21),J21))*(H21-(2*I21)))/Voorblad!L$3)))</f>
        <v>0</v>
      </c>
      <c r="G72" s="1592"/>
      <c r="H72" s="504">
        <f>IF(M21=0,0,(IF(N21=0,((DATE(Voorblad!D$3+1,1,1)-DATE(Voorblad!$D$3,(M21),J21))*(H21-(3*I21)))/Voorblad!L$3,((DATE(Voorblad!$D$3,(N21),J21)-DATE(Voorblad!$D$3,(M21),J21))*(H21-(3*I21)))/Voorblad!L$3)))</f>
        <v>0</v>
      </c>
      <c r="I72" s="1592">
        <f>IF(N21=0,0,(IF(O21=0,((DATE(Voorblad!D$3+1,1,1)-DATE(Voorblad!$D$3,(N21),J21))*(H21-(4*I21)))/Voorblad!L$3,((DATE(Voorblad!$D$3,(O21),J21)-DATE(Voorblad!$D$3,(N21),J21))*(H21-(4*I21)))/Voorblad!L$3)))</f>
        <v>0</v>
      </c>
      <c r="J72" s="1592"/>
      <c r="K72" s="1592">
        <f>IF(O21=0,0,(IF(P21=0,((DATE(Voorblad!D$3+1,1,1)-DATE(Voorblad!$D$3,(O21),J21))*(H21-(5*I21)))/Voorblad!L$3,((DATE(Voorblad!$D$3,(P21),J21)-DATE(Voorblad!$D$3,(O21),J21))*(H21-(5*I21)))/Voorblad!L$3)))</f>
        <v>0</v>
      </c>
      <c r="L72" s="1592"/>
      <c r="M72" s="1592"/>
      <c r="N72" s="1592"/>
      <c r="O72" s="1592"/>
      <c r="P72" s="1592"/>
      <c r="Q72" s="505">
        <f>IF(P21=0,0,((DATE(Voorblad!D$3+1,1,1)-DATE(Voorblad!$D$3,(P21),J21))*(H21-(6*I21)))/Voorblad!L$3)</f>
        <v>0</v>
      </c>
      <c r="R72" s="576">
        <f>SUM(B72:Q72)</f>
        <v>0</v>
      </c>
      <c r="S72" s="571">
        <f t="shared" si="29"/>
        <v>0</v>
      </c>
      <c r="T72" s="439"/>
      <c r="U72"/>
      <c r="V72"/>
      <c r="W72"/>
      <c r="X72"/>
      <c r="Y72"/>
      <c r="Z72"/>
      <c r="AA72" s="506"/>
      <c r="AB72" s="506"/>
    </row>
    <row r="73" spans="1:28" s="503" customFormat="1" ht="12.75" customHeight="1">
      <c r="A73" s="1385">
        <f t="shared" si="32"/>
        <v>2915</v>
      </c>
      <c r="B73" s="1601">
        <f>IF(I22=0,H22,(((DATE(Voorblad!$D$3,K22,J22)-DATE(Voorblad!$D$3,1,1))*H22)/Voorblad!L$3))</f>
        <v>0</v>
      </c>
      <c r="C73" s="1601"/>
      <c r="D73" s="1592">
        <f>IF(K22=0,0,(IF(L22=0,((DATE(Voorblad!D$3+1,1,1)-DATE(Voorblad!$D$3,(K22),J22))*(H22-(1*I22)))/Voorblad!L$3,((DATE(Voorblad!$D$3,(L22),J22)-DATE(Voorblad!$D$3,(K22),J22))*(H22-(1*I22)))/Voorblad!L$3)))</f>
        <v>0</v>
      </c>
      <c r="E73" s="1592"/>
      <c r="F73" s="1592">
        <f>IF(L22=0,0,(IF(M22=0,((DATE(Voorblad!D$3+1,1,1)-DATE(Voorblad!$D$3,(L22),J22))*(H22-(2*I22)))/365,((DATE(Voorblad!$D$3,(M22),J22)-DATE(Voorblad!$D$3,(L22),J22))*(H22-(2*I22)))/Voorblad!L$3)))</f>
        <v>0</v>
      </c>
      <c r="G73" s="1592"/>
      <c r="H73" s="504">
        <f>IF(M22=0,0,(IF(N22=0,((DATE(Voorblad!D$3+1,1,1)-DATE(Voorblad!$D$3,(M22),J22))*(H22-(3*I22)))/Voorblad!L$3,((DATE(Voorblad!$D$3,(N22),J22)-DATE(Voorblad!$D$3,(M22),J22))*(H22-(3*I22)))/Voorblad!L$3)))</f>
        <v>0</v>
      </c>
      <c r="I73" s="1592">
        <f>IF(N22=0,0,(IF(O22=0,((DATE(Voorblad!D$3+1,1,1)-DATE(Voorblad!$D$3,(N22),J22))*(H22-(4*I22)))/Voorblad!L$3,((DATE(Voorblad!$D$3,(O22),J22)-DATE(Voorblad!$D$3,(N22),J22))*(H22-(4*I22)))/Voorblad!L$3)))</f>
        <v>0</v>
      </c>
      <c r="J73" s="1592"/>
      <c r="K73" s="1592">
        <f>IF(O22=0,0,(IF(P22=0,((DATE(Voorblad!D$3+1,1,1)-DATE(Voorblad!$D$3,(O22),J22))*(H22-(5*I22)))/Voorblad!L$3,((DATE(Voorblad!$D$3,(P22),J22)-DATE(Voorblad!$D$3,(O22),J22))*(H22-(5*I22)))/Voorblad!L$3)))</f>
        <v>0</v>
      </c>
      <c r="L73" s="1592"/>
      <c r="M73" s="1592"/>
      <c r="N73" s="1592"/>
      <c r="O73" s="1592"/>
      <c r="P73" s="1592"/>
      <c r="Q73" s="505">
        <f>IF(P22=0,0,((DATE(Voorblad!D$3+1,1,1)-DATE(Voorblad!$D$3,(P22),J22))*(H22-(6*I22)))/Voorblad!L$3)</f>
        <v>0</v>
      </c>
      <c r="R73" s="576">
        <f>SUM(B73:Q73)</f>
        <v>0</v>
      </c>
      <c r="S73" s="571">
        <f t="shared" si="29"/>
        <v>0</v>
      </c>
      <c r="T73" s="439"/>
      <c r="U73"/>
      <c r="V73"/>
      <c r="W73"/>
      <c r="X73"/>
      <c r="Y73"/>
      <c r="Z73"/>
      <c r="AA73" s="506"/>
      <c r="AB73" s="506"/>
    </row>
    <row r="74" spans="1:28" s="503" customFormat="1" ht="12.75" customHeight="1">
      <c r="A74" s="1385">
        <f t="shared" si="32"/>
        <v>2916</v>
      </c>
      <c r="B74" s="1601">
        <f>IF(I23=0,H23,(((DATE(Voorblad!$D$3,K23,J23)-DATE(Voorblad!$D$3,1,1))*H23)/Voorblad!L$3))</f>
        <v>0</v>
      </c>
      <c r="C74" s="1601"/>
      <c r="D74" s="1592">
        <f>IF(K23=0,0,(IF(L23=0,((DATE(Voorblad!D$3+1,1,1)-DATE(Voorblad!$D$3,(K23),J23))*(H23-(1*I23)))/Voorblad!L$3,((DATE(Voorblad!$D$3,(L23),J23)-DATE(Voorblad!$D$3,(K23),J23))*(H23-(1*I23)))/Voorblad!L$3)))</f>
        <v>0</v>
      </c>
      <c r="E74" s="1592"/>
      <c r="F74" s="1592">
        <f>IF(L23=0,0,(IF(M23=0,((DATE(Voorblad!D$3+1,1,1)-DATE(Voorblad!$D$3,(L23),J23))*(H23-(2*I23)))/365,((DATE(Voorblad!$D$3,(M23),J23)-DATE(Voorblad!$D$3,(L23),J23))*(H23-(2*I23)))/Voorblad!L$3)))</f>
        <v>0</v>
      </c>
      <c r="G74" s="1592"/>
      <c r="H74" s="504">
        <f>IF(M23=0,0,(IF(N23=0,((DATE(Voorblad!D$3+1,1,1)-DATE(Voorblad!$D$3,(M23),J23))*(H23-(3*I23)))/Voorblad!L$3,((DATE(Voorblad!$D$3,(N23),J23)-DATE(Voorblad!$D$3,(M23),J23))*(H23-(3*I23)))/Voorblad!L$3)))</f>
        <v>0</v>
      </c>
      <c r="I74" s="1592">
        <f>IF(N23=0,0,(IF(O23=0,((DATE(Voorblad!D$3+1,1,1)-DATE(Voorblad!$D$3,(N23),J23))*(H23-(4*I23)))/Voorblad!L$3,((DATE(Voorblad!$D$3,(O23),J23)-DATE(Voorblad!$D$3,(N23),J23))*(H23-(4*I23)))/Voorblad!L$3)))</f>
        <v>0</v>
      </c>
      <c r="J74" s="1592"/>
      <c r="K74" s="1592">
        <f>IF(O23=0,0,(IF(P23=0,((DATE(Voorblad!D$3+1,1,1)-DATE(Voorblad!$D$3,(O23),J23))*(H23-(5*I23)))/Voorblad!L$3,((DATE(Voorblad!$D$3,(P23),J23)-DATE(Voorblad!$D$3,(O23),J23))*(H23-(5*I23)))/Voorblad!L$3)))</f>
        <v>0</v>
      </c>
      <c r="L74" s="1592"/>
      <c r="M74" s="1592"/>
      <c r="N74" s="1592"/>
      <c r="O74" s="1592"/>
      <c r="P74" s="1592"/>
      <c r="Q74" s="505">
        <f>IF(P23=0,0,((DATE(Voorblad!D$3+1,1,1)-DATE(Voorblad!$D$3,(P23),J23))*(H23-(6*I23)))/Voorblad!L$3)</f>
        <v>0</v>
      </c>
      <c r="R74" s="576">
        <f aca="true" t="shared" si="33" ref="R74:R85">SUM(B74:Q74)</f>
        <v>0</v>
      </c>
      <c r="S74" s="571">
        <f t="shared" si="29"/>
        <v>0</v>
      </c>
      <c r="T74" s="439"/>
      <c r="U74"/>
      <c r="V74"/>
      <c r="W74"/>
      <c r="X74"/>
      <c r="Y74"/>
      <c r="Z74"/>
      <c r="AA74" s="506">
        <f t="shared" si="30"/>
        <v>0</v>
      </c>
      <c r="AB74" s="506">
        <f t="shared" si="31"/>
        <v>0</v>
      </c>
    </row>
    <row r="75" spans="1:28" s="503" customFormat="1" ht="12.75" customHeight="1">
      <c r="A75" s="1385">
        <f t="shared" si="32"/>
        <v>2917</v>
      </c>
      <c r="B75" s="1601">
        <f>IF(I24=0,H24,(((DATE(Voorblad!$D$3,K24,J24)-DATE(Voorblad!$D$3,1,1))*H24)/Voorblad!L$3))</f>
        <v>0</v>
      </c>
      <c r="C75" s="1601"/>
      <c r="D75" s="1592">
        <f>IF(K24=0,0,(IF(L24=0,((DATE(Voorblad!D$3+1,1,1)-DATE(Voorblad!$D$3,(K24),J24))*(H24-(1*I24)))/Voorblad!L$3,((DATE(Voorblad!$D$3,(L24),J24)-DATE(Voorblad!$D$3,(K24),J24))*(H24-(1*I24)))/Voorblad!L$3)))</f>
        <v>0</v>
      </c>
      <c r="E75" s="1592"/>
      <c r="F75" s="1592">
        <f>IF(L24=0,0,(IF(M24=0,((DATE(Voorblad!D$3+1,1,1)-DATE(Voorblad!$D$3,(L24),J24))*(H24-(2*I24)))/365,((DATE(Voorblad!$D$3,(M24),J24)-DATE(Voorblad!$D$3,(L24),J24))*(H24-(2*I24)))/Voorblad!L$3)))</f>
        <v>0</v>
      </c>
      <c r="G75" s="1592"/>
      <c r="H75" s="504">
        <f>IF(M24=0,0,(IF(N24=0,((DATE(Voorblad!D$3+1,1,1)-DATE(Voorblad!$D$3,(M24),J24))*(H24-(3*I24)))/Voorblad!L$3,((DATE(Voorblad!$D$3,(N24),J24)-DATE(Voorblad!$D$3,(M24),J24))*(H24-(3*I24)))/Voorblad!L$3)))</f>
        <v>0</v>
      </c>
      <c r="I75" s="1592">
        <f>IF(N24=0,0,(IF(O24=0,((DATE(Voorblad!D$3+1,1,1)-DATE(Voorblad!$D$3,(N24),J24))*(H24-(4*I24)))/Voorblad!L$3,((DATE(Voorblad!$D$3,(O24),J24)-DATE(Voorblad!$D$3,(N24),J24))*(H24-(4*I24)))/Voorblad!L$3)))</f>
        <v>0</v>
      </c>
      <c r="J75" s="1592"/>
      <c r="K75" s="1592">
        <f>IF(O24=0,0,(IF(P24=0,((DATE(Voorblad!D$3+1,1,1)-DATE(Voorblad!$D$3,(O24),J24))*(H24-(5*I24)))/Voorblad!L$3,((DATE(Voorblad!$D$3,(P24),J24)-DATE(Voorblad!$D$3,(O24),J24))*(H24-(5*I24)))/Voorblad!L$3)))</f>
        <v>0</v>
      </c>
      <c r="L75" s="1592"/>
      <c r="M75" s="1592"/>
      <c r="N75" s="1592"/>
      <c r="O75" s="1592"/>
      <c r="P75" s="1592"/>
      <c r="Q75" s="505">
        <f>IF(P24=0,0,((DATE(Voorblad!D$3+1,1,1)-DATE(Voorblad!$D$3,(P24),J24))*(H24-(6*I24)))/Voorblad!L$3)</f>
        <v>0</v>
      </c>
      <c r="R75" s="576">
        <f t="shared" si="33"/>
        <v>0</v>
      </c>
      <c r="S75" s="571">
        <f t="shared" si="29"/>
        <v>0</v>
      </c>
      <c r="T75" s="439"/>
      <c r="U75"/>
      <c r="V75"/>
      <c r="W75"/>
      <c r="X75"/>
      <c r="Y75"/>
      <c r="Z75"/>
      <c r="AA75" s="506">
        <f t="shared" si="30"/>
        <v>0</v>
      </c>
      <c r="AB75" s="506">
        <f t="shared" si="31"/>
        <v>0</v>
      </c>
    </row>
    <row r="76" spans="1:28" s="503" customFormat="1" ht="12.75" customHeight="1">
      <c r="A76" s="1385">
        <f t="shared" si="32"/>
        <v>2918</v>
      </c>
      <c r="B76" s="1601">
        <f>IF(I25=0,H25,(((DATE(Voorblad!$D$3,K25,J25)-DATE(Voorblad!$D$3,1,1))*H25)/Voorblad!L$3))</f>
        <v>0</v>
      </c>
      <c r="C76" s="1601"/>
      <c r="D76" s="1592">
        <f>IF(K25=0,0,(IF(L25=0,((DATE(Voorblad!D$3+1,1,1)-DATE(Voorblad!$D$3,(K25),J25))*(H25-(1*I25)))/Voorblad!L$3,((DATE(Voorblad!$D$3,(L25),J25)-DATE(Voorblad!$D$3,(K25),J25))*(H25-(1*I25)))/Voorblad!L$3)))</f>
        <v>0</v>
      </c>
      <c r="E76" s="1592"/>
      <c r="F76" s="1592">
        <f>IF(L25=0,0,(IF(M25=0,((DATE(Voorblad!D$3+1,1,1)-DATE(Voorblad!$D$3,(L25),J25))*(H25-(2*I25)))/365,((DATE(Voorblad!$D$3,(M25),J25)-DATE(Voorblad!$D$3,(L25),J25))*(H25-(2*I25)))/Voorblad!L$3)))</f>
        <v>0</v>
      </c>
      <c r="G76" s="1592"/>
      <c r="H76" s="504">
        <f>IF(M25=0,0,(IF(N25=0,((DATE(Voorblad!D$3+1,1,1)-DATE(Voorblad!$D$3,(M25),J25))*(H25-(3*I25)))/Voorblad!L$3,((DATE(Voorblad!$D$3,(N25),J25)-DATE(Voorblad!$D$3,(M25),J25))*(H25-(3*I25)))/Voorblad!L$3)))</f>
        <v>0</v>
      </c>
      <c r="I76" s="1592">
        <f>IF(N25=0,0,(IF(O25=0,((DATE(Voorblad!D$3+1,1,1)-DATE(Voorblad!$D$3,(N25),J25))*(H25-(4*I25)))/Voorblad!L$3,((DATE(Voorblad!$D$3,(O25),J25)-DATE(Voorblad!$D$3,(N25),J25))*(H25-(4*I25)))/Voorblad!L$3)))</f>
        <v>0</v>
      </c>
      <c r="J76" s="1592"/>
      <c r="K76" s="1592">
        <f>IF(O25=0,0,(IF(P25=0,((DATE(Voorblad!D$3+1,1,1)-DATE(Voorblad!$D$3,(O25),J25))*(H25-(5*I25)))/Voorblad!L$3,((DATE(Voorblad!$D$3,(P25),J25)-DATE(Voorblad!$D$3,(O25),J25))*(H25-(5*I25)))/Voorblad!L$3)))</f>
        <v>0</v>
      </c>
      <c r="L76" s="1592"/>
      <c r="M76" s="1592"/>
      <c r="N76" s="1592"/>
      <c r="O76" s="1592"/>
      <c r="P76" s="1592"/>
      <c r="Q76" s="505">
        <f>IF(P25=0,0,((DATE(Voorblad!D$3+1,1,1)-DATE(Voorblad!$D$3,(P25),J25))*(H25-(6*I25)))/Voorblad!L$3)</f>
        <v>0</v>
      </c>
      <c r="R76" s="576">
        <f t="shared" si="33"/>
        <v>0</v>
      </c>
      <c r="S76" s="571">
        <f t="shared" si="29"/>
        <v>0</v>
      </c>
      <c r="T76" s="439"/>
      <c r="U76"/>
      <c r="V76"/>
      <c r="W76"/>
      <c r="X76"/>
      <c r="Y76"/>
      <c r="Z76"/>
      <c r="AA76" s="506">
        <f t="shared" si="30"/>
        <v>0</v>
      </c>
      <c r="AB76" s="506">
        <f t="shared" si="31"/>
        <v>0</v>
      </c>
    </row>
    <row r="77" spans="1:28" s="503" customFormat="1" ht="12.75" customHeight="1">
      <c r="A77" s="1385">
        <f t="shared" si="32"/>
        <v>2919</v>
      </c>
      <c r="B77" s="1601">
        <f>IF(I26=0,H26,(((DATE(Voorblad!$D$3,K26,J26)-DATE(Voorblad!$D$3,1,1))*H26)/Voorblad!L$3))</f>
        <v>0</v>
      </c>
      <c r="C77" s="1601"/>
      <c r="D77" s="1592">
        <f>IF(K26=0,0,(IF(L26=0,((DATE(Voorblad!D$3+1,1,1)-DATE(Voorblad!$D$3,(K26),J26))*(H26-(1*I26)))/Voorblad!L$3,((DATE(Voorblad!$D$3,(L26),J26)-DATE(Voorblad!$D$3,(K26),J26))*(H26-(1*I26)))/Voorblad!L$3)))</f>
        <v>0</v>
      </c>
      <c r="E77" s="1592"/>
      <c r="F77" s="1592">
        <f>IF(L26=0,0,(IF(M26=0,((DATE(Voorblad!D$3+1,1,1)-DATE(Voorblad!$D$3,(L26),J26))*(H26-(2*I26)))/365,((DATE(Voorblad!$D$3,(M26),J26)-DATE(Voorblad!$D$3,(L26),J26))*(H26-(2*I26)))/Voorblad!L$3)))</f>
        <v>0</v>
      </c>
      <c r="G77" s="1592"/>
      <c r="H77" s="504">
        <f>IF(M26=0,0,(IF(N26=0,((DATE(Voorblad!D$3+1,1,1)-DATE(Voorblad!$D$3,(M26),J26))*(H26-(3*I26)))/Voorblad!L$3,((DATE(Voorblad!$D$3,(N26),J26)-DATE(Voorblad!$D$3,(M26),J26))*(H26-(3*I26)))/Voorblad!L$3)))</f>
        <v>0</v>
      </c>
      <c r="I77" s="1592">
        <f>IF(N26=0,0,(IF(O26=0,((DATE(Voorblad!D$3+1,1,1)-DATE(Voorblad!$D$3,(N26),J26))*(H26-(4*I26)))/Voorblad!L$3,((DATE(Voorblad!$D$3,(O26),J26)-DATE(Voorblad!$D$3,(N26),J26))*(H26-(4*I26)))/Voorblad!L$3)))</f>
        <v>0</v>
      </c>
      <c r="J77" s="1592"/>
      <c r="K77" s="1592">
        <f>IF(O26=0,0,(IF(P26=0,((DATE(Voorblad!D$3+1,1,1)-DATE(Voorblad!$D$3,(O26),J26))*(H26-(5*I26)))/Voorblad!L$3,((DATE(Voorblad!$D$3,(P26),J26)-DATE(Voorblad!$D$3,(O26),J26))*(H26-(5*I26)))/Voorblad!L$3)))</f>
        <v>0</v>
      </c>
      <c r="L77" s="1592"/>
      <c r="M77" s="1592"/>
      <c r="N77" s="1592"/>
      <c r="O77" s="1592"/>
      <c r="P77" s="1592"/>
      <c r="Q77" s="505">
        <f>IF(P26=0,0,((DATE(Voorblad!D$3+1,1,1)-DATE(Voorblad!$D$3,(P26),J26))*(H26-(6*I26)))/Voorblad!L$3)</f>
        <v>0</v>
      </c>
      <c r="R77" s="576">
        <f t="shared" si="33"/>
        <v>0</v>
      </c>
      <c r="S77" s="571">
        <f t="shared" si="29"/>
        <v>0</v>
      </c>
      <c r="T77" s="439"/>
      <c r="U77"/>
      <c r="V77"/>
      <c r="W77"/>
      <c r="X77"/>
      <c r="Y77"/>
      <c r="Z77"/>
      <c r="AA77" s="506">
        <f t="shared" si="30"/>
        <v>0</v>
      </c>
      <c r="AB77" s="506">
        <f t="shared" si="31"/>
        <v>0</v>
      </c>
    </row>
    <row r="78" spans="1:28" s="503" customFormat="1" ht="12.75" customHeight="1">
      <c r="A78" s="1385">
        <f t="shared" si="32"/>
        <v>2920</v>
      </c>
      <c r="B78" s="1601">
        <f>IF(I27=0,H27,(((DATE(Voorblad!$D$3,K27,J27)-DATE(Voorblad!$D$3,1,1))*H27)/Voorblad!L$3))</f>
        <v>0</v>
      </c>
      <c r="C78" s="1601"/>
      <c r="D78" s="1592">
        <f>IF(K27=0,0,(IF(L27=0,((DATE(Voorblad!D$3+1,1,1)-DATE(Voorblad!$D$3,(K27),J27))*(H27-(1*I27)))/Voorblad!L$3,((DATE(Voorblad!$D$3,(L27),J27)-DATE(Voorblad!$D$3,(K27),J27))*(H27-(1*I27)))/Voorblad!L$3)))</f>
        <v>0</v>
      </c>
      <c r="E78" s="1592"/>
      <c r="F78" s="1592">
        <f>IF(L27=0,0,(IF(M27=0,((DATE(Voorblad!D$3+1,1,1)-DATE(Voorblad!$D$3,(L27),J27))*(H27-(2*I27)))/365,((DATE(Voorblad!$D$3,(M27),J27)-DATE(Voorblad!$D$3,(L27),J27))*(H27-(2*I27)))/Voorblad!L$3)))</f>
        <v>0</v>
      </c>
      <c r="G78" s="1592"/>
      <c r="H78" s="504">
        <f>IF(M27=0,0,(IF(N27=0,((DATE(Voorblad!D$3+1,1,1)-DATE(Voorblad!$D$3,(M27),J27))*(H27-(3*I27)))/Voorblad!L$3,((DATE(Voorblad!$D$3,(N27),J27)-DATE(Voorblad!$D$3,(M27),J27))*(H27-(3*I27)))/Voorblad!L$3)))</f>
        <v>0</v>
      </c>
      <c r="I78" s="1592">
        <f>IF(N27=0,0,(IF(O27=0,((DATE(Voorblad!D$3+1,1,1)-DATE(Voorblad!$D$3,(N27),J27))*(H27-(4*I27)))/Voorblad!L$3,((DATE(Voorblad!$D$3,(O27),J27)-DATE(Voorblad!$D$3,(N27),J27))*(H27-(4*I27)))/Voorblad!L$3)))</f>
        <v>0</v>
      </c>
      <c r="J78" s="1592"/>
      <c r="K78" s="1592">
        <f>IF(O27=0,0,(IF(P27=0,((DATE(Voorblad!D$3+1,1,1)-DATE(Voorblad!$D$3,(O27),J27))*(H27-(5*I27)))/Voorblad!L$3,((DATE(Voorblad!$D$3,(P27),J27)-DATE(Voorblad!$D$3,(O27),J27))*(H27-(5*I27)))/Voorblad!L$3)))</f>
        <v>0</v>
      </c>
      <c r="L78" s="1592"/>
      <c r="M78" s="1592"/>
      <c r="N78" s="1592"/>
      <c r="O78" s="1592"/>
      <c r="P78" s="1592"/>
      <c r="Q78" s="505">
        <f>IF(P27=0,0,((DATE(Voorblad!D$3+1,1,1)-DATE(Voorblad!$D$3,(P27),J27))*(H27-(6*I27)))/Voorblad!L$3)</f>
        <v>0</v>
      </c>
      <c r="R78" s="576">
        <f t="shared" si="33"/>
        <v>0</v>
      </c>
      <c r="S78" s="571">
        <f t="shared" si="29"/>
        <v>0</v>
      </c>
      <c r="T78" s="439"/>
      <c r="U78"/>
      <c r="V78"/>
      <c r="W78"/>
      <c r="X78"/>
      <c r="Y78"/>
      <c r="Z78"/>
      <c r="AA78" s="506">
        <f t="shared" si="30"/>
        <v>0</v>
      </c>
      <c r="AB78" s="506">
        <f t="shared" si="31"/>
        <v>0</v>
      </c>
    </row>
    <row r="79" spans="1:28" s="503" customFormat="1" ht="12.75" customHeight="1">
      <c r="A79" s="1385">
        <f t="shared" si="32"/>
        <v>2921</v>
      </c>
      <c r="B79" s="1601">
        <f>IF(I28=0,H28,(((DATE(Voorblad!$D$3,K28,J28)-DATE(Voorblad!$D$3,1,1))*H28)/Voorblad!L$3))</f>
        <v>0</v>
      </c>
      <c r="C79" s="1601"/>
      <c r="D79" s="1592">
        <f>IF(K28=0,0,(IF(L28=0,((DATE(Voorblad!D$3+1,1,1)-DATE(Voorblad!$D$3,(K28),J28))*(H28-(1*I28)))/Voorblad!L$3,((DATE(Voorblad!$D$3,(L28),J28)-DATE(Voorblad!$D$3,(K28),J28))*(H28-(1*I28)))/Voorblad!L$3)))</f>
        <v>0</v>
      </c>
      <c r="E79" s="1592"/>
      <c r="F79" s="1592">
        <f>IF(L28=0,0,(IF(M28=0,((DATE(Voorblad!D$3+1,1,1)-DATE(Voorblad!$D$3,(L28),J28))*(H28-(2*I28)))/365,((DATE(Voorblad!$D$3,(M28),J28)-DATE(Voorblad!$D$3,(L28),J28))*(H28-(2*I28)))/Voorblad!L$3)))</f>
        <v>0</v>
      </c>
      <c r="G79" s="1592"/>
      <c r="H79" s="504">
        <f>IF(M28=0,0,(IF(N28=0,((DATE(Voorblad!D$3+1,1,1)-DATE(Voorblad!$D$3,(M28),J28))*(H28-(3*I28)))/Voorblad!L$3,((DATE(Voorblad!$D$3,(N28),J28)-DATE(Voorblad!$D$3,(M28),J28))*(H28-(3*I28)))/Voorblad!L$3)))</f>
        <v>0</v>
      </c>
      <c r="I79" s="1592">
        <f>IF(N28=0,0,(IF(O28=0,((DATE(Voorblad!D$3+1,1,1)-DATE(Voorblad!$D$3,(N28),J28))*(H28-(4*I28)))/Voorblad!L$3,((DATE(Voorblad!$D$3,(O28),J28)-DATE(Voorblad!$D$3,(N28),J28))*(H28-(4*I28)))/Voorblad!L$3)))</f>
        <v>0</v>
      </c>
      <c r="J79" s="1592"/>
      <c r="K79" s="1592">
        <f>IF(O28=0,0,(IF(P28=0,((DATE(Voorblad!D$3+1,1,1)-DATE(Voorblad!$D$3,(O28),J28))*(H28-(5*I28)))/Voorblad!L$3,((DATE(Voorblad!$D$3,(P28),J28)-DATE(Voorblad!$D$3,(O28),J28))*(H28-(5*I28)))/Voorblad!L$3)))</f>
        <v>0</v>
      </c>
      <c r="L79" s="1592"/>
      <c r="M79" s="1592"/>
      <c r="N79" s="1592"/>
      <c r="O79" s="1592"/>
      <c r="P79" s="1592"/>
      <c r="Q79" s="505">
        <f>IF(P28=0,0,((DATE(Voorblad!D$3+1,1,1)-DATE(Voorblad!$D$3,(P28),J28))*(H28-(6*I28)))/Voorblad!L$3)</f>
        <v>0</v>
      </c>
      <c r="R79" s="576">
        <f t="shared" si="33"/>
        <v>0</v>
      </c>
      <c r="S79" s="571">
        <f t="shared" si="29"/>
        <v>0</v>
      </c>
      <c r="T79" s="439"/>
      <c r="U79"/>
      <c r="V79"/>
      <c r="W79"/>
      <c r="X79"/>
      <c r="Y79"/>
      <c r="Z79"/>
      <c r="AA79" s="506">
        <f t="shared" si="30"/>
        <v>0</v>
      </c>
      <c r="AB79" s="506">
        <f t="shared" si="31"/>
        <v>0</v>
      </c>
    </row>
    <row r="80" spans="1:28" s="503" customFormat="1" ht="12.75" customHeight="1">
      <c r="A80" s="1385">
        <f t="shared" si="32"/>
        <v>2922</v>
      </c>
      <c r="B80" s="1601">
        <f>IF(I29=0,H29,(((DATE(Voorblad!$D$3,K29,J29)-DATE(Voorblad!$D$3,1,1))*H29)/Voorblad!L$3))</f>
        <v>0</v>
      </c>
      <c r="C80" s="1601"/>
      <c r="D80" s="1592">
        <f>IF(K29=0,0,(IF(L29=0,((DATE(Voorblad!D$3+1,1,1)-DATE(Voorblad!$D$3,(K29),J29))*(H29-(1*I29)))/Voorblad!L$3,((DATE(Voorblad!$D$3,(L29),J29)-DATE(Voorblad!$D$3,(K29),J29))*(H29-(1*I29)))/Voorblad!L$3)))</f>
        <v>0</v>
      </c>
      <c r="E80" s="1592"/>
      <c r="F80" s="1592">
        <f>IF(L29=0,0,(IF(M29=0,((DATE(Voorblad!D$3+1,1,1)-DATE(Voorblad!$D$3,(L29),J29))*(H29-(2*I29)))/365,((DATE(Voorblad!$D$3,(M29),J29)-DATE(Voorblad!$D$3,(L29),J29))*(H29-(2*I29)))/Voorblad!L$3)))</f>
        <v>0</v>
      </c>
      <c r="G80" s="1592"/>
      <c r="H80" s="504">
        <f>IF(M29=0,0,(IF(N29=0,((DATE(Voorblad!D$3+1,1,1)-DATE(Voorblad!$D$3,(M29),J29))*(H29-(3*I29)))/Voorblad!L$3,((DATE(Voorblad!$D$3,(N29),J29)-DATE(Voorblad!$D$3,(M29),J29))*(H29-(3*I29)))/Voorblad!L$3)))</f>
        <v>0</v>
      </c>
      <c r="I80" s="1592">
        <f>IF(N29=0,0,(IF(O29=0,((DATE(Voorblad!D$3+1,1,1)-DATE(Voorblad!$D$3,(N29),J29))*(H29-(4*I29)))/Voorblad!L$3,((DATE(Voorblad!$D$3,(O29),J29)-DATE(Voorblad!$D$3,(N29),J29))*(H29-(4*I29)))/Voorblad!L$3)))</f>
        <v>0</v>
      </c>
      <c r="J80" s="1592"/>
      <c r="K80" s="1592">
        <f>IF(O29=0,0,(IF(P29=0,((DATE(Voorblad!D$3+1,1,1)-DATE(Voorblad!$D$3,(O29),J29))*(H29-(5*I29)))/Voorblad!L$3,((DATE(Voorblad!$D$3,(P29),J29)-DATE(Voorblad!$D$3,(O29),J29))*(H29-(5*I29)))/Voorblad!L$3)))</f>
        <v>0</v>
      </c>
      <c r="L80" s="1592"/>
      <c r="M80" s="1592"/>
      <c r="N80" s="1592"/>
      <c r="O80" s="1592"/>
      <c r="P80" s="1592"/>
      <c r="Q80" s="505">
        <f>IF(P29=0,0,((DATE(Voorblad!D$3+1,1,1)-DATE(Voorblad!$D$3,(P29),J29))*(H29-(6*I29)))/Voorblad!L$3)</f>
        <v>0</v>
      </c>
      <c r="R80" s="576">
        <f t="shared" si="33"/>
        <v>0</v>
      </c>
      <c r="S80" s="571">
        <f t="shared" si="29"/>
        <v>0</v>
      </c>
      <c r="T80" s="439"/>
      <c r="U80"/>
      <c r="V80"/>
      <c r="W80"/>
      <c r="X80"/>
      <c r="Y80"/>
      <c r="Z80"/>
      <c r="AA80" s="506">
        <f t="shared" si="30"/>
        <v>0</v>
      </c>
      <c r="AB80" s="506">
        <f t="shared" si="31"/>
        <v>0</v>
      </c>
    </row>
    <row r="81" spans="1:28" s="503" customFormat="1" ht="12.75" customHeight="1">
      <c r="A81" s="1385">
        <f t="shared" si="32"/>
        <v>2923</v>
      </c>
      <c r="B81" s="1601">
        <f>IF(I30=0,H30,(((DATE(Voorblad!$D$3,K30,J30)-DATE(Voorblad!$D$3,1,1))*H30)/Voorblad!L$3))</f>
        <v>0</v>
      </c>
      <c r="C81" s="1601"/>
      <c r="D81" s="1592">
        <f>IF(K30=0,0,(IF(L30=0,((DATE(Voorblad!D$3+1,1,1)-DATE(Voorblad!$D$3,(K30),J30))*(H30-(1*I30)))/Voorblad!L$3,((DATE(Voorblad!$D$3,(L30),J30)-DATE(Voorblad!$D$3,(K30),J30))*(H30-(1*I30)))/Voorblad!L$3)))</f>
        <v>0</v>
      </c>
      <c r="E81" s="1592"/>
      <c r="F81" s="1592">
        <f>IF(L30=0,0,(IF(M30=0,((DATE(Voorblad!D$3+1,1,1)-DATE(Voorblad!$D$3,(L30),J30))*(H30-(2*I30)))/365,((DATE(Voorblad!$D$3,(M30),J30)-DATE(Voorblad!$D$3,(L30),J30))*(H30-(2*I30)))/Voorblad!L$3)))</f>
        <v>0</v>
      </c>
      <c r="G81" s="1592"/>
      <c r="H81" s="504">
        <f>IF(M30=0,0,(IF(N30=0,((DATE(Voorblad!D$3+1,1,1)-DATE(Voorblad!$D$3,(M30),J30))*(H30-(3*I30)))/Voorblad!L$3,((DATE(Voorblad!$D$3,(N30),J30)-DATE(Voorblad!$D$3,(M30),J30))*(H30-(3*I30)))/Voorblad!L$3)))</f>
        <v>0</v>
      </c>
      <c r="I81" s="1592">
        <f>IF(N30=0,0,(IF(O30=0,((DATE(Voorblad!D$3+1,1,1)-DATE(Voorblad!$D$3,(N30),J30))*(H30-(4*I30)))/Voorblad!L$3,((DATE(Voorblad!$D$3,(O30),J30)-DATE(Voorblad!$D$3,(N30),J30))*(H30-(4*I30)))/Voorblad!L$3)))</f>
        <v>0</v>
      </c>
      <c r="J81" s="1592"/>
      <c r="K81" s="1592">
        <f>IF(O30=0,0,(IF(P30=0,((DATE(Voorblad!D$3+1,1,1)-DATE(Voorblad!$D$3,(O30),J30))*(H30-(5*I30)))/Voorblad!L$3,((DATE(Voorblad!$D$3,(P30),J30)-DATE(Voorblad!$D$3,(O30),J30))*(H30-(5*I30)))/Voorblad!L$3)))</f>
        <v>0</v>
      </c>
      <c r="L81" s="1592"/>
      <c r="M81" s="1592"/>
      <c r="N81" s="1592"/>
      <c r="O81" s="1592"/>
      <c r="P81" s="1592"/>
      <c r="Q81" s="505">
        <f>IF(P30=0,0,((DATE(Voorblad!D$3+1,1,1)-DATE(Voorblad!$D$3,(P30),J30))*(H30-(6*I30)))/Voorblad!L$3)</f>
        <v>0</v>
      </c>
      <c r="R81" s="576">
        <f t="shared" si="33"/>
        <v>0</v>
      </c>
      <c r="S81" s="571">
        <f t="shared" si="29"/>
        <v>0</v>
      </c>
      <c r="T81" s="439"/>
      <c r="U81"/>
      <c r="V81"/>
      <c r="W81"/>
      <c r="X81"/>
      <c r="Y81"/>
      <c r="Z81"/>
      <c r="AA81" s="506">
        <f t="shared" si="30"/>
        <v>0</v>
      </c>
      <c r="AB81" s="506">
        <f t="shared" si="31"/>
        <v>0</v>
      </c>
    </row>
    <row r="82" spans="1:28" s="503" customFormat="1" ht="12.75" customHeight="1">
      <c r="A82" s="1385">
        <f t="shared" si="32"/>
        <v>2924</v>
      </c>
      <c r="B82" s="1601">
        <f>IF(I31=0,H31,(((DATE(Voorblad!$D$3,K31,J31)-DATE(Voorblad!$D$3,1,1))*H31)/Voorblad!L$3))</f>
        <v>0</v>
      </c>
      <c r="C82" s="1601"/>
      <c r="D82" s="1592">
        <f>IF(K31=0,0,(IF(L31=0,((DATE(Voorblad!D$3+1,1,1)-DATE(Voorblad!$D$3,(K31),J31))*(H31-(1*I31)))/Voorblad!L$3,((DATE(Voorblad!$D$3,(L31),J31)-DATE(Voorblad!$D$3,(K31),J31))*(H31-(1*I31)))/Voorblad!L$3)))</f>
        <v>0</v>
      </c>
      <c r="E82" s="1592"/>
      <c r="F82" s="1592">
        <f>IF(L31=0,0,(IF(M31=0,((DATE(Voorblad!D$3+1,1,1)-DATE(Voorblad!$D$3,(L31),J31))*(H31-(2*I31)))/365,((DATE(Voorblad!$D$3,(M31),J31)-DATE(Voorblad!$D$3,(L31),J31))*(H31-(2*I31)))/Voorblad!L$3)))</f>
        <v>0</v>
      </c>
      <c r="G82" s="1592"/>
      <c r="H82" s="504">
        <f>IF(M31=0,0,(IF(N31=0,((DATE(Voorblad!D$3+1,1,1)-DATE(Voorblad!$D$3,(M31),J31))*(H31-(3*I31)))/Voorblad!L$3,((DATE(Voorblad!$D$3,(N31),J31)-DATE(Voorblad!$D$3,(M31),J31))*(H31-(3*I31)))/Voorblad!L$3)))</f>
        <v>0</v>
      </c>
      <c r="I82" s="1592">
        <f>IF(N31=0,0,(IF(O31=0,((DATE(Voorblad!D$3+1,1,1)-DATE(Voorblad!$D$3,(N31),J31))*(H31-(4*I31)))/Voorblad!L$3,((DATE(Voorblad!$D$3,(O31),J31)-DATE(Voorblad!$D$3,(N31),J31))*(H31-(4*I31)))/Voorblad!L$3)))</f>
        <v>0</v>
      </c>
      <c r="J82" s="1592"/>
      <c r="K82" s="1592">
        <f>IF(O31=0,0,(IF(P31=0,((DATE(Voorblad!D$3+1,1,1)-DATE(Voorblad!$D$3,(O31),J31))*(H31-(5*I31)))/Voorblad!L$3,((DATE(Voorblad!$D$3,(P31),J31)-DATE(Voorblad!$D$3,(O31),J31))*(H31-(5*I31)))/Voorblad!L$3)))</f>
        <v>0</v>
      </c>
      <c r="L82" s="1592"/>
      <c r="M82" s="1592"/>
      <c r="N82" s="1592"/>
      <c r="O82" s="1592"/>
      <c r="P82" s="1592"/>
      <c r="Q82" s="505">
        <f>IF(P31=0,0,((DATE(Voorblad!D$3+1,1,1)-DATE(Voorblad!$D$3,(P31),J31))*(H31-(6*I31)))/Voorblad!L$3)</f>
        <v>0</v>
      </c>
      <c r="R82" s="576">
        <f t="shared" si="33"/>
        <v>0</v>
      </c>
      <c r="S82" s="571">
        <f t="shared" si="29"/>
        <v>0</v>
      </c>
      <c r="T82" s="439"/>
      <c r="U82"/>
      <c r="V82"/>
      <c r="W82"/>
      <c r="X82"/>
      <c r="Y82"/>
      <c r="Z82"/>
      <c r="AA82" s="506">
        <f t="shared" si="30"/>
        <v>0</v>
      </c>
      <c r="AB82" s="506">
        <f t="shared" si="31"/>
        <v>0</v>
      </c>
    </row>
    <row r="83" spans="1:28" s="503" customFormat="1" ht="12.75" customHeight="1">
      <c r="A83" s="1385">
        <f t="shared" si="32"/>
        <v>2925</v>
      </c>
      <c r="B83" s="1601">
        <f>IF(I32=0,H32,(((DATE(Voorblad!$D$3,K32,J32)-DATE(Voorblad!$D$3,1,1))*H32)/Voorblad!L$3))</f>
        <v>0</v>
      </c>
      <c r="C83" s="1601"/>
      <c r="D83" s="1592">
        <f>IF(K32=0,0,(IF(L32=0,((DATE(Voorblad!D$3+1,1,1)-DATE(Voorblad!$D$3,(K32),J32))*(H32-(1*I32)))/Voorblad!L$3,((DATE(Voorblad!$D$3,(L32),J32)-DATE(Voorblad!$D$3,(K32),J32))*(H32-(1*I32)))/Voorblad!L$3)))</f>
        <v>0</v>
      </c>
      <c r="E83" s="1592"/>
      <c r="F83" s="1592">
        <f>IF(L32=0,0,(IF(M32=0,((DATE(Voorblad!D$3+1,1,1)-DATE(Voorblad!$D$3,(L32),J32))*(H32-(2*I32)))/365,((DATE(Voorblad!$D$3,(M32),J32)-DATE(Voorblad!$D$3,(L32),J32))*(H32-(2*I32)))/Voorblad!L$3)))</f>
        <v>0</v>
      </c>
      <c r="G83" s="1592"/>
      <c r="H83" s="504">
        <f>IF(M32=0,0,(IF(N32=0,((DATE(Voorblad!D$3+1,1,1)-DATE(Voorblad!$D$3,(M32),J32))*(H32-(3*I32)))/Voorblad!L$3,((DATE(Voorblad!$D$3,(N32),J32)-DATE(Voorblad!$D$3,(M32),J32))*(H32-(3*I32)))/Voorblad!L$3)))</f>
        <v>0</v>
      </c>
      <c r="I83" s="1592">
        <f>IF(N32=0,0,(IF(O32=0,((DATE(Voorblad!D$3+1,1,1)-DATE(Voorblad!$D$3,(N32),J32))*(H32-(4*I32)))/Voorblad!L$3,((DATE(Voorblad!$D$3,(O32),J32)-DATE(Voorblad!$D$3,(N32),J32))*(H32-(4*I32)))/Voorblad!L$3)))</f>
        <v>0</v>
      </c>
      <c r="J83" s="1592"/>
      <c r="K83" s="1592">
        <f>IF(O32=0,0,(IF(P32=0,((DATE(Voorblad!D$3+1,1,1)-DATE(Voorblad!$D$3,(O32),J32))*(H32-(5*I32)))/Voorblad!L$3,((DATE(Voorblad!$D$3,(P32),J32)-DATE(Voorblad!$D$3,(O32),J32))*(H32-(5*I32)))/Voorblad!L$3)))</f>
        <v>0</v>
      </c>
      <c r="L83" s="1592"/>
      <c r="M83" s="1592"/>
      <c r="N83" s="1592"/>
      <c r="O83" s="1592"/>
      <c r="P83" s="1592"/>
      <c r="Q83" s="505">
        <f>IF(P32=0,0,((DATE(Voorblad!D$3+1,1,1)-DATE(Voorblad!$D$3,(P32),J32))*(H32-(6*I32)))/Voorblad!L$3)</f>
        <v>0</v>
      </c>
      <c r="R83" s="576">
        <f t="shared" si="33"/>
        <v>0</v>
      </c>
      <c r="S83" s="571">
        <f t="shared" si="29"/>
        <v>0</v>
      </c>
      <c r="T83" s="439"/>
      <c r="U83"/>
      <c r="V83"/>
      <c r="W83"/>
      <c r="X83"/>
      <c r="Y83"/>
      <c r="Z83"/>
      <c r="AA83" s="506">
        <f t="shared" si="30"/>
        <v>0</v>
      </c>
      <c r="AB83" s="506">
        <f t="shared" si="31"/>
        <v>0</v>
      </c>
    </row>
    <row r="84" spans="1:28" s="503" customFormat="1" ht="12.75" customHeight="1">
      <c r="A84" s="1385">
        <f t="shared" si="32"/>
        <v>2926</v>
      </c>
      <c r="B84" s="1601">
        <f>IF(I33=0,H33,(((DATE(Voorblad!$D$3,K33,J33)-DATE(Voorblad!$D$3,1,1))*H33)/Voorblad!L$3))</f>
        <v>0</v>
      </c>
      <c r="C84" s="1601"/>
      <c r="D84" s="1592">
        <f>IF(K33=0,0,(IF(L33=0,((DATE(Voorblad!D$3+1,1,1)-DATE(Voorblad!$D$3,(K33),J33))*(H33-(1*I33)))/Voorblad!L$3,((DATE(Voorblad!$D$3,(L33),J33)-DATE(Voorblad!$D$3,(K33),J33))*(H33-(1*I33)))/Voorblad!L$3)))</f>
        <v>0</v>
      </c>
      <c r="E84" s="1592"/>
      <c r="F84" s="1592">
        <f>IF(L33=0,0,(IF(M33=0,((DATE(Voorblad!D$3+1,1,1)-DATE(Voorblad!$D$3,(L33),J33))*(H33-(2*I33)))/365,((DATE(Voorblad!$D$3,(M33),J33)-DATE(Voorblad!$D$3,(L33),J33))*(H33-(2*I33)))/Voorblad!L$3)))</f>
        <v>0</v>
      </c>
      <c r="G84" s="1592"/>
      <c r="H84" s="504">
        <f>IF(M33=0,0,(IF(N33=0,((DATE(Voorblad!D$3+1,1,1)-DATE(Voorblad!$D$3,(M33),J33))*(H33-(3*I33)))/Voorblad!L$3,((DATE(Voorblad!$D$3,(N33),J33)-DATE(Voorblad!$D$3,(M33),J33))*(H33-(3*I33)))/Voorblad!L$3)))</f>
        <v>0</v>
      </c>
      <c r="I84" s="1592">
        <f>IF(N33=0,0,(IF(O33=0,((DATE(Voorblad!D$3+1,1,1)-DATE(Voorblad!$D$3,(N33),J33))*(H33-(4*I33)))/Voorblad!L$3,((DATE(Voorblad!$D$3,(O33),J33)-DATE(Voorblad!$D$3,(N33),J33))*(H33-(4*I33)))/Voorblad!L$3)))</f>
        <v>0</v>
      </c>
      <c r="J84" s="1592"/>
      <c r="K84" s="1592">
        <f>IF(O33=0,0,(IF(P33=0,((DATE(Voorblad!D$3+1,1,1)-DATE(Voorblad!$D$3,(O33),J33))*(H33-(5*I33)))/Voorblad!L$3,((DATE(Voorblad!$D$3,(P33),J33)-DATE(Voorblad!$D$3,(O33),J33))*(H33-(5*I33)))/Voorblad!L$3)))</f>
        <v>0</v>
      </c>
      <c r="L84" s="1592"/>
      <c r="M84" s="1592"/>
      <c r="N84" s="1592"/>
      <c r="O84" s="1592"/>
      <c r="P84" s="1592"/>
      <c r="Q84" s="505">
        <f>IF(P33=0,0,((DATE(Voorblad!D$3+1,1,1)-DATE(Voorblad!$D$3,(P33),J33))*(H33-(6*I33)))/Voorblad!L$3)</f>
        <v>0</v>
      </c>
      <c r="R84" s="576">
        <f t="shared" si="33"/>
        <v>0</v>
      </c>
      <c r="S84" s="571">
        <f t="shared" si="29"/>
        <v>0</v>
      </c>
      <c r="T84" s="439"/>
      <c r="U84"/>
      <c r="V84"/>
      <c r="W84"/>
      <c r="X84"/>
      <c r="Y84"/>
      <c r="Z84"/>
      <c r="AA84" s="506">
        <f t="shared" si="30"/>
        <v>0</v>
      </c>
      <c r="AB84" s="506">
        <f t="shared" si="31"/>
        <v>0</v>
      </c>
    </row>
    <row r="85" spans="1:28" s="503" customFormat="1" ht="12.75" customHeight="1">
      <c r="A85" s="1385">
        <f t="shared" si="32"/>
        <v>2927</v>
      </c>
      <c r="B85" s="1602">
        <f>IF(I34=0,H34,(((DATE(Voorblad!$D$3,K34,J34)-DATE(Voorblad!$D$3,1,1))*H34)/Voorblad!L$3))</f>
        <v>0</v>
      </c>
      <c r="C85" s="1602"/>
      <c r="D85" s="1600">
        <f>IF(K34=0,0,(IF(L34=0,((DATE(Voorblad!D$3+1,1,1)-DATE(Voorblad!$D$3,(K34),J34))*(H34-(1*I34)))/Voorblad!L$3,((DATE(Voorblad!$D$3,(L34),J34)-DATE(Voorblad!$D$3,(K34),J34))*(H34-(1*I34)))/Voorblad!L$3)))</f>
        <v>0</v>
      </c>
      <c r="E85" s="1600"/>
      <c r="F85" s="1600">
        <f>IF(L34=0,0,(IF(M34=0,((DATE(Voorblad!D$3+1,1,1)-DATE(Voorblad!$D$3,(L34),J34))*(H34-(2*I34)))/365,((DATE(Voorblad!$D$3,(M34),J34)-DATE(Voorblad!$D$3,(L34),J34))*(H34-(2*I34)))/Voorblad!L$3)))</f>
        <v>0</v>
      </c>
      <c r="G85" s="1600"/>
      <c r="H85" s="753">
        <f>IF(M34=0,0,(IF(N34=0,((DATE(Voorblad!D$3+1,1,1)-DATE(Voorblad!$D$3,(M34),J34))*(H34-(3*I34)))/Voorblad!L$3,((DATE(Voorblad!$D$3,(N34),J34)-DATE(Voorblad!$D$3,(M34),J34))*(H34-(3*I34)))/Voorblad!L$3)))</f>
        <v>0</v>
      </c>
      <c r="I85" s="1600">
        <f>IF(N34=0,0,(IF(O34=0,((DATE(Voorblad!D$3+1,1,1)-DATE(Voorblad!$D$3,(N34),J34))*(H34-(4*I34)))/Voorblad!L$3,((DATE(Voorblad!$D$3,(O34),J34)-DATE(Voorblad!$D$3,(N34),J34))*(H34-(4*I34)))/Voorblad!L$3)))</f>
        <v>0</v>
      </c>
      <c r="J85" s="1600"/>
      <c r="K85" s="1600">
        <f>IF(O34=0,0,(IF(P34=0,((DATE(Voorblad!D$3+1,1,1)-DATE(Voorblad!$D$3,(O34),J34))*(H34-(5*I34)))/Voorblad!L$3,((DATE(Voorblad!$D$3,(P34),J34)-DATE(Voorblad!$D$3,(O34),J34))*(H34-(5*I34)))/Voorblad!L$3)))</f>
        <v>0</v>
      </c>
      <c r="L85" s="1600"/>
      <c r="M85" s="1600"/>
      <c r="N85" s="1600"/>
      <c r="O85" s="1600"/>
      <c r="P85" s="1600"/>
      <c r="Q85" s="754">
        <f>IF(P34=0,0,((DATE(Voorblad!D$3+1,1,1)-DATE(Voorblad!$D$3,(P34),J34))*(H34-(6*I34)))/Voorblad!L$3)</f>
        <v>0</v>
      </c>
      <c r="R85" s="758">
        <f t="shared" si="33"/>
        <v>0</v>
      </c>
      <c r="S85" s="571">
        <f t="shared" si="29"/>
        <v>0</v>
      </c>
      <c r="T85" s="439"/>
      <c r="U85"/>
      <c r="V85"/>
      <c r="W85"/>
      <c r="X85"/>
      <c r="Y85"/>
      <c r="Z85"/>
      <c r="AA85" s="506">
        <f t="shared" si="30"/>
        <v>0</v>
      </c>
      <c r="AB85" s="506">
        <f t="shared" si="31"/>
        <v>0</v>
      </c>
    </row>
    <row r="86" spans="1:28" s="503" customFormat="1" ht="12.75" customHeight="1">
      <c r="A86" s="1385">
        <f aca="true" t="shared" si="34" ref="A86:A94">A85+1</f>
        <v>2928</v>
      </c>
      <c r="B86" s="1602">
        <f>IF(I35=0,H35,(((DATE(Voorblad!$D$3,K35,J35)-DATE(Voorblad!$D$3,1,1))*H35)/Voorblad!L$3))</f>
        <v>0</v>
      </c>
      <c r="C86" s="1602"/>
      <c r="D86" s="1600">
        <f>IF(K35=0,0,(IF(L35=0,((DATE(Voorblad!D$3+1,1,1)-DATE(Voorblad!$D$3,(K35),J35))*(H35-(1*I35)))/Voorblad!L$3,((DATE(Voorblad!$D$3,(L35),J35)-DATE(Voorblad!$D$3,(K35),J35))*(H35-(1*I35)))/Voorblad!L$3)))</f>
        <v>0</v>
      </c>
      <c r="E86" s="1600"/>
      <c r="F86" s="1600">
        <f>IF(L35=0,0,(IF(M35=0,((DATE(Voorblad!D$3+1,1,1)-DATE(Voorblad!$D$3,(L35),J35))*(H35-(2*I35)))/365,((DATE(Voorblad!$D$3,(M35),J35)-DATE(Voorblad!$D$3,(L35),J35))*(H35-(2*I35)))/Voorblad!L$3)))</f>
        <v>0</v>
      </c>
      <c r="G86" s="1600"/>
      <c r="H86" s="753">
        <f>IF(M35=0,0,(IF(N35=0,((DATE(Voorblad!D$3+1,1,1)-DATE(Voorblad!$D$3,(M35),J35))*(H35-(3*I35)))/Voorblad!L$3,((DATE(Voorblad!$D$3,(N35),J35)-DATE(Voorblad!$D$3,(M35),J35))*(H35-(3*I35)))/Voorblad!L$3)))</f>
        <v>0</v>
      </c>
      <c r="I86" s="1600">
        <f>IF(N35=0,0,(IF(O35=0,((DATE(Voorblad!D$3+1,1,1)-DATE(Voorblad!$D$3,(N35),J35))*(H35-(4*I35)))/Voorblad!L$3,((DATE(Voorblad!$D$3,(O35),J35)-DATE(Voorblad!$D$3,(N35),J35))*(H35-(4*I35)))/Voorblad!L$3)))</f>
        <v>0</v>
      </c>
      <c r="J86" s="1600"/>
      <c r="K86" s="1600">
        <f>IF(O35=0,0,(IF(P35=0,((DATE(Voorblad!D$3+1,1,1)-DATE(Voorblad!$D$3,(O35),J35))*(H35-(5*I35)))/Voorblad!L$3,((DATE(Voorblad!$D$3,(P35),J35)-DATE(Voorblad!$D$3,(O35),J35))*(H35-(5*I35)))/Voorblad!L$3)))</f>
        <v>0</v>
      </c>
      <c r="L86" s="1600"/>
      <c r="M86" s="1600"/>
      <c r="N86" s="1600"/>
      <c r="O86" s="1600"/>
      <c r="P86" s="1600"/>
      <c r="Q86" s="754">
        <f>IF(P35=0,0,((DATE(Voorblad!D$3+1,1,1)-DATE(Voorblad!$D$3,(P35),J35))*(H35-(6*I35)))/Voorblad!L$3)</f>
        <v>0</v>
      </c>
      <c r="R86" s="758">
        <f aca="true" t="shared" si="35" ref="R86:R93">SUM(B86:Q86)</f>
        <v>0</v>
      </c>
      <c r="S86" s="571">
        <f t="shared" si="29"/>
        <v>0</v>
      </c>
      <c r="T86" s="439"/>
      <c r="U86"/>
      <c r="V86"/>
      <c r="W86"/>
      <c r="X86"/>
      <c r="Y86"/>
      <c r="Z86"/>
      <c r="AA86" s="506"/>
      <c r="AB86" s="506"/>
    </row>
    <row r="87" spans="1:28" s="503" customFormat="1" ht="12.75" customHeight="1">
      <c r="A87" s="1385">
        <f t="shared" si="34"/>
        <v>2929</v>
      </c>
      <c r="B87" s="1602">
        <f>IF(I36=0,H36,(((DATE(Voorblad!$D$3,K36,J36)-DATE(Voorblad!$D$3,1,1))*H36)/Voorblad!L$3))</f>
        <v>0</v>
      </c>
      <c r="C87" s="1602"/>
      <c r="D87" s="1600">
        <f>IF(K36=0,0,(IF(L36=0,((DATE(Voorblad!D$3+1,1,1)-DATE(Voorblad!$D$3,(K36),J36))*(H36-(1*I36)))/Voorblad!L$3,((DATE(Voorblad!$D$3,(L36),J36)-DATE(Voorblad!$D$3,(K36),J36))*(H36-(1*I36)))/Voorblad!L$3)))</f>
        <v>0</v>
      </c>
      <c r="E87" s="1600"/>
      <c r="F87" s="1600">
        <f>IF(L36=0,0,(IF(M36=0,((DATE(Voorblad!D$3+1,1,1)-DATE(Voorblad!$D$3,(L36),J36))*(H36-(2*I36)))/365,((DATE(Voorblad!$D$3,(M36),J36)-DATE(Voorblad!$D$3,(L36),J36))*(H36-(2*I36)))/Voorblad!L$3)))</f>
        <v>0</v>
      </c>
      <c r="G87" s="1600"/>
      <c r="H87" s="753">
        <f>IF(M36=0,0,(IF(N36=0,((DATE(Voorblad!D$3+1,1,1)-DATE(Voorblad!$D$3,(M36),J36))*(H36-(3*I36)))/Voorblad!L$3,((DATE(Voorblad!$D$3,(N36),J36)-DATE(Voorblad!$D$3,(M36),J36))*(H36-(3*I36)))/Voorblad!L$3)))</f>
        <v>0</v>
      </c>
      <c r="I87" s="1600">
        <f>IF(N36=0,0,(IF(O36=0,((DATE(Voorblad!D$3+1,1,1)-DATE(Voorblad!$D$3,(N36),J36))*(H36-(4*I36)))/Voorblad!L$3,((DATE(Voorblad!$D$3,(O36),J36)-DATE(Voorblad!$D$3,(N36),J36))*(H36-(4*I36)))/Voorblad!L$3)))</f>
        <v>0</v>
      </c>
      <c r="J87" s="1600"/>
      <c r="K87" s="1600">
        <f>IF(O36=0,0,(IF(P36=0,((DATE(Voorblad!D$3+1,1,1)-DATE(Voorblad!$D$3,(O36),J36))*(H36-(5*I36)))/Voorblad!L$3,((DATE(Voorblad!$D$3,(P36),J36)-DATE(Voorblad!$D$3,(O36),J36))*(H36-(5*I36)))/Voorblad!L$3)))</f>
        <v>0</v>
      </c>
      <c r="L87" s="1600"/>
      <c r="M87" s="1600"/>
      <c r="N87" s="1600"/>
      <c r="O87" s="1600"/>
      <c r="P87" s="1600"/>
      <c r="Q87" s="754">
        <f>IF(P36=0,0,((DATE(Voorblad!D$3+1,1,1)-DATE(Voorblad!$D$3,(P36),J36))*(H36-(6*I36)))/Voorblad!L$3)</f>
        <v>0</v>
      </c>
      <c r="R87" s="758">
        <f t="shared" si="35"/>
        <v>0</v>
      </c>
      <c r="S87" s="571">
        <f t="shared" si="29"/>
        <v>0</v>
      </c>
      <c r="T87" s="439"/>
      <c r="U87"/>
      <c r="V87"/>
      <c r="W87"/>
      <c r="X87"/>
      <c r="Y87"/>
      <c r="Z87"/>
      <c r="AA87" s="506"/>
      <c r="AB87" s="506"/>
    </row>
    <row r="88" spans="1:28" s="503" customFormat="1" ht="12.75" customHeight="1">
      <c r="A88" s="1385">
        <f t="shared" si="34"/>
        <v>2930</v>
      </c>
      <c r="B88" s="1602">
        <f>IF(I37=0,H37,(((DATE(Voorblad!$D$3,K37,J37)-DATE(Voorblad!$D$3,1,1))*H37)/Voorblad!L$3))</f>
        <v>0</v>
      </c>
      <c r="C88" s="1602"/>
      <c r="D88" s="1600">
        <f>IF(K37=0,0,(IF(L37=0,((DATE(Voorblad!D$3+1,1,1)-DATE(Voorblad!$D$3,(K37),J37))*(H37-(1*I37)))/Voorblad!L$3,((DATE(Voorblad!$D$3,(L37),J37)-DATE(Voorblad!$D$3,(K37),J37))*(H37-(1*I37)))/Voorblad!L$3)))</f>
        <v>0</v>
      </c>
      <c r="E88" s="1600"/>
      <c r="F88" s="1600">
        <f>IF(L37=0,0,(IF(M37=0,((DATE(Voorblad!D$3+1,1,1)-DATE(Voorblad!$D$3,(L37),J37))*(H37-(2*I37)))/365,((DATE(Voorblad!$D$3,(M37),J37)-DATE(Voorblad!$D$3,(L37),J37))*(H37-(2*I37)))/Voorblad!L$3)))</f>
        <v>0</v>
      </c>
      <c r="G88" s="1600"/>
      <c r="H88" s="753">
        <f>IF(M37=0,0,(IF(N37=0,((DATE(Voorblad!D$3+1,1,1)-DATE(Voorblad!$D$3,(M37),J37))*(H37-(3*I37)))/Voorblad!L$3,((DATE(Voorblad!$D$3,(N37),J37)-DATE(Voorblad!$D$3,(M37),J37))*(H37-(3*I37)))/Voorblad!L$3)))</f>
        <v>0</v>
      </c>
      <c r="I88" s="1600">
        <f>IF(N37=0,0,(IF(O37=0,((DATE(Voorblad!D$3+1,1,1)-DATE(Voorblad!$D$3,(N37),J37))*(H37-(4*I37)))/Voorblad!L$3,((DATE(Voorblad!$D$3,(O37),J37)-DATE(Voorblad!$D$3,(N37),J37))*(H37-(4*I37)))/Voorblad!L$3)))</f>
        <v>0</v>
      </c>
      <c r="J88" s="1600"/>
      <c r="K88" s="1600">
        <f>IF(O37=0,0,(IF(P37=0,((DATE(Voorblad!D$3+1,1,1)-DATE(Voorblad!$D$3,(O37),J37))*(H37-(5*I37)))/Voorblad!L$3,((DATE(Voorblad!$D$3,(P37),J37)-DATE(Voorblad!$D$3,(O37),J37))*(H37-(5*I37)))/Voorblad!L$3)))</f>
        <v>0</v>
      </c>
      <c r="L88" s="1600"/>
      <c r="M88" s="1600"/>
      <c r="N88" s="1600"/>
      <c r="O88" s="1600"/>
      <c r="P88" s="1600"/>
      <c r="Q88" s="754">
        <f>IF(P37=0,0,((DATE(Voorblad!D$3+1,1,1)-DATE(Voorblad!$D$3,(P37),J37))*(H37-(6*I37)))/Voorblad!L$3)</f>
        <v>0</v>
      </c>
      <c r="R88" s="758">
        <f t="shared" si="35"/>
        <v>0</v>
      </c>
      <c r="S88" s="571">
        <f t="shared" si="29"/>
        <v>0</v>
      </c>
      <c r="T88" s="439"/>
      <c r="U88"/>
      <c r="V88"/>
      <c r="W88"/>
      <c r="X88"/>
      <c r="Y88"/>
      <c r="Z88"/>
      <c r="AA88" s="506"/>
      <c r="AB88" s="506"/>
    </row>
    <row r="89" spans="1:28" s="503" customFormat="1" ht="12.75" customHeight="1">
      <c r="A89" s="1385">
        <f t="shared" si="34"/>
        <v>2931</v>
      </c>
      <c r="B89" s="1602">
        <f>IF(I38=0,H38,(((DATE(Voorblad!$D$3,K38,J38)-DATE(Voorblad!$D$3,1,1))*H38)/Voorblad!L$3))</f>
        <v>0</v>
      </c>
      <c r="C89" s="1602"/>
      <c r="D89" s="1600">
        <f>IF(K38=0,0,(IF(L38=0,((DATE(Voorblad!D$3+1,1,1)-DATE(Voorblad!$D$3,(K38),J38))*(H38-(1*I38)))/Voorblad!L$3,((DATE(Voorblad!$D$3,(L38),J38)-DATE(Voorblad!$D$3,(K38),J38))*(H38-(1*I38)))/Voorblad!L$3)))</f>
        <v>0</v>
      </c>
      <c r="E89" s="1600"/>
      <c r="F89" s="1600">
        <f>IF(L38=0,0,(IF(M38=0,((DATE(Voorblad!D$3+1,1,1)-DATE(Voorblad!$D$3,(L38),J38))*(H38-(2*I38)))/365,((DATE(Voorblad!$D$3,(M38),J38)-DATE(Voorblad!$D$3,(L38),J38))*(H38-(2*I38)))/Voorblad!L$3)))</f>
        <v>0</v>
      </c>
      <c r="G89" s="1600"/>
      <c r="H89" s="753">
        <f>IF(M38=0,0,(IF(N38=0,((DATE(Voorblad!D$3+1,1,1)-DATE(Voorblad!$D$3,(M38),J38))*(H38-(3*I38)))/Voorblad!L$3,((DATE(Voorblad!$D$3,(N38),J38)-DATE(Voorblad!$D$3,(M38),J38))*(H38-(3*I38)))/Voorblad!L$3)))</f>
        <v>0</v>
      </c>
      <c r="I89" s="1600">
        <f>IF(N38=0,0,(IF(O38=0,((DATE(Voorblad!D$3+1,1,1)-DATE(Voorblad!$D$3,(N38),J38))*(H38-(4*I38)))/Voorblad!L$3,((DATE(Voorblad!$D$3,(O38),J38)-DATE(Voorblad!$D$3,(N38),J38))*(H38-(4*I38)))/Voorblad!L$3)))</f>
        <v>0</v>
      </c>
      <c r="J89" s="1600"/>
      <c r="K89" s="1600">
        <f>IF(O38=0,0,(IF(P38=0,((DATE(Voorblad!D$3+1,1,1)-DATE(Voorblad!$D$3,(O38),J38))*(H38-(5*I38)))/Voorblad!L$3,((DATE(Voorblad!$D$3,(P38),J38)-DATE(Voorblad!$D$3,(O38),J38))*(H38-(5*I38)))/Voorblad!L$3)))</f>
        <v>0</v>
      </c>
      <c r="L89" s="1600"/>
      <c r="M89" s="1600"/>
      <c r="N89" s="1600"/>
      <c r="O89" s="1600"/>
      <c r="P89" s="1600"/>
      <c r="Q89" s="754">
        <f>IF(P38=0,0,((DATE(Voorblad!D$3+1,1,1)-DATE(Voorblad!$D$3,(P38),J38))*(H38-(6*I38)))/Voorblad!L$3)</f>
        <v>0</v>
      </c>
      <c r="R89" s="758">
        <f t="shared" si="35"/>
        <v>0</v>
      </c>
      <c r="S89" s="571">
        <f t="shared" si="29"/>
        <v>0</v>
      </c>
      <c r="T89" s="439"/>
      <c r="U89"/>
      <c r="V89"/>
      <c r="W89"/>
      <c r="X89"/>
      <c r="Y89"/>
      <c r="Z89"/>
      <c r="AA89" s="506"/>
      <c r="AB89" s="506"/>
    </row>
    <row r="90" spans="1:28" s="503" customFormat="1" ht="12.75" customHeight="1">
      <c r="A90" s="1385">
        <f t="shared" si="34"/>
        <v>2932</v>
      </c>
      <c r="B90" s="1602">
        <f>IF(I39=0,H39,(((DATE(Voorblad!$D$3,K39,J39)-DATE(Voorblad!$D$3,1,1))*H39)/Voorblad!L$3))</f>
        <v>0</v>
      </c>
      <c r="C90" s="1602"/>
      <c r="D90" s="1600">
        <f>IF(K39=0,0,(IF(L39=0,((DATE(Voorblad!D$3+1,1,1)-DATE(Voorblad!$D$3,(K39),J39))*(H39-(1*I39)))/Voorblad!L$3,((DATE(Voorblad!$D$3,(L39),J39)-DATE(Voorblad!$D$3,(K39),J39))*(H39-(1*I39)))/Voorblad!L$3)))</f>
        <v>0</v>
      </c>
      <c r="E90" s="1600"/>
      <c r="F90" s="1600">
        <f>IF(L39=0,0,(IF(M39=0,((DATE(Voorblad!D$3+1,1,1)-DATE(Voorblad!$D$3,(L39),J39))*(H39-(2*I39)))/365,((DATE(Voorblad!$D$3,(M39),J39)-DATE(Voorblad!$D$3,(L39),J39))*(H39-(2*I39)))/Voorblad!L$3)))</f>
        <v>0</v>
      </c>
      <c r="G90" s="1600"/>
      <c r="H90" s="753">
        <f>IF(M39=0,0,(IF(N39=0,((DATE(Voorblad!D$3+1,1,1)-DATE(Voorblad!$D$3,(M39),J39))*(H39-(3*I39)))/Voorblad!L$3,((DATE(Voorblad!$D$3,(N39),J39)-DATE(Voorblad!$D$3,(M39),J39))*(H39-(3*I39)))/Voorblad!L$3)))</f>
        <v>0</v>
      </c>
      <c r="I90" s="1600">
        <f>IF(N39=0,0,(IF(O39=0,((DATE(Voorblad!D$3+1,1,1)-DATE(Voorblad!$D$3,(N39),J39))*(H39-(4*I39)))/Voorblad!L$3,((DATE(Voorblad!$D$3,(O39),J39)-DATE(Voorblad!$D$3,(N39),J39))*(H39-(4*I39)))/Voorblad!L$3)))</f>
        <v>0</v>
      </c>
      <c r="J90" s="1600"/>
      <c r="K90" s="1600">
        <f>IF(O39=0,0,(IF(P39=0,((DATE(Voorblad!D$3+1,1,1)-DATE(Voorblad!$D$3,(O39),J39))*(H39-(5*I39)))/Voorblad!L$3,((DATE(Voorblad!$D$3,(P39),J39)-DATE(Voorblad!$D$3,(O39),J39))*(H39-(5*I39)))/Voorblad!L$3)))</f>
        <v>0</v>
      </c>
      <c r="L90" s="1600"/>
      <c r="M90" s="1600"/>
      <c r="N90" s="1600"/>
      <c r="O90" s="1600"/>
      <c r="P90" s="1600"/>
      <c r="Q90" s="754">
        <f>IF(P39=0,0,((DATE(Voorblad!D$3+1,1,1)-DATE(Voorblad!$D$3,(P39),J39))*(H39-(6*I39)))/Voorblad!L$3)</f>
        <v>0</v>
      </c>
      <c r="R90" s="758">
        <f t="shared" si="35"/>
        <v>0</v>
      </c>
      <c r="S90" s="571">
        <f t="shared" si="29"/>
        <v>0</v>
      </c>
      <c r="T90" s="439"/>
      <c r="U90"/>
      <c r="V90"/>
      <c r="W90"/>
      <c r="X90"/>
      <c r="Y90"/>
      <c r="Z90"/>
      <c r="AA90" s="506"/>
      <c r="AB90" s="506"/>
    </row>
    <row r="91" spans="1:28" s="503" customFormat="1" ht="12.75" customHeight="1">
      <c r="A91" s="1385">
        <f t="shared" si="34"/>
        <v>2933</v>
      </c>
      <c r="B91" s="1602">
        <f>IF(I40=0,H40,(((DATE(Voorblad!$D$3,K40,J40)-DATE(Voorblad!$D$3,1,1))*H40)/Voorblad!L$3))</f>
        <v>0</v>
      </c>
      <c r="C91" s="1602"/>
      <c r="D91" s="1600">
        <f>IF(K40=0,0,(IF(L40=0,((DATE(Voorblad!D$3+1,1,1)-DATE(Voorblad!$D$3,(K40),J40))*(H40-(1*I40)))/Voorblad!L$3,((DATE(Voorblad!$D$3,(L40),J40)-DATE(Voorblad!$D$3,(K40),J40))*(H40-(1*I40)))/Voorblad!L$3)))</f>
        <v>0</v>
      </c>
      <c r="E91" s="1600"/>
      <c r="F91" s="1600">
        <f>IF(L40=0,0,(IF(M40=0,((DATE(Voorblad!D$3+1,1,1)-DATE(Voorblad!$D$3,(L40),J40))*(H40-(2*I40)))/365,((DATE(Voorblad!$D$3,(M40),J40)-DATE(Voorblad!$D$3,(L40),J40))*(H40-(2*I40)))/Voorblad!L$3)))</f>
        <v>0</v>
      </c>
      <c r="G91" s="1600"/>
      <c r="H91" s="753">
        <f>IF(M40=0,0,(IF(N40=0,((DATE(Voorblad!D$3+1,1,1)-DATE(Voorblad!$D$3,(M40),J40))*(H40-(3*I40)))/Voorblad!L$3,((DATE(Voorblad!$D$3,(N40),J40)-DATE(Voorblad!$D$3,(M40),J40))*(H40-(3*I40)))/Voorblad!L$3)))</f>
        <v>0</v>
      </c>
      <c r="I91" s="1600">
        <f>IF(N40=0,0,(IF(O40=0,((DATE(Voorblad!D$3+1,1,1)-DATE(Voorblad!$D$3,(N40),J40))*(H40-(4*I40)))/Voorblad!L$3,((DATE(Voorblad!$D$3,(O40),J40)-DATE(Voorblad!$D$3,(N40),J40))*(H40-(4*I40)))/Voorblad!L$3)))</f>
        <v>0</v>
      </c>
      <c r="J91" s="1600"/>
      <c r="K91" s="1600">
        <f>IF(O40=0,0,(IF(P40=0,((DATE(Voorblad!D$3+1,1,1)-DATE(Voorblad!$D$3,(O40),J40))*(H40-(5*I40)))/Voorblad!L$3,((DATE(Voorblad!$D$3,(P40),J40)-DATE(Voorblad!$D$3,(O40),J40))*(H40-(5*I40)))/Voorblad!L$3)))</f>
        <v>0</v>
      </c>
      <c r="L91" s="1600"/>
      <c r="M91" s="1600"/>
      <c r="N91" s="1600"/>
      <c r="O91" s="1600"/>
      <c r="P91" s="1600"/>
      <c r="Q91" s="754">
        <f>IF(P40=0,0,((DATE(Voorblad!D$3+1,1,1)-DATE(Voorblad!$D$3,(P40),J40))*(H40-(6*I40)))/Voorblad!L$3)</f>
        <v>0</v>
      </c>
      <c r="R91" s="758">
        <f t="shared" si="35"/>
        <v>0</v>
      </c>
      <c r="S91" s="571">
        <f t="shared" si="29"/>
        <v>0</v>
      </c>
      <c r="T91" s="439"/>
      <c r="U91"/>
      <c r="V91"/>
      <c r="W91"/>
      <c r="X91"/>
      <c r="Y91"/>
      <c r="Z91"/>
      <c r="AA91" s="506"/>
      <c r="AB91" s="506"/>
    </row>
    <row r="92" spans="1:28" s="503" customFormat="1" ht="12.75" customHeight="1">
      <c r="A92" s="1385">
        <f t="shared" si="34"/>
        <v>2934</v>
      </c>
      <c r="B92" s="1602">
        <f>IF(I41=0,H41,(((DATE(Voorblad!$D$3,K41,J41)-DATE(Voorblad!$D$3,1,1))*H41)/Voorblad!L$3))</f>
        <v>0</v>
      </c>
      <c r="C92" s="1602"/>
      <c r="D92" s="1600">
        <f>IF(K41=0,0,(IF(L41=0,((DATE(Voorblad!D$3+1,1,1)-DATE(Voorblad!$D$3,(K41),J41))*(H41-(1*I41)))/Voorblad!L$3,((DATE(Voorblad!$D$3,(L41),J41)-DATE(Voorblad!$D$3,(K41),J41))*(H41-(1*I41)))/Voorblad!L$3)))</f>
        <v>0</v>
      </c>
      <c r="E92" s="1600"/>
      <c r="F92" s="1600">
        <f>IF(L41=0,0,(IF(M41=0,((DATE(Voorblad!D$3+1,1,1)-DATE(Voorblad!$D$3,(L41),J41))*(H41-(2*I41)))/365,((DATE(Voorblad!$D$3,(M41),J41)-DATE(Voorblad!$D$3,(L41),J41))*(H41-(2*I41)))/Voorblad!L$3)))</f>
        <v>0</v>
      </c>
      <c r="G92" s="1600"/>
      <c r="H92" s="753">
        <f>IF(M41=0,0,(IF(N41=0,((DATE(Voorblad!D$3+1,1,1)-DATE(Voorblad!$D$3,(M41),J41))*(H41-(3*I41)))/Voorblad!L$3,((DATE(Voorblad!$D$3,(N41),J41)-DATE(Voorblad!$D$3,(M41),J41))*(H41-(3*I41)))/Voorblad!L$3)))</f>
        <v>0</v>
      </c>
      <c r="I92" s="1600">
        <f>IF(N41=0,0,(IF(O41=0,((DATE(Voorblad!D$3+1,1,1)-DATE(Voorblad!$D$3,(N41),J41))*(H41-(4*I41)))/Voorblad!L$3,((DATE(Voorblad!$D$3,(O41),J41)-DATE(Voorblad!$D$3,(N41),J41))*(H41-(4*I41)))/Voorblad!L$3)))</f>
        <v>0</v>
      </c>
      <c r="J92" s="1600"/>
      <c r="K92" s="1600">
        <f>IF(O41=0,0,(IF(P41=0,((DATE(Voorblad!D$3+1,1,1)-DATE(Voorblad!$D$3,(O41),J41))*(H41-(5*I41)))/Voorblad!L$3,((DATE(Voorblad!$D$3,(P41),J41)-DATE(Voorblad!$D$3,(O41),J41))*(H41-(5*I41)))/Voorblad!L$3)))</f>
        <v>0</v>
      </c>
      <c r="L92" s="1600"/>
      <c r="M92" s="1600"/>
      <c r="N92" s="1600"/>
      <c r="O92" s="1600"/>
      <c r="P92" s="1600"/>
      <c r="Q92" s="754">
        <f>IF(P41=0,0,((DATE(Voorblad!D$3+1,1,1)-DATE(Voorblad!$D$3,(P41),J41))*(H41-(6*I41)))/Voorblad!L$3)</f>
        <v>0</v>
      </c>
      <c r="R92" s="758">
        <f t="shared" si="35"/>
        <v>0</v>
      </c>
      <c r="S92" s="571">
        <f t="shared" si="29"/>
        <v>0</v>
      </c>
      <c r="T92" s="439"/>
      <c r="U92"/>
      <c r="V92"/>
      <c r="W92"/>
      <c r="X92"/>
      <c r="Y92"/>
      <c r="Z92"/>
      <c r="AA92" s="506"/>
      <c r="AB92" s="506"/>
    </row>
    <row r="93" spans="1:28" s="503" customFormat="1" ht="12.75" customHeight="1">
      <c r="A93" s="1385">
        <f t="shared" si="34"/>
        <v>2935</v>
      </c>
      <c r="B93" s="1602">
        <f>IF(I42=0,H42,(((DATE(Voorblad!$D$3,K42,J42)-DATE(Voorblad!$D$3,1,1))*H42)/Voorblad!L$3))</f>
        <v>0</v>
      </c>
      <c r="C93" s="1602"/>
      <c r="D93" s="1600">
        <f>IF(K42=0,0,(IF(L42=0,((DATE(Voorblad!D$3+1,1,1)-DATE(Voorblad!$D$3,(K42),J42))*(H42-(1*I42)))/Voorblad!L$3,((DATE(Voorblad!$D$3,(L42),J42)-DATE(Voorblad!$D$3,(K42),J42))*(H42-(1*I42)))/Voorblad!L$3)))</f>
        <v>0</v>
      </c>
      <c r="E93" s="1600"/>
      <c r="F93" s="1600">
        <f>IF(L42=0,0,(IF(M42=0,((DATE(Voorblad!D$3+1,1,1)-DATE(Voorblad!$D$3,(L42),J42))*(H42-(2*I42)))/365,((DATE(Voorblad!$D$3,(M42),J42)-DATE(Voorblad!$D$3,(L42),J42))*(H42-(2*I42)))/Voorblad!L$3)))</f>
        <v>0</v>
      </c>
      <c r="G93" s="1600"/>
      <c r="H93" s="753">
        <f>IF(M42=0,0,(IF(N42=0,((DATE(Voorblad!D$3+1,1,1)-DATE(Voorblad!$D$3,(M42),J42))*(H42-(3*I42)))/Voorblad!L$3,((DATE(Voorblad!$D$3,(N42),J42)-DATE(Voorblad!$D$3,(M42),J42))*(H42-(3*I42)))/Voorblad!L$3)))</f>
        <v>0</v>
      </c>
      <c r="I93" s="1600">
        <f>IF(N42=0,0,(IF(O42=0,((DATE(Voorblad!D$3+1,1,1)-DATE(Voorblad!$D$3,(N42),J42))*(H42-(4*I42)))/Voorblad!L$3,((DATE(Voorblad!$D$3,(O42),J42)-DATE(Voorblad!$D$3,(N42),J42))*(H42-(4*I42)))/Voorblad!L$3)))</f>
        <v>0</v>
      </c>
      <c r="J93" s="1600"/>
      <c r="K93" s="1600">
        <f>IF(O42=0,0,(IF(P42=0,((DATE(Voorblad!D$3+1,1,1)-DATE(Voorblad!$D$3,(O42),J42))*(H42-(5*I42)))/Voorblad!L$3,((DATE(Voorblad!$D$3,(P42),J42)-DATE(Voorblad!$D$3,(O42),J42))*(H42-(5*I42)))/Voorblad!L$3)))</f>
        <v>0</v>
      </c>
      <c r="L93" s="1600"/>
      <c r="M93" s="1600"/>
      <c r="N93" s="1600"/>
      <c r="O93" s="1600"/>
      <c r="P93" s="1600"/>
      <c r="Q93" s="754">
        <f>IF(P42=0,0,((DATE(Voorblad!D$3+1,1,1)-DATE(Voorblad!$D$3,(P42),J42))*(H42-(6*I42)))/Voorblad!L$3)</f>
        <v>0</v>
      </c>
      <c r="R93" s="758">
        <f t="shared" si="35"/>
        <v>0</v>
      </c>
      <c r="S93" s="571">
        <f t="shared" si="29"/>
        <v>0</v>
      </c>
      <c r="T93" s="439"/>
      <c r="U93"/>
      <c r="V93"/>
      <c r="W93"/>
      <c r="X93"/>
      <c r="Y93"/>
      <c r="Z93"/>
      <c r="AA93" s="506"/>
      <c r="AB93" s="506"/>
    </row>
    <row r="94" spans="1:28" s="503" customFormat="1" ht="12.75" customHeight="1">
      <c r="A94" s="1385">
        <f t="shared" si="34"/>
        <v>2936</v>
      </c>
      <c r="B94" s="755"/>
      <c r="C94" s="756"/>
      <c r="D94" s="756"/>
      <c r="E94" s="756"/>
      <c r="F94" s="756"/>
      <c r="G94" s="756"/>
      <c r="H94" s="756"/>
      <c r="I94" s="756"/>
      <c r="J94" s="756"/>
      <c r="K94" s="756"/>
      <c r="L94" s="756"/>
      <c r="M94" s="756"/>
      <c r="N94" s="756"/>
      <c r="O94" s="756"/>
      <c r="P94" s="756"/>
      <c r="Q94" s="757"/>
      <c r="R94" s="752">
        <f>SUM(R59:R93)</f>
        <v>0</v>
      </c>
      <c r="S94" s="752">
        <f>SUM(S59:S93)</f>
        <v>0</v>
      </c>
      <c r="T94" s="439"/>
      <c r="U94"/>
      <c r="V94"/>
      <c r="W94"/>
      <c r="X94"/>
      <c r="Y94"/>
      <c r="Z94"/>
      <c r="AA94" s="506"/>
      <c r="AB94" s="506"/>
    </row>
    <row r="95" spans="1:20" ht="12.75">
      <c r="A95" s="1380"/>
      <c r="B95" s="630"/>
      <c r="C95" s="630"/>
      <c r="D95" s="2"/>
      <c r="E95" s="2"/>
      <c r="F95" s="2"/>
      <c r="G95" s="2"/>
      <c r="H95" s="2"/>
      <c r="I95" s="2"/>
      <c r="J95" s="2"/>
      <c r="K95" s="2"/>
      <c r="L95" s="2"/>
      <c r="M95" s="2"/>
      <c r="N95" s="2"/>
      <c r="O95" s="2"/>
      <c r="P95" s="2"/>
      <c r="Q95" s="2"/>
      <c r="R95" s="2"/>
      <c r="S95" s="630"/>
      <c r="T95" s="630"/>
    </row>
    <row r="96" spans="1:20" ht="12.75">
      <c r="A96" s="1387" t="str">
        <f>Inhoud!$A$2</f>
        <v>Nacalculatieformulier 2005</v>
      </c>
      <c r="B96" s="7"/>
      <c r="C96" s="7"/>
      <c r="D96" s="7"/>
      <c r="E96" s="7"/>
      <c r="F96" s="7"/>
      <c r="G96" s="7"/>
      <c r="H96" s="7"/>
      <c r="I96" s="8">
        <f>Voorblad!D119</f>
        <v>0</v>
      </c>
      <c r="J96" s="8"/>
      <c r="K96" s="8"/>
      <c r="L96" s="625"/>
      <c r="M96" s="625"/>
      <c r="N96" s="8"/>
      <c r="O96" s="625"/>
      <c r="P96" s="625"/>
      <c r="Q96" s="8"/>
      <c r="R96" s="625"/>
      <c r="S96" s="769"/>
      <c r="T96" s="10">
        <f>T54+1</f>
        <v>30</v>
      </c>
    </row>
    <row r="97" spans="1:20" ht="12.75">
      <c r="A97" s="1366"/>
      <c r="B97" s="649"/>
      <c r="C97" s="649"/>
      <c r="D97" s="167"/>
      <c r="E97" s="649"/>
      <c r="F97" s="649"/>
      <c r="G97" s="649"/>
      <c r="H97" s="168"/>
      <c r="I97" s="168"/>
      <c r="J97" s="168"/>
      <c r="K97" s="168"/>
      <c r="L97" s="168"/>
      <c r="M97" s="168"/>
      <c r="N97" s="168"/>
      <c r="O97" s="168"/>
      <c r="P97" s="168"/>
      <c r="Q97" s="168"/>
      <c r="R97" s="168"/>
      <c r="S97" s="567"/>
      <c r="T97" s="567"/>
    </row>
    <row r="98" spans="1:31" ht="12.75">
      <c r="A98" s="216"/>
      <c r="B98" s="1158" t="s">
        <v>346</v>
      </c>
      <c r="C98" s="1158" t="s">
        <v>354</v>
      </c>
      <c r="D98" s="1159" t="s">
        <v>572</v>
      </c>
      <c r="E98" s="1159" t="s">
        <v>362</v>
      </c>
      <c r="F98" s="1159" t="s">
        <v>341</v>
      </c>
      <c r="G98" s="1159" t="s">
        <v>575</v>
      </c>
      <c r="H98" s="1159" t="s">
        <v>347</v>
      </c>
      <c r="I98" s="1593" t="str">
        <f>CONCATENATE("Storting/Aflossing ",Voorblad!D92)</f>
        <v>Storting/Aflossing </v>
      </c>
      <c r="J98" s="1596"/>
      <c r="K98" s="1596"/>
      <c r="L98" s="1596"/>
      <c r="M98" s="1596"/>
      <c r="N98" s="1596"/>
      <c r="O98" s="1596"/>
      <c r="P98" s="1597"/>
      <c r="Q98" s="1158" t="s">
        <v>347</v>
      </c>
      <c r="R98" s="1159" t="s">
        <v>366</v>
      </c>
      <c r="S98" s="1159" t="s">
        <v>604</v>
      </c>
      <c r="T98" s="1160" t="s">
        <v>578</v>
      </c>
      <c r="AE98" s="439" t="s">
        <v>381</v>
      </c>
    </row>
    <row r="99" spans="1:20" ht="12.75">
      <c r="A99" s="216"/>
      <c r="B99" s="650"/>
      <c r="C99" s="650" t="s">
        <v>609</v>
      </c>
      <c r="D99" s="217" t="s">
        <v>657</v>
      </c>
      <c r="E99" s="217" t="s">
        <v>573</v>
      </c>
      <c r="F99" s="217" t="s">
        <v>574</v>
      </c>
      <c r="G99" s="217" t="s">
        <v>576</v>
      </c>
      <c r="H99" s="1161" t="str">
        <f>CONCATENATE("31-12-",Voorblad!D3-1," ")</f>
        <v>31-12-2004 </v>
      </c>
      <c r="I99" s="1163" t="s">
        <v>11</v>
      </c>
      <c r="J99" s="220" t="s">
        <v>360</v>
      </c>
      <c r="K99" s="1593" t="s">
        <v>361</v>
      </c>
      <c r="L99" s="1594"/>
      <c r="M99" s="1594"/>
      <c r="N99" s="1594"/>
      <c r="O99" s="1594"/>
      <c r="P99" s="1595"/>
      <c r="Q99" s="1161" t="str">
        <f>CONCATENATE("31-12-",Voorblad!D3," ")</f>
        <v>31-12-2005 </v>
      </c>
      <c r="R99" s="1162" t="s">
        <v>610</v>
      </c>
      <c r="S99" s="1162" t="s">
        <v>577</v>
      </c>
      <c r="T99" s="1162" t="s">
        <v>577</v>
      </c>
    </row>
    <row r="100" spans="1:20" ht="12.75">
      <c r="A100" s="1381"/>
      <c r="B100" s="92"/>
      <c r="C100" s="92"/>
      <c r="D100" s="92"/>
      <c r="E100" s="92"/>
      <c r="F100" s="92"/>
      <c r="G100" s="92"/>
      <c r="H100" s="92"/>
      <c r="I100" s="92"/>
      <c r="J100" s="92"/>
      <c r="K100" s="92"/>
      <c r="L100" s="91"/>
      <c r="M100" s="92"/>
      <c r="N100" s="92"/>
      <c r="O100" s="92"/>
      <c r="P100" s="92"/>
      <c r="Q100" s="92"/>
      <c r="R100" s="92"/>
      <c r="S100" s="92"/>
      <c r="T100" s="92" t="s">
        <v>612</v>
      </c>
    </row>
    <row r="101" spans="1:20" ht="12.75">
      <c r="A101" s="1366"/>
      <c r="B101" s="651" t="s">
        <v>437</v>
      </c>
      <c r="C101" s="651"/>
      <c r="D101" s="167"/>
      <c r="E101" s="649"/>
      <c r="F101" s="649"/>
      <c r="G101" s="649"/>
      <c r="H101" s="168"/>
      <c r="I101" s="168"/>
      <c r="J101" s="168"/>
      <c r="K101" s="168"/>
      <c r="L101" s="168"/>
      <c r="M101" s="168"/>
      <c r="N101" s="168"/>
      <c r="O101" s="168"/>
      <c r="P101" s="168"/>
      <c r="Q101" s="168"/>
      <c r="R101" s="168"/>
      <c r="S101" s="567"/>
      <c r="T101" s="567"/>
    </row>
    <row r="102" spans="1:28" ht="12.75">
      <c r="A102" s="1369">
        <f>(100*T96)+1</f>
        <v>3001</v>
      </c>
      <c r="B102" s="747"/>
      <c r="C102" s="553"/>
      <c r="D102" s="553"/>
      <c r="E102" s="508"/>
      <c r="F102" s="508"/>
      <c r="G102" s="839"/>
      <c r="H102" s="568"/>
      <c r="I102" s="568"/>
      <c r="J102" s="501"/>
      <c r="K102" s="501"/>
      <c r="L102" s="501"/>
      <c r="M102" s="501"/>
      <c r="N102" s="501"/>
      <c r="O102" s="501"/>
      <c r="P102" s="501"/>
      <c r="Q102" s="571">
        <f>H102-AB102</f>
        <v>0</v>
      </c>
      <c r="R102" s="571">
        <f>R146</f>
        <v>0</v>
      </c>
      <c r="S102" s="571">
        <f>R102*F102/100</f>
        <v>0</v>
      </c>
      <c r="T102" s="570">
        <f>IF(G102="n",S102,E102/100*R102)</f>
        <v>0</v>
      </c>
      <c r="U102" s="573">
        <f aca="true" t="shared" si="36" ref="U102:Z102">IF(K102&gt;0,1,0)</f>
        <v>0</v>
      </c>
      <c r="V102" s="573">
        <f t="shared" si="36"/>
        <v>0</v>
      </c>
      <c r="W102" s="573">
        <f t="shared" si="36"/>
        <v>0</v>
      </c>
      <c r="X102" s="573">
        <f t="shared" si="36"/>
        <v>0</v>
      </c>
      <c r="Y102" s="573">
        <f t="shared" si="36"/>
        <v>0</v>
      </c>
      <c r="Z102" s="573">
        <f t="shared" si="36"/>
        <v>0</v>
      </c>
      <c r="AA102" s="573">
        <f>SUM(U102:Z102)</f>
        <v>0</v>
      </c>
      <c r="AB102" s="573">
        <f>AA102*I102</f>
        <v>0</v>
      </c>
    </row>
    <row r="103" spans="1:28" ht="12.75">
      <c r="A103" s="1369">
        <f>A102+1</f>
        <v>3002</v>
      </c>
      <c r="B103" s="747"/>
      <c r="C103" s="553"/>
      <c r="D103" s="553"/>
      <c r="E103" s="508"/>
      <c r="F103" s="552"/>
      <c r="G103" s="839"/>
      <c r="H103" s="568"/>
      <c r="I103" s="568"/>
      <c r="J103" s="501"/>
      <c r="K103" s="501"/>
      <c r="L103" s="501"/>
      <c r="M103" s="501"/>
      <c r="N103" s="501"/>
      <c r="O103" s="501"/>
      <c r="P103" s="501"/>
      <c r="Q103" s="571">
        <f aca="true" t="shared" si="37" ref="Q103:Q127">H103-AB103</f>
        <v>0</v>
      </c>
      <c r="R103" s="571">
        <f aca="true" t="shared" si="38" ref="R103:R136">R147</f>
        <v>0</v>
      </c>
      <c r="S103" s="571">
        <f>R103*F103/100</f>
        <v>0</v>
      </c>
      <c r="T103" s="570">
        <f aca="true" t="shared" si="39" ref="T103:T127">IF(G103="n",S103,E103/100*R103)</f>
        <v>0</v>
      </c>
      <c r="U103" s="573">
        <f aca="true" t="shared" si="40" ref="U103:U136">IF(K103&gt;0,1,0)</f>
        <v>0</v>
      </c>
      <c r="V103" s="573">
        <f aca="true" t="shared" si="41" ref="V103:V136">IF(L103&gt;0,1,0)</f>
        <v>0</v>
      </c>
      <c r="W103" s="573">
        <f aca="true" t="shared" si="42" ref="W103:W136">IF(M103&gt;0,1,0)</f>
        <v>0</v>
      </c>
      <c r="X103" s="573">
        <f aca="true" t="shared" si="43" ref="X103:X136">IF(N103&gt;0,1,0)</f>
        <v>0</v>
      </c>
      <c r="Y103" s="573">
        <f aca="true" t="shared" si="44" ref="Y103:Y136">IF(O103&gt;0,1,0)</f>
        <v>0</v>
      </c>
      <c r="Z103" s="573">
        <f aca="true" t="shared" si="45" ref="Z103:Z136">IF(P103&gt;0,1,0)</f>
        <v>0</v>
      </c>
      <c r="AA103" s="573">
        <f aca="true" t="shared" si="46" ref="AA103:AA136">SUM(U103:Z103)</f>
        <v>0</v>
      </c>
      <c r="AB103" s="573">
        <f aca="true" t="shared" si="47" ref="AB103:AB136">AA103*I103</f>
        <v>0</v>
      </c>
    </row>
    <row r="104" spans="1:28" ht="12.75">
      <c r="A104" s="1369">
        <f>A103+1</f>
        <v>3003</v>
      </c>
      <c r="B104" s="747"/>
      <c r="C104" s="553"/>
      <c r="D104" s="553"/>
      <c r="E104" s="508"/>
      <c r="F104" s="552"/>
      <c r="G104" s="839"/>
      <c r="H104" s="568"/>
      <c r="I104" s="568"/>
      <c r="J104" s="501"/>
      <c r="K104" s="501"/>
      <c r="L104" s="501"/>
      <c r="M104" s="501"/>
      <c r="N104" s="501"/>
      <c r="O104" s="501"/>
      <c r="P104" s="501"/>
      <c r="Q104" s="571">
        <f t="shared" si="37"/>
        <v>0</v>
      </c>
      <c r="R104" s="571">
        <f t="shared" si="38"/>
        <v>0</v>
      </c>
      <c r="S104" s="571">
        <f aca="true" t="shared" si="48" ref="S104:S127">R104*F104/100</f>
        <v>0</v>
      </c>
      <c r="T104" s="570">
        <f t="shared" si="39"/>
        <v>0</v>
      </c>
      <c r="U104" s="573">
        <f t="shared" si="40"/>
        <v>0</v>
      </c>
      <c r="V104" s="573">
        <f t="shared" si="41"/>
        <v>0</v>
      </c>
      <c r="W104" s="573">
        <f t="shared" si="42"/>
        <v>0</v>
      </c>
      <c r="X104" s="573">
        <f t="shared" si="43"/>
        <v>0</v>
      </c>
      <c r="Y104" s="573">
        <f t="shared" si="44"/>
        <v>0</v>
      </c>
      <c r="Z104" s="573">
        <f t="shared" si="45"/>
        <v>0</v>
      </c>
      <c r="AA104" s="573">
        <f t="shared" si="46"/>
        <v>0</v>
      </c>
      <c r="AB104" s="573">
        <f t="shared" si="47"/>
        <v>0</v>
      </c>
    </row>
    <row r="105" spans="1:28" ht="12.75">
      <c r="A105" s="1369">
        <f aca="true" t="shared" si="49" ref="A105:A136">A104+1</f>
        <v>3004</v>
      </c>
      <c r="B105" s="747"/>
      <c r="C105" s="553"/>
      <c r="D105" s="553"/>
      <c r="E105" s="508"/>
      <c r="F105" s="552"/>
      <c r="G105" s="839"/>
      <c r="H105" s="568"/>
      <c r="I105" s="568"/>
      <c r="J105" s="501"/>
      <c r="K105" s="501"/>
      <c r="L105" s="501"/>
      <c r="M105" s="501"/>
      <c r="N105" s="501"/>
      <c r="O105" s="501"/>
      <c r="P105" s="501"/>
      <c r="Q105" s="571">
        <f t="shared" si="37"/>
        <v>0</v>
      </c>
      <c r="R105" s="571">
        <f t="shared" si="38"/>
        <v>0</v>
      </c>
      <c r="S105" s="571">
        <f t="shared" si="48"/>
        <v>0</v>
      </c>
      <c r="T105" s="570">
        <f t="shared" si="39"/>
        <v>0</v>
      </c>
      <c r="U105" s="573">
        <f t="shared" si="40"/>
        <v>0</v>
      </c>
      <c r="V105" s="573">
        <f t="shared" si="41"/>
        <v>0</v>
      </c>
      <c r="W105" s="573">
        <f t="shared" si="42"/>
        <v>0</v>
      </c>
      <c r="X105" s="573">
        <f t="shared" si="43"/>
        <v>0</v>
      </c>
      <c r="Y105" s="573">
        <f t="shared" si="44"/>
        <v>0</v>
      </c>
      <c r="Z105" s="573">
        <f t="shared" si="45"/>
        <v>0</v>
      </c>
      <c r="AA105" s="573">
        <f t="shared" si="46"/>
        <v>0</v>
      </c>
      <c r="AB105" s="573">
        <f t="shared" si="47"/>
        <v>0</v>
      </c>
    </row>
    <row r="106" spans="1:28" ht="12.75">
      <c r="A106" s="1369">
        <f t="shared" si="49"/>
        <v>3005</v>
      </c>
      <c r="B106" s="747"/>
      <c r="C106" s="553"/>
      <c r="D106" s="553"/>
      <c r="E106" s="508"/>
      <c r="F106" s="552"/>
      <c r="G106" s="839"/>
      <c r="H106" s="568"/>
      <c r="I106" s="568"/>
      <c r="J106" s="501"/>
      <c r="K106" s="501"/>
      <c r="L106" s="501"/>
      <c r="M106" s="501"/>
      <c r="N106" s="501"/>
      <c r="O106" s="501"/>
      <c r="P106" s="501"/>
      <c r="Q106" s="571">
        <f t="shared" si="37"/>
        <v>0</v>
      </c>
      <c r="R106" s="571">
        <f t="shared" si="38"/>
        <v>0</v>
      </c>
      <c r="S106" s="571">
        <f t="shared" si="48"/>
        <v>0</v>
      </c>
      <c r="T106" s="570">
        <f t="shared" si="39"/>
        <v>0</v>
      </c>
      <c r="U106" s="573">
        <f>IF(K106&gt;0,1,0)</f>
        <v>0</v>
      </c>
      <c r="V106" s="573">
        <f t="shared" si="41"/>
        <v>0</v>
      </c>
      <c r="W106" s="573">
        <f t="shared" si="42"/>
        <v>0</v>
      </c>
      <c r="X106" s="573">
        <f t="shared" si="43"/>
        <v>0</v>
      </c>
      <c r="Y106" s="573">
        <f t="shared" si="44"/>
        <v>0</v>
      </c>
      <c r="Z106" s="573">
        <f t="shared" si="45"/>
        <v>0</v>
      </c>
      <c r="AA106" s="573">
        <f t="shared" si="46"/>
        <v>0</v>
      </c>
      <c r="AB106" s="573">
        <f t="shared" si="47"/>
        <v>0</v>
      </c>
    </row>
    <row r="107" spans="1:28" ht="12.75">
      <c r="A107" s="1369">
        <f t="shared" si="49"/>
        <v>3006</v>
      </c>
      <c r="B107" s="747"/>
      <c r="C107" s="553"/>
      <c r="D107" s="553"/>
      <c r="E107" s="508"/>
      <c r="F107" s="552"/>
      <c r="G107" s="839"/>
      <c r="H107" s="568"/>
      <c r="I107" s="568"/>
      <c r="J107" s="501"/>
      <c r="K107" s="501"/>
      <c r="L107" s="501"/>
      <c r="M107" s="501"/>
      <c r="N107" s="501"/>
      <c r="O107" s="501"/>
      <c r="P107" s="501"/>
      <c r="Q107" s="571">
        <f t="shared" si="37"/>
        <v>0</v>
      </c>
      <c r="R107" s="571">
        <f t="shared" si="38"/>
        <v>0</v>
      </c>
      <c r="S107" s="571">
        <f t="shared" si="48"/>
        <v>0</v>
      </c>
      <c r="T107" s="570">
        <f t="shared" si="39"/>
        <v>0</v>
      </c>
      <c r="U107" s="573">
        <f t="shared" si="40"/>
        <v>0</v>
      </c>
      <c r="V107" s="573">
        <f t="shared" si="41"/>
        <v>0</v>
      </c>
      <c r="W107" s="573">
        <f t="shared" si="42"/>
        <v>0</v>
      </c>
      <c r="X107" s="573">
        <f t="shared" si="43"/>
        <v>0</v>
      </c>
      <c r="Y107" s="573">
        <f t="shared" si="44"/>
        <v>0</v>
      </c>
      <c r="Z107" s="573">
        <f t="shared" si="45"/>
        <v>0</v>
      </c>
      <c r="AA107" s="573">
        <f t="shared" si="46"/>
        <v>0</v>
      </c>
      <c r="AB107" s="573">
        <f t="shared" si="47"/>
        <v>0</v>
      </c>
    </row>
    <row r="108" spans="1:28" ht="12.75">
      <c r="A108" s="1369">
        <f t="shared" si="49"/>
        <v>3007</v>
      </c>
      <c r="B108" s="747"/>
      <c r="C108" s="553"/>
      <c r="D108" s="553"/>
      <c r="E108" s="508"/>
      <c r="F108" s="552"/>
      <c r="G108" s="839"/>
      <c r="H108" s="568"/>
      <c r="I108" s="568"/>
      <c r="J108" s="501"/>
      <c r="K108" s="501"/>
      <c r="L108" s="501"/>
      <c r="M108" s="501"/>
      <c r="N108" s="501"/>
      <c r="O108" s="501"/>
      <c r="P108" s="501"/>
      <c r="Q108" s="571">
        <f t="shared" si="37"/>
        <v>0</v>
      </c>
      <c r="R108" s="571">
        <f t="shared" si="38"/>
        <v>0</v>
      </c>
      <c r="S108" s="571">
        <f t="shared" si="48"/>
        <v>0</v>
      </c>
      <c r="T108" s="570">
        <f t="shared" si="39"/>
        <v>0</v>
      </c>
      <c r="U108" s="573">
        <f t="shared" si="40"/>
        <v>0</v>
      </c>
      <c r="V108" s="573">
        <f t="shared" si="41"/>
        <v>0</v>
      </c>
      <c r="W108" s="573">
        <f t="shared" si="42"/>
        <v>0</v>
      </c>
      <c r="X108" s="573">
        <f t="shared" si="43"/>
        <v>0</v>
      </c>
      <c r="Y108" s="573">
        <f t="shared" si="44"/>
        <v>0</v>
      </c>
      <c r="Z108" s="573">
        <f t="shared" si="45"/>
        <v>0</v>
      </c>
      <c r="AA108" s="573">
        <f t="shared" si="46"/>
        <v>0</v>
      </c>
      <c r="AB108" s="573">
        <f t="shared" si="47"/>
        <v>0</v>
      </c>
    </row>
    <row r="109" spans="1:28" ht="12.75">
      <c r="A109" s="1369">
        <f t="shared" si="49"/>
        <v>3008</v>
      </c>
      <c r="B109" s="747"/>
      <c r="C109" s="553"/>
      <c r="D109" s="553"/>
      <c r="E109" s="508"/>
      <c r="F109" s="552"/>
      <c r="G109" s="839"/>
      <c r="H109" s="568"/>
      <c r="I109" s="568"/>
      <c r="J109" s="501"/>
      <c r="K109" s="501"/>
      <c r="L109" s="501"/>
      <c r="M109" s="501"/>
      <c r="N109" s="501"/>
      <c r="O109" s="501"/>
      <c r="P109" s="501"/>
      <c r="Q109" s="571">
        <f t="shared" si="37"/>
        <v>0</v>
      </c>
      <c r="R109" s="571">
        <f t="shared" si="38"/>
        <v>0</v>
      </c>
      <c r="S109" s="571">
        <f t="shared" si="48"/>
        <v>0</v>
      </c>
      <c r="T109" s="570">
        <f t="shared" si="39"/>
        <v>0</v>
      </c>
      <c r="U109" s="573">
        <f t="shared" si="40"/>
        <v>0</v>
      </c>
      <c r="V109" s="573">
        <f t="shared" si="41"/>
        <v>0</v>
      </c>
      <c r="W109" s="573">
        <f t="shared" si="42"/>
        <v>0</v>
      </c>
      <c r="X109" s="573">
        <f t="shared" si="43"/>
        <v>0</v>
      </c>
      <c r="Y109" s="573">
        <f t="shared" si="44"/>
        <v>0</v>
      </c>
      <c r="Z109" s="573">
        <f t="shared" si="45"/>
        <v>0</v>
      </c>
      <c r="AA109" s="573">
        <f t="shared" si="46"/>
        <v>0</v>
      </c>
      <c r="AB109" s="573">
        <f t="shared" si="47"/>
        <v>0</v>
      </c>
    </row>
    <row r="110" spans="1:28" ht="12.75">
      <c r="A110" s="1369">
        <f t="shared" si="49"/>
        <v>3009</v>
      </c>
      <c r="B110" s="747"/>
      <c r="C110" s="553"/>
      <c r="D110" s="553"/>
      <c r="E110" s="508"/>
      <c r="F110" s="552"/>
      <c r="G110" s="839"/>
      <c r="H110" s="568"/>
      <c r="I110" s="568"/>
      <c r="J110" s="501"/>
      <c r="K110" s="501"/>
      <c r="L110" s="501"/>
      <c r="M110" s="501"/>
      <c r="N110" s="501"/>
      <c r="O110" s="501"/>
      <c r="P110" s="501"/>
      <c r="Q110" s="571">
        <f t="shared" si="37"/>
        <v>0</v>
      </c>
      <c r="R110" s="571">
        <f t="shared" si="38"/>
        <v>0</v>
      </c>
      <c r="S110" s="571">
        <f t="shared" si="48"/>
        <v>0</v>
      </c>
      <c r="T110" s="570">
        <f t="shared" si="39"/>
        <v>0</v>
      </c>
      <c r="U110" s="573">
        <f t="shared" si="40"/>
        <v>0</v>
      </c>
      <c r="V110" s="573">
        <f t="shared" si="41"/>
        <v>0</v>
      </c>
      <c r="W110" s="573">
        <f t="shared" si="42"/>
        <v>0</v>
      </c>
      <c r="X110" s="573">
        <f t="shared" si="43"/>
        <v>0</v>
      </c>
      <c r="Y110" s="573">
        <f t="shared" si="44"/>
        <v>0</v>
      </c>
      <c r="Z110" s="573">
        <f t="shared" si="45"/>
        <v>0</v>
      </c>
      <c r="AA110" s="573">
        <f t="shared" si="46"/>
        <v>0</v>
      </c>
      <c r="AB110" s="573">
        <f t="shared" si="47"/>
        <v>0</v>
      </c>
    </row>
    <row r="111" spans="1:28" ht="12.75">
      <c r="A111" s="1369">
        <f t="shared" si="49"/>
        <v>3010</v>
      </c>
      <c r="B111" s="747"/>
      <c r="C111" s="553"/>
      <c r="D111" s="553"/>
      <c r="E111" s="508"/>
      <c r="F111" s="552"/>
      <c r="G111" s="839"/>
      <c r="H111" s="568"/>
      <c r="I111" s="568"/>
      <c r="J111" s="501"/>
      <c r="K111" s="501"/>
      <c r="L111" s="501"/>
      <c r="M111" s="501"/>
      <c r="N111" s="501"/>
      <c r="O111" s="501"/>
      <c r="P111" s="501"/>
      <c r="Q111" s="571">
        <f t="shared" si="37"/>
        <v>0</v>
      </c>
      <c r="R111" s="571">
        <f t="shared" si="38"/>
        <v>0</v>
      </c>
      <c r="S111" s="571">
        <f t="shared" si="48"/>
        <v>0</v>
      </c>
      <c r="T111" s="570">
        <f t="shared" si="39"/>
        <v>0</v>
      </c>
      <c r="U111" s="573">
        <f t="shared" si="40"/>
        <v>0</v>
      </c>
      <c r="V111" s="573">
        <f t="shared" si="41"/>
        <v>0</v>
      </c>
      <c r="W111" s="573">
        <f t="shared" si="42"/>
        <v>0</v>
      </c>
      <c r="X111" s="573">
        <f t="shared" si="43"/>
        <v>0</v>
      </c>
      <c r="Y111" s="573">
        <f t="shared" si="44"/>
        <v>0</v>
      </c>
      <c r="Z111" s="573">
        <f t="shared" si="45"/>
        <v>0</v>
      </c>
      <c r="AA111" s="573">
        <f t="shared" si="46"/>
        <v>0</v>
      </c>
      <c r="AB111" s="573">
        <f t="shared" si="47"/>
        <v>0</v>
      </c>
    </row>
    <row r="112" spans="1:28" ht="12.75">
      <c r="A112" s="1369">
        <f t="shared" si="49"/>
        <v>3011</v>
      </c>
      <c r="B112" s="747"/>
      <c r="C112" s="553"/>
      <c r="D112" s="553"/>
      <c r="E112" s="508"/>
      <c r="F112" s="552"/>
      <c r="G112" s="839"/>
      <c r="H112" s="568"/>
      <c r="I112" s="568"/>
      <c r="J112" s="501"/>
      <c r="K112" s="501"/>
      <c r="L112" s="501"/>
      <c r="M112" s="501"/>
      <c r="N112" s="501"/>
      <c r="O112" s="501"/>
      <c r="P112" s="501"/>
      <c r="Q112" s="571">
        <f t="shared" si="37"/>
        <v>0</v>
      </c>
      <c r="R112" s="571">
        <f t="shared" si="38"/>
        <v>0</v>
      </c>
      <c r="S112" s="571">
        <f t="shared" si="48"/>
        <v>0</v>
      </c>
      <c r="T112" s="570">
        <f t="shared" si="39"/>
        <v>0</v>
      </c>
      <c r="U112" s="573">
        <f t="shared" si="40"/>
        <v>0</v>
      </c>
      <c r="V112" s="573">
        <f t="shared" si="41"/>
        <v>0</v>
      </c>
      <c r="W112" s="573">
        <f t="shared" si="42"/>
        <v>0</v>
      </c>
      <c r="X112" s="573">
        <f t="shared" si="43"/>
        <v>0</v>
      </c>
      <c r="Y112" s="573">
        <f t="shared" si="44"/>
        <v>0</v>
      </c>
      <c r="Z112" s="573">
        <f t="shared" si="45"/>
        <v>0</v>
      </c>
      <c r="AA112" s="573">
        <f t="shared" si="46"/>
        <v>0</v>
      </c>
      <c r="AB112" s="573">
        <f t="shared" si="47"/>
        <v>0</v>
      </c>
    </row>
    <row r="113" spans="1:28" ht="12.75">
      <c r="A113" s="1369">
        <f t="shared" si="49"/>
        <v>3012</v>
      </c>
      <c r="B113" s="747"/>
      <c r="C113" s="553"/>
      <c r="D113" s="553"/>
      <c r="E113" s="508"/>
      <c r="F113" s="552"/>
      <c r="G113" s="839"/>
      <c r="H113" s="568"/>
      <c r="I113" s="568"/>
      <c r="J113" s="501"/>
      <c r="K113" s="501"/>
      <c r="L113" s="501"/>
      <c r="M113" s="501"/>
      <c r="N113" s="501"/>
      <c r="O113" s="501"/>
      <c r="P113" s="501"/>
      <c r="Q113" s="571">
        <f t="shared" si="37"/>
        <v>0</v>
      </c>
      <c r="R113" s="571">
        <f t="shared" si="38"/>
        <v>0</v>
      </c>
      <c r="S113" s="571">
        <f t="shared" si="48"/>
        <v>0</v>
      </c>
      <c r="T113" s="570">
        <f t="shared" si="39"/>
        <v>0</v>
      </c>
      <c r="U113" s="573">
        <f t="shared" si="40"/>
        <v>0</v>
      </c>
      <c r="V113" s="573">
        <f t="shared" si="41"/>
        <v>0</v>
      </c>
      <c r="W113" s="573">
        <f t="shared" si="42"/>
        <v>0</v>
      </c>
      <c r="X113" s="573">
        <f t="shared" si="43"/>
        <v>0</v>
      </c>
      <c r="Y113" s="573">
        <f t="shared" si="44"/>
        <v>0</v>
      </c>
      <c r="Z113" s="573">
        <f t="shared" si="45"/>
        <v>0</v>
      </c>
      <c r="AA113" s="573">
        <f t="shared" si="46"/>
        <v>0</v>
      </c>
      <c r="AB113" s="573">
        <f t="shared" si="47"/>
        <v>0</v>
      </c>
    </row>
    <row r="114" spans="1:28" ht="12.75">
      <c r="A114" s="1369">
        <f t="shared" si="49"/>
        <v>3013</v>
      </c>
      <c r="B114" s="747"/>
      <c r="C114" s="553"/>
      <c r="D114" s="553"/>
      <c r="E114" s="508"/>
      <c r="F114" s="552"/>
      <c r="G114" s="839"/>
      <c r="H114" s="568"/>
      <c r="I114" s="568"/>
      <c r="J114" s="501"/>
      <c r="K114" s="501"/>
      <c r="L114" s="501"/>
      <c r="M114" s="501"/>
      <c r="N114" s="501"/>
      <c r="O114" s="501"/>
      <c r="P114" s="501"/>
      <c r="Q114" s="571">
        <f t="shared" si="37"/>
        <v>0</v>
      </c>
      <c r="R114" s="571">
        <f t="shared" si="38"/>
        <v>0</v>
      </c>
      <c r="S114" s="571">
        <f t="shared" si="48"/>
        <v>0</v>
      </c>
      <c r="T114" s="570">
        <f t="shared" si="39"/>
        <v>0</v>
      </c>
      <c r="U114" s="573">
        <f t="shared" si="40"/>
        <v>0</v>
      </c>
      <c r="V114" s="573">
        <f t="shared" si="41"/>
        <v>0</v>
      </c>
      <c r="W114" s="573">
        <f t="shared" si="42"/>
        <v>0</v>
      </c>
      <c r="X114" s="573">
        <f t="shared" si="43"/>
        <v>0</v>
      </c>
      <c r="Y114" s="573">
        <f t="shared" si="44"/>
        <v>0</v>
      </c>
      <c r="Z114" s="573">
        <f t="shared" si="45"/>
        <v>0</v>
      </c>
      <c r="AA114" s="573">
        <f t="shared" si="46"/>
        <v>0</v>
      </c>
      <c r="AB114" s="573">
        <f t="shared" si="47"/>
        <v>0</v>
      </c>
    </row>
    <row r="115" spans="1:28" ht="12.75">
      <c r="A115" s="1369">
        <f t="shared" si="49"/>
        <v>3014</v>
      </c>
      <c r="B115" s="747"/>
      <c r="C115" s="553"/>
      <c r="D115" s="553"/>
      <c r="E115" s="750"/>
      <c r="F115" s="751"/>
      <c r="G115" s="840"/>
      <c r="H115" s="568"/>
      <c r="I115" s="568"/>
      <c r="J115" s="501"/>
      <c r="K115" s="501"/>
      <c r="L115" s="501"/>
      <c r="M115" s="501"/>
      <c r="N115" s="501"/>
      <c r="O115" s="501"/>
      <c r="P115" s="501"/>
      <c r="Q115" s="571">
        <f t="shared" si="37"/>
        <v>0</v>
      </c>
      <c r="R115" s="571">
        <f t="shared" si="38"/>
        <v>0</v>
      </c>
      <c r="S115" s="571">
        <f t="shared" si="48"/>
        <v>0</v>
      </c>
      <c r="T115" s="570">
        <f t="shared" si="39"/>
        <v>0</v>
      </c>
      <c r="U115" s="573">
        <f t="shared" si="40"/>
        <v>0</v>
      </c>
      <c r="V115" s="573">
        <f t="shared" si="41"/>
        <v>0</v>
      </c>
      <c r="W115" s="573">
        <f t="shared" si="42"/>
        <v>0</v>
      </c>
      <c r="X115" s="573">
        <f t="shared" si="43"/>
        <v>0</v>
      </c>
      <c r="Y115" s="573">
        <f t="shared" si="44"/>
        <v>0</v>
      </c>
      <c r="Z115" s="573">
        <f t="shared" si="45"/>
        <v>0</v>
      </c>
      <c r="AA115" s="573">
        <f t="shared" si="46"/>
        <v>0</v>
      </c>
      <c r="AB115" s="573">
        <f t="shared" si="47"/>
        <v>0</v>
      </c>
    </row>
    <row r="116" spans="1:28" ht="12.75">
      <c r="A116" s="1369">
        <f t="shared" si="49"/>
        <v>3015</v>
      </c>
      <c r="B116" s="747"/>
      <c r="C116" s="553"/>
      <c r="D116" s="553"/>
      <c r="E116" s="508"/>
      <c r="F116" s="552"/>
      <c r="G116" s="839"/>
      <c r="H116" s="568"/>
      <c r="I116" s="568"/>
      <c r="J116" s="501"/>
      <c r="K116" s="501"/>
      <c r="L116" s="501"/>
      <c r="M116" s="501"/>
      <c r="N116" s="501"/>
      <c r="O116" s="501"/>
      <c r="P116" s="501"/>
      <c r="Q116" s="571">
        <f t="shared" si="37"/>
        <v>0</v>
      </c>
      <c r="R116" s="571">
        <f t="shared" si="38"/>
        <v>0</v>
      </c>
      <c r="S116" s="571">
        <f t="shared" si="48"/>
        <v>0</v>
      </c>
      <c r="T116" s="570">
        <f t="shared" si="39"/>
        <v>0</v>
      </c>
      <c r="U116" s="573">
        <f t="shared" si="40"/>
        <v>0</v>
      </c>
      <c r="V116" s="573">
        <f t="shared" si="41"/>
        <v>0</v>
      </c>
      <c r="W116" s="573">
        <f t="shared" si="42"/>
        <v>0</v>
      </c>
      <c r="X116" s="573">
        <f t="shared" si="43"/>
        <v>0</v>
      </c>
      <c r="Y116" s="573">
        <f t="shared" si="44"/>
        <v>0</v>
      </c>
      <c r="Z116" s="573">
        <f t="shared" si="45"/>
        <v>0</v>
      </c>
      <c r="AA116" s="573">
        <f t="shared" si="46"/>
        <v>0</v>
      </c>
      <c r="AB116" s="573">
        <f t="shared" si="47"/>
        <v>0</v>
      </c>
    </row>
    <row r="117" spans="1:28" ht="12.75">
      <c r="A117" s="1369">
        <f t="shared" si="49"/>
        <v>3016</v>
      </c>
      <c r="B117" s="747"/>
      <c r="C117" s="553"/>
      <c r="D117" s="553"/>
      <c r="E117" s="508"/>
      <c r="F117" s="552"/>
      <c r="G117" s="839"/>
      <c r="H117" s="568"/>
      <c r="I117" s="568"/>
      <c r="J117" s="501"/>
      <c r="K117" s="501"/>
      <c r="L117" s="501"/>
      <c r="M117" s="501"/>
      <c r="N117" s="501"/>
      <c r="O117" s="501"/>
      <c r="P117" s="501"/>
      <c r="Q117" s="571">
        <f t="shared" si="37"/>
        <v>0</v>
      </c>
      <c r="R117" s="571">
        <f t="shared" si="38"/>
        <v>0</v>
      </c>
      <c r="S117" s="571">
        <f t="shared" si="48"/>
        <v>0</v>
      </c>
      <c r="T117" s="570">
        <f t="shared" si="39"/>
        <v>0</v>
      </c>
      <c r="U117" s="573">
        <f t="shared" si="40"/>
        <v>0</v>
      </c>
      <c r="V117" s="573">
        <f t="shared" si="41"/>
        <v>0</v>
      </c>
      <c r="W117" s="573">
        <f t="shared" si="42"/>
        <v>0</v>
      </c>
      <c r="X117" s="573">
        <f t="shared" si="43"/>
        <v>0</v>
      </c>
      <c r="Y117" s="573">
        <f t="shared" si="44"/>
        <v>0</v>
      </c>
      <c r="Z117" s="573">
        <f t="shared" si="45"/>
        <v>0</v>
      </c>
      <c r="AA117" s="573">
        <f t="shared" si="46"/>
        <v>0</v>
      </c>
      <c r="AB117" s="573">
        <f t="shared" si="47"/>
        <v>0</v>
      </c>
    </row>
    <row r="118" spans="1:28" ht="12.75">
      <c r="A118" s="1369">
        <f t="shared" si="49"/>
        <v>3017</v>
      </c>
      <c r="B118" s="747"/>
      <c r="C118" s="553"/>
      <c r="D118" s="553"/>
      <c r="E118" s="508"/>
      <c r="F118" s="552"/>
      <c r="G118" s="839"/>
      <c r="H118" s="568"/>
      <c r="I118" s="568"/>
      <c r="J118" s="501"/>
      <c r="K118" s="501"/>
      <c r="L118" s="501"/>
      <c r="M118" s="501"/>
      <c r="N118" s="501"/>
      <c r="O118" s="501"/>
      <c r="P118" s="501"/>
      <c r="Q118" s="571">
        <f t="shared" si="37"/>
        <v>0</v>
      </c>
      <c r="R118" s="571">
        <f t="shared" si="38"/>
        <v>0</v>
      </c>
      <c r="S118" s="571">
        <f t="shared" si="48"/>
        <v>0</v>
      </c>
      <c r="T118" s="570">
        <f t="shared" si="39"/>
        <v>0</v>
      </c>
      <c r="U118" s="573">
        <f t="shared" si="40"/>
        <v>0</v>
      </c>
      <c r="V118" s="573">
        <f t="shared" si="41"/>
        <v>0</v>
      </c>
      <c r="W118" s="573">
        <f t="shared" si="42"/>
        <v>0</v>
      </c>
      <c r="X118" s="573">
        <f t="shared" si="43"/>
        <v>0</v>
      </c>
      <c r="Y118" s="573">
        <f t="shared" si="44"/>
        <v>0</v>
      </c>
      <c r="Z118" s="573">
        <f t="shared" si="45"/>
        <v>0</v>
      </c>
      <c r="AA118" s="573">
        <f t="shared" si="46"/>
        <v>0</v>
      </c>
      <c r="AB118" s="573">
        <f t="shared" si="47"/>
        <v>0</v>
      </c>
    </row>
    <row r="119" spans="1:28" ht="12.75">
      <c r="A119" s="1369">
        <f t="shared" si="49"/>
        <v>3018</v>
      </c>
      <c r="B119" s="747"/>
      <c r="C119" s="553"/>
      <c r="D119" s="553"/>
      <c r="E119" s="508"/>
      <c r="F119" s="552"/>
      <c r="G119" s="839"/>
      <c r="H119" s="568"/>
      <c r="I119" s="568"/>
      <c r="J119" s="501"/>
      <c r="K119" s="501"/>
      <c r="L119" s="501"/>
      <c r="M119" s="501"/>
      <c r="N119" s="501"/>
      <c r="O119" s="501"/>
      <c r="P119" s="501"/>
      <c r="Q119" s="571">
        <f t="shared" si="37"/>
        <v>0</v>
      </c>
      <c r="R119" s="571">
        <f t="shared" si="38"/>
        <v>0</v>
      </c>
      <c r="S119" s="571">
        <f t="shared" si="48"/>
        <v>0</v>
      </c>
      <c r="T119" s="570">
        <f t="shared" si="39"/>
        <v>0</v>
      </c>
      <c r="U119" s="573">
        <f t="shared" si="40"/>
        <v>0</v>
      </c>
      <c r="V119" s="573">
        <f t="shared" si="41"/>
        <v>0</v>
      </c>
      <c r="W119" s="573">
        <f t="shared" si="42"/>
        <v>0</v>
      </c>
      <c r="X119" s="573">
        <f t="shared" si="43"/>
        <v>0</v>
      </c>
      <c r="Y119" s="573">
        <f t="shared" si="44"/>
        <v>0</v>
      </c>
      <c r="Z119" s="573">
        <f t="shared" si="45"/>
        <v>0</v>
      </c>
      <c r="AA119" s="573">
        <f t="shared" si="46"/>
        <v>0</v>
      </c>
      <c r="AB119" s="573">
        <f t="shared" si="47"/>
        <v>0</v>
      </c>
    </row>
    <row r="120" spans="1:28" ht="12.75">
      <c r="A120" s="1369">
        <f t="shared" si="49"/>
        <v>3019</v>
      </c>
      <c r="B120" s="747"/>
      <c r="C120" s="553"/>
      <c r="D120" s="553"/>
      <c r="E120" s="508"/>
      <c r="F120" s="552"/>
      <c r="G120" s="839"/>
      <c r="H120" s="568"/>
      <c r="I120" s="568"/>
      <c r="J120" s="501"/>
      <c r="K120" s="501"/>
      <c r="L120" s="501"/>
      <c r="M120" s="501"/>
      <c r="N120" s="501"/>
      <c r="O120" s="501"/>
      <c r="P120" s="501"/>
      <c r="Q120" s="571">
        <f t="shared" si="37"/>
        <v>0</v>
      </c>
      <c r="R120" s="571">
        <f t="shared" si="38"/>
        <v>0</v>
      </c>
      <c r="S120" s="571">
        <f t="shared" si="48"/>
        <v>0</v>
      </c>
      <c r="T120" s="570">
        <f t="shared" si="39"/>
        <v>0</v>
      </c>
      <c r="U120" s="573">
        <f t="shared" si="40"/>
        <v>0</v>
      </c>
      <c r="V120" s="573">
        <f t="shared" si="41"/>
        <v>0</v>
      </c>
      <c r="W120" s="573">
        <f t="shared" si="42"/>
        <v>0</v>
      </c>
      <c r="X120" s="573">
        <f t="shared" si="43"/>
        <v>0</v>
      </c>
      <c r="Y120" s="573">
        <f t="shared" si="44"/>
        <v>0</v>
      </c>
      <c r="Z120" s="573">
        <f t="shared" si="45"/>
        <v>0</v>
      </c>
      <c r="AA120" s="573">
        <f t="shared" si="46"/>
        <v>0</v>
      </c>
      <c r="AB120" s="573">
        <f t="shared" si="47"/>
        <v>0</v>
      </c>
    </row>
    <row r="121" spans="1:28" ht="12.75">
      <c r="A121" s="1369">
        <f t="shared" si="49"/>
        <v>3020</v>
      </c>
      <c r="B121" s="747"/>
      <c r="C121" s="553"/>
      <c r="D121" s="553"/>
      <c r="E121" s="508"/>
      <c r="F121" s="552"/>
      <c r="G121" s="839"/>
      <c r="H121" s="568"/>
      <c r="I121" s="568"/>
      <c r="J121" s="501"/>
      <c r="K121" s="501"/>
      <c r="L121" s="501"/>
      <c r="M121" s="501"/>
      <c r="N121" s="501"/>
      <c r="O121" s="501"/>
      <c r="P121" s="501"/>
      <c r="Q121" s="571">
        <f t="shared" si="37"/>
        <v>0</v>
      </c>
      <c r="R121" s="571">
        <f t="shared" si="38"/>
        <v>0</v>
      </c>
      <c r="S121" s="571">
        <f t="shared" si="48"/>
        <v>0</v>
      </c>
      <c r="T121" s="570">
        <f t="shared" si="39"/>
        <v>0</v>
      </c>
      <c r="U121" s="573">
        <f t="shared" si="40"/>
        <v>0</v>
      </c>
      <c r="V121" s="573">
        <f t="shared" si="41"/>
        <v>0</v>
      </c>
      <c r="W121" s="573">
        <f t="shared" si="42"/>
        <v>0</v>
      </c>
      <c r="X121" s="573">
        <f t="shared" si="43"/>
        <v>0</v>
      </c>
      <c r="Y121" s="573">
        <f t="shared" si="44"/>
        <v>0</v>
      </c>
      <c r="Z121" s="573">
        <f t="shared" si="45"/>
        <v>0</v>
      </c>
      <c r="AA121" s="573">
        <f t="shared" si="46"/>
        <v>0</v>
      </c>
      <c r="AB121" s="573">
        <f t="shared" si="47"/>
        <v>0</v>
      </c>
    </row>
    <row r="122" spans="1:28" ht="12.75">
      <c r="A122" s="1369">
        <f t="shared" si="49"/>
        <v>3021</v>
      </c>
      <c r="B122" s="747"/>
      <c r="C122" s="553"/>
      <c r="D122" s="553"/>
      <c r="E122" s="508"/>
      <c r="F122" s="552"/>
      <c r="G122" s="839"/>
      <c r="H122" s="568"/>
      <c r="I122" s="568"/>
      <c r="J122" s="501"/>
      <c r="K122" s="501"/>
      <c r="L122" s="501"/>
      <c r="M122" s="501"/>
      <c r="N122" s="501"/>
      <c r="O122" s="501"/>
      <c r="P122" s="501"/>
      <c r="Q122" s="571">
        <f t="shared" si="37"/>
        <v>0</v>
      </c>
      <c r="R122" s="571">
        <f t="shared" si="38"/>
        <v>0</v>
      </c>
      <c r="S122" s="571">
        <f t="shared" si="48"/>
        <v>0</v>
      </c>
      <c r="T122" s="570">
        <f t="shared" si="39"/>
        <v>0</v>
      </c>
      <c r="U122" s="573">
        <f t="shared" si="40"/>
        <v>0</v>
      </c>
      <c r="V122" s="573">
        <f t="shared" si="41"/>
        <v>0</v>
      </c>
      <c r="W122" s="573">
        <f t="shared" si="42"/>
        <v>0</v>
      </c>
      <c r="X122" s="573">
        <f t="shared" si="43"/>
        <v>0</v>
      </c>
      <c r="Y122" s="573">
        <f t="shared" si="44"/>
        <v>0</v>
      </c>
      <c r="Z122" s="573">
        <f t="shared" si="45"/>
        <v>0</v>
      </c>
      <c r="AA122" s="573">
        <f t="shared" si="46"/>
        <v>0</v>
      </c>
      <c r="AB122" s="573">
        <f t="shared" si="47"/>
        <v>0</v>
      </c>
    </row>
    <row r="123" spans="1:28" ht="12.75">
      <c r="A123" s="1369">
        <f t="shared" si="49"/>
        <v>3022</v>
      </c>
      <c r="B123" s="747"/>
      <c r="C123" s="553"/>
      <c r="D123" s="553"/>
      <c r="E123" s="508"/>
      <c r="F123" s="552"/>
      <c r="G123" s="839"/>
      <c r="H123" s="568"/>
      <c r="I123" s="568"/>
      <c r="J123" s="501"/>
      <c r="K123" s="501"/>
      <c r="L123" s="501"/>
      <c r="M123" s="501"/>
      <c r="N123" s="501"/>
      <c r="O123" s="501"/>
      <c r="P123" s="501"/>
      <c r="Q123" s="571">
        <f t="shared" si="37"/>
        <v>0</v>
      </c>
      <c r="R123" s="571">
        <f t="shared" si="38"/>
        <v>0</v>
      </c>
      <c r="S123" s="571">
        <f t="shared" si="48"/>
        <v>0</v>
      </c>
      <c r="T123" s="570">
        <f t="shared" si="39"/>
        <v>0</v>
      </c>
      <c r="U123" s="573">
        <f t="shared" si="40"/>
        <v>0</v>
      </c>
      <c r="V123" s="573">
        <f t="shared" si="41"/>
        <v>0</v>
      </c>
      <c r="W123" s="573">
        <f t="shared" si="42"/>
        <v>0</v>
      </c>
      <c r="X123" s="573">
        <f t="shared" si="43"/>
        <v>0</v>
      </c>
      <c r="Y123" s="573">
        <f t="shared" si="44"/>
        <v>0</v>
      </c>
      <c r="Z123" s="573">
        <f t="shared" si="45"/>
        <v>0</v>
      </c>
      <c r="AA123" s="573">
        <f t="shared" si="46"/>
        <v>0</v>
      </c>
      <c r="AB123" s="573">
        <f t="shared" si="47"/>
        <v>0</v>
      </c>
    </row>
    <row r="124" spans="1:28" ht="12.75">
      <c r="A124" s="1369">
        <f t="shared" si="49"/>
        <v>3023</v>
      </c>
      <c r="B124" s="747"/>
      <c r="C124" s="553"/>
      <c r="D124" s="553"/>
      <c r="E124" s="508"/>
      <c r="F124" s="552"/>
      <c r="G124" s="839"/>
      <c r="H124" s="568"/>
      <c r="I124" s="568"/>
      <c r="J124" s="501"/>
      <c r="K124" s="501"/>
      <c r="L124" s="501"/>
      <c r="M124" s="501"/>
      <c r="N124" s="501"/>
      <c r="O124" s="501"/>
      <c r="P124" s="501"/>
      <c r="Q124" s="571">
        <f t="shared" si="37"/>
        <v>0</v>
      </c>
      <c r="R124" s="571">
        <f t="shared" si="38"/>
        <v>0</v>
      </c>
      <c r="S124" s="571">
        <f t="shared" si="48"/>
        <v>0</v>
      </c>
      <c r="T124" s="570">
        <f t="shared" si="39"/>
        <v>0</v>
      </c>
      <c r="U124" s="573">
        <f t="shared" si="40"/>
        <v>0</v>
      </c>
      <c r="V124" s="573">
        <f t="shared" si="41"/>
        <v>0</v>
      </c>
      <c r="W124" s="573">
        <f t="shared" si="42"/>
        <v>0</v>
      </c>
      <c r="X124" s="573">
        <f t="shared" si="43"/>
        <v>0</v>
      </c>
      <c r="Y124" s="573">
        <f t="shared" si="44"/>
        <v>0</v>
      </c>
      <c r="Z124" s="573">
        <f t="shared" si="45"/>
        <v>0</v>
      </c>
      <c r="AA124" s="573">
        <f t="shared" si="46"/>
        <v>0</v>
      </c>
      <c r="AB124" s="573">
        <f t="shared" si="47"/>
        <v>0</v>
      </c>
    </row>
    <row r="125" spans="1:28" ht="12.75">
      <c r="A125" s="1369">
        <f t="shared" si="49"/>
        <v>3024</v>
      </c>
      <c r="B125" s="747"/>
      <c r="C125" s="553"/>
      <c r="D125" s="553"/>
      <c r="E125" s="508"/>
      <c r="F125" s="552"/>
      <c r="G125" s="839"/>
      <c r="H125" s="568"/>
      <c r="I125" s="568"/>
      <c r="J125" s="501"/>
      <c r="K125" s="501"/>
      <c r="L125" s="501"/>
      <c r="M125" s="501"/>
      <c r="N125" s="501"/>
      <c r="O125" s="501"/>
      <c r="P125" s="501"/>
      <c r="Q125" s="571">
        <f t="shared" si="37"/>
        <v>0</v>
      </c>
      <c r="R125" s="571">
        <f t="shared" si="38"/>
        <v>0</v>
      </c>
      <c r="S125" s="571">
        <f t="shared" si="48"/>
        <v>0</v>
      </c>
      <c r="T125" s="570">
        <f t="shared" si="39"/>
        <v>0</v>
      </c>
      <c r="U125" s="573">
        <f t="shared" si="40"/>
        <v>0</v>
      </c>
      <c r="V125" s="573">
        <f t="shared" si="41"/>
        <v>0</v>
      </c>
      <c r="W125" s="573">
        <f t="shared" si="42"/>
        <v>0</v>
      </c>
      <c r="X125" s="573">
        <f t="shared" si="43"/>
        <v>0</v>
      </c>
      <c r="Y125" s="573">
        <f t="shared" si="44"/>
        <v>0</v>
      </c>
      <c r="Z125" s="573">
        <f t="shared" si="45"/>
        <v>0</v>
      </c>
      <c r="AA125" s="573">
        <f t="shared" si="46"/>
        <v>0</v>
      </c>
      <c r="AB125" s="573">
        <f t="shared" si="47"/>
        <v>0</v>
      </c>
    </row>
    <row r="126" spans="1:28" ht="12.75">
      <c r="A126" s="1369">
        <f t="shared" si="49"/>
        <v>3025</v>
      </c>
      <c r="B126" s="747"/>
      <c r="C126" s="553"/>
      <c r="D126" s="553"/>
      <c r="E126" s="508"/>
      <c r="F126" s="552"/>
      <c r="G126" s="839"/>
      <c r="H126" s="568"/>
      <c r="I126" s="568"/>
      <c r="J126" s="501"/>
      <c r="K126" s="501"/>
      <c r="L126" s="501"/>
      <c r="M126" s="501"/>
      <c r="N126" s="501"/>
      <c r="O126" s="501"/>
      <c r="P126" s="501"/>
      <c r="Q126" s="571">
        <f t="shared" si="37"/>
        <v>0</v>
      </c>
      <c r="R126" s="571">
        <f t="shared" si="38"/>
        <v>0</v>
      </c>
      <c r="S126" s="571">
        <f t="shared" si="48"/>
        <v>0</v>
      </c>
      <c r="T126" s="570">
        <f t="shared" si="39"/>
        <v>0</v>
      </c>
      <c r="U126" s="573">
        <f t="shared" si="40"/>
        <v>0</v>
      </c>
      <c r="V126" s="573">
        <f t="shared" si="41"/>
        <v>0</v>
      </c>
      <c r="W126" s="573">
        <f t="shared" si="42"/>
        <v>0</v>
      </c>
      <c r="X126" s="573">
        <f t="shared" si="43"/>
        <v>0</v>
      </c>
      <c r="Y126" s="573">
        <f t="shared" si="44"/>
        <v>0</v>
      </c>
      <c r="Z126" s="573">
        <f t="shared" si="45"/>
        <v>0</v>
      </c>
      <c r="AA126" s="573">
        <f t="shared" si="46"/>
        <v>0</v>
      </c>
      <c r="AB126" s="573">
        <f t="shared" si="47"/>
        <v>0</v>
      </c>
    </row>
    <row r="127" spans="1:28" ht="12.75">
      <c r="A127" s="1369">
        <f t="shared" si="49"/>
        <v>3026</v>
      </c>
      <c r="B127" s="747"/>
      <c r="C127" s="553"/>
      <c r="D127" s="553"/>
      <c r="E127" s="508"/>
      <c r="F127" s="552"/>
      <c r="G127" s="839"/>
      <c r="H127" s="568"/>
      <c r="I127" s="568"/>
      <c r="J127" s="501"/>
      <c r="K127" s="501"/>
      <c r="L127" s="501"/>
      <c r="M127" s="501"/>
      <c r="N127" s="501"/>
      <c r="O127" s="501"/>
      <c r="P127" s="501"/>
      <c r="Q127" s="571">
        <f t="shared" si="37"/>
        <v>0</v>
      </c>
      <c r="R127" s="571">
        <f t="shared" si="38"/>
        <v>0</v>
      </c>
      <c r="S127" s="571">
        <f t="shared" si="48"/>
        <v>0</v>
      </c>
      <c r="T127" s="570">
        <f t="shared" si="39"/>
        <v>0</v>
      </c>
      <c r="U127" s="573">
        <f t="shared" si="40"/>
        <v>0</v>
      </c>
      <c r="V127" s="573">
        <f t="shared" si="41"/>
        <v>0</v>
      </c>
      <c r="W127" s="573">
        <f t="shared" si="42"/>
        <v>0</v>
      </c>
      <c r="X127" s="573">
        <f t="shared" si="43"/>
        <v>0</v>
      </c>
      <c r="Y127" s="573">
        <f t="shared" si="44"/>
        <v>0</v>
      </c>
      <c r="Z127" s="573">
        <f t="shared" si="45"/>
        <v>0</v>
      </c>
      <c r="AA127" s="573">
        <f t="shared" si="46"/>
        <v>0</v>
      </c>
      <c r="AB127" s="573">
        <f t="shared" si="47"/>
        <v>0</v>
      </c>
    </row>
    <row r="128" spans="1:28" ht="12.75">
      <c r="A128" s="1369">
        <f t="shared" si="49"/>
        <v>3027</v>
      </c>
      <c r="B128" s="748"/>
      <c r="C128" s="749"/>
      <c r="D128" s="749"/>
      <c r="E128" s="750"/>
      <c r="F128" s="751"/>
      <c r="G128" s="840"/>
      <c r="H128" s="568"/>
      <c r="I128" s="568"/>
      <c r="J128" s="501"/>
      <c r="K128" s="501"/>
      <c r="L128" s="501"/>
      <c r="M128" s="501"/>
      <c r="N128" s="501"/>
      <c r="O128" s="501"/>
      <c r="P128" s="501"/>
      <c r="Q128" s="571">
        <f>H128-AB128</f>
        <v>0</v>
      </c>
      <c r="R128" s="571">
        <f t="shared" si="38"/>
        <v>0</v>
      </c>
      <c r="S128" s="571">
        <f>R128*F128/100</f>
        <v>0</v>
      </c>
      <c r="T128" s="570">
        <f>IF(G128="n",S128,E128/100*R128)</f>
        <v>0</v>
      </c>
      <c r="U128" s="573">
        <f t="shared" si="40"/>
        <v>0</v>
      </c>
      <c r="V128" s="573">
        <f t="shared" si="41"/>
        <v>0</v>
      </c>
      <c r="W128" s="573">
        <f t="shared" si="42"/>
        <v>0</v>
      </c>
      <c r="X128" s="573">
        <f t="shared" si="43"/>
        <v>0</v>
      </c>
      <c r="Y128" s="573">
        <f t="shared" si="44"/>
        <v>0</v>
      </c>
      <c r="Z128" s="573">
        <f t="shared" si="45"/>
        <v>0</v>
      </c>
      <c r="AA128" s="573">
        <f t="shared" si="46"/>
        <v>0</v>
      </c>
      <c r="AB128" s="573">
        <f t="shared" si="47"/>
        <v>0</v>
      </c>
    </row>
    <row r="129" spans="1:28" ht="12.75">
      <c r="A129" s="1369">
        <f t="shared" si="49"/>
        <v>3028</v>
      </c>
      <c r="B129" s="748"/>
      <c r="C129" s="749"/>
      <c r="D129" s="749"/>
      <c r="E129" s="750"/>
      <c r="F129" s="751"/>
      <c r="G129" s="840"/>
      <c r="H129" s="568"/>
      <c r="I129" s="568"/>
      <c r="J129" s="501"/>
      <c r="K129" s="501"/>
      <c r="L129" s="501"/>
      <c r="M129" s="501"/>
      <c r="N129" s="501"/>
      <c r="O129" s="501"/>
      <c r="P129" s="501"/>
      <c r="Q129" s="571">
        <f aca="true" t="shared" si="50" ref="Q129:Q136">H129-AB129</f>
        <v>0</v>
      </c>
      <c r="R129" s="571">
        <f t="shared" si="38"/>
        <v>0</v>
      </c>
      <c r="S129" s="571">
        <f aca="true" t="shared" si="51" ref="S129:S136">R129*F129/100</f>
        <v>0</v>
      </c>
      <c r="T129" s="570">
        <f aca="true" t="shared" si="52" ref="T129:T136">IF(G129="n",S129,E129/100*R129)</f>
        <v>0</v>
      </c>
      <c r="U129" s="573">
        <f t="shared" si="40"/>
        <v>0</v>
      </c>
      <c r="V129" s="573">
        <f t="shared" si="41"/>
        <v>0</v>
      </c>
      <c r="W129" s="573">
        <f t="shared" si="42"/>
        <v>0</v>
      </c>
      <c r="X129" s="573">
        <f t="shared" si="43"/>
        <v>0</v>
      </c>
      <c r="Y129" s="573">
        <f t="shared" si="44"/>
        <v>0</v>
      </c>
      <c r="Z129" s="573">
        <f t="shared" si="45"/>
        <v>0</v>
      </c>
      <c r="AA129" s="573">
        <f t="shared" si="46"/>
        <v>0</v>
      </c>
      <c r="AB129" s="573">
        <f t="shared" si="47"/>
        <v>0</v>
      </c>
    </row>
    <row r="130" spans="1:28" ht="12.75">
      <c r="A130" s="1369">
        <f t="shared" si="49"/>
        <v>3029</v>
      </c>
      <c r="B130" s="748"/>
      <c r="C130" s="749"/>
      <c r="D130" s="749"/>
      <c r="E130" s="750"/>
      <c r="F130" s="751"/>
      <c r="G130" s="840"/>
      <c r="H130" s="568"/>
      <c r="I130" s="568"/>
      <c r="J130" s="501"/>
      <c r="K130" s="501"/>
      <c r="L130" s="501"/>
      <c r="M130" s="501"/>
      <c r="N130" s="501"/>
      <c r="O130" s="501"/>
      <c r="P130" s="501"/>
      <c r="Q130" s="571">
        <f t="shared" si="50"/>
        <v>0</v>
      </c>
      <c r="R130" s="571">
        <f t="shared" si="38"/>
        <v>0</v>
      </c>
      <c r="S130" s="571">
        <f t="shared" si="51"/>
        <v>0</v>
      </c>
      <c r="T130" s="570">
        <f t="shared" si="52"/>
        <v>0</v>
      </c>
      <c r="U130" s="573">
        <f t="shared" si="40"/>
        <v>0</v>
      </c>
      <c r="V130" s="573">
        <f t="shared" si="41"/>
        <v>0</v>
      </c>
      <c r="W130" s="573">
        <f t="shared" si="42"/>
        <v>0</v>
      </c>
      <c r="X130" s="573">
        <f t="shared" si="43"/>
        <v>0</v>
      </c>
      <c r="Y130" s="573">
        <f t="shared" si="44"/>
        <v>0</v>
      </c>
      <c r="Z130" s="573">
        <f t="shared" si="45"/>
        <v>0</v>
      </c>
      <c r="AA130" s="573">
        <f t="shared" si="46"/>
        <v>0</v>
      </c>
      <c r="AB130" s="573">
        <f t="shared" si="47"/>
        <v>0</v>
      </c>
    </row>
    <row r="131" spans="1:28" ht="12.75">
      <c r="A131" s="1369">
        <f t="shared" si="49"/>
        <v>3030</v>
      </c>
      <c r="B131" s="748"/>
      <c r="C131" s="749"/>
      <c r="D131" s="749"/>
      <c r="E131" s="750"/>
      <c r="F131" s="751"/>
      <c r="G131" s="840"/>
      <c r="H131" s="568"/>
      <c r="I131" s="568"/>
      <c r="J131" s="501"/>
      <c r="K131" s="501"/>
      <c r="L131" s="501"/>
      <c r="M131" s="501"/>
      <c r="N131" s="501"/>
      <c r="O131" s="501"/>
      <c r="P131" s="501"/>
      <c r="Q131" s="571">
        <f t="shared" si="50"/>
        <v>0</v>
      </c>
      <c r="R131" s="571">
        <f t="shared" si="38"/>
        <v>0</v>
      </c>
      <c r="S131" s="571">
        <f t="shared" si="51"/>
        <v>0</v>
      </c>
      <c r="T131" s="570">
        <f t="shared" si="52"/>
        <v>0</v>
      </c>
      <c r="U131" s="573">
        <f t="shared" si="40"/>
        <v>0</v>
      </c>
      <c r="V131" s="573">
        <f t="shared" si="41"/>
        <v>0</v>
      </c>
      <c r="W131" s="573">
        <f t="shared" si="42"/>
        <v>0</v>
      </c>
      <c r="X131" s="573">
        <f t="shared" si="43"/>
        <v>0</v>
      </c>
      <c r="Y131" s="573">
        <f t="shared" si="44"/>
        <v>0</v>
      </c>
      <c r="Z131" s="573">
        <f t="shared" si="45"/>
        <v>0</v>
      </c>
      <c r="AA131" s="573">
        <f t="shared" si="46"/>
        <v>0</v>
      </c>
      <c r="AB131" s="573">
        <f t="shared" si="47"/>
        <v>0</v>
      </c>
    </row>
    <row r="132" spans="1:28" ht="12.75">
      <c r="A132" s="1369">
        <f t="shared" si="49"/>
        <v>3031</v>
      </c>
      <c r="B132" s="748"/>
      <c r="C132" s="749"/>
      <c r="D132" s="749"/>
      <c r="E132" s="750"/>
      <c r="F132" s="751"/>
      <c r="G132" s="840"/>
      <c r="H132" s="568"/>
      <c r="I132" s="568"/>
      <c r="J132" s="501"/>
      <c r="K132" s="501"/>
      <c r="L132" s="501"/>
      <c r="M132" s="501"/>
      <c r="N132" s="501"/>
      <c r="O132" s="501"/>
      <c r="P132" s="501"/>
      <c r="Q132" s="571">
        <f t="shared" si="50"/>
        <v>0</v>
      </c>
      <c r="R132" s="571">
        <f t="shared" si="38"/>
        <v>0</v>
      </c>
      <c r="S132" s="571">
        <f t="shared" si="51"/>
        <v>0</v>
      </c>
      <c r="T132" s="570">
        <f t="shared" si="52"/>
        <v>0</v>
      </c>
      <c r="U132" s="573">
        <f t="shared" si="40"/>
        <v>0</v>
      </c>
      <c r="V132" s="573">
        <f t="shared" si="41"/>
        <v>0</v>
      </c>
      <c r="W132" s="573">
        <f t="shared" si="42"/>
        <v>0</v>
      </c>
      <c r="X132" s="573">
        <f t="shared" si="43"/>
        <v>0</v>
      </c>
      <c r="Y132" s="573">
        <f t="shared" si="44"/>
        <v>0</v>
      </c>
      <c r="Z132" s="573">
        <f t="shared" si="45"/>
        <v>0</v>
      </c>
      <c r="AA132" s="573">
        <f t="shared" si="46"/>
        <v>0</v>
      </c>
      <c r="AB132" s="573">
        <f t="shared" si="47"/>
        <v>0</v>
      </c>
    </row>
    <row r="133" spans="1:28" ht="12.75">
      <c r="A133" s="1369">
        <f t="shared" si="49"/>
        <v>3032</v>
      </c>
      <c r="B133" s="748"/>
      <c r="C133" s="749"/>
      <c r="D133" s="749"/>
      <c r="E133" s="750"/>
      <c r="F133" s="751"/>
      <c r="G133" s="840"/>
      <c r="H133" s="568"/>
      <c r="I133" s="568"/>
      <c r="J133" s="501"/>
      <c r="K133" s="501"/>
      <c r="L133" s="501"/>
      <c r="M133" s="501"/>
      <c r="N133" s="501"/>
      <c r="O133" s="501"/>
      <c r="P133" s="501"/>
      <c r="Q133" s="571">
        <f t="shared" si="50"/>
        <v>0</v>
      </c>
      <c r="R133" s="571">
        <f t="shared" si="38"/>
        <v>0</v>
      </c>
      <c r="S133" s="571">
        <f t="shared" si="51"/>
        <v>0</v>
      </c>
      <c r="T133" s="570">
        <f t="shared" si="52"/>
        <v>0</v>
      </c>
      <c r="U133" s="573">
        <f t="shared" si="40"/>
        <v>0</v>
      </c>
      <c r="V133" s="573">
        <f t="shared" si="41"/>
        <v>0</v>
      </c>
      <c r="W133" s="573">
        <f t="shared" si="42"/>
        <v>0</v>
      </c>
      <c r="X133" s="573">
        <f t="shared" si="43"/>
        <v>0</v>
      </c>
      <c r="Y133" s="573">
        <f t="shared" si="44"/>
        <v>0</v>
      </c>
      <c r="Z133" s="573">
        <f t="shared" si="45"/>
        <v>0</v>
      </c>
      <c r="AA133" s="573">
        <f t="shared" si="46"/>
        <v>0</v>
      </c>
      <c r="AB133" s="573">
        <f t="shared" si="47"/>
        <v>0</v>
      </c>
    </row>
    <row r="134" spans="1:28" ht="12.75">
      <c r="A134" s="1369">
        <f t="shared" si="49"/>
        <v>3033</v>
      </c>
      <c r="B134" s="748"/>
      <c r="C134" s="749"/>
      <c r="D134" s="749"/>
      <c r="E134" s="750"/>
      <c r="F134" s="751"/>
      <c r="G134" s="840"/>
      <c r="H134" s="568"/>
      <c r="I134" s="568"/>
      <c r="J134" s="501"/>
      <c r="K134" s="501"/>
      <c r="L134" s="501"/>
      <c r="M134" s="501"/>
      <c r="N134" s="501"/>
      <c r="O134" s="501"/>
      <c r="P134" s="501"/>
      <c r="Q134" s="571">
        <f t="shared" si="50"/>
        <v>0</v>
      </c>
      <c r="R134" s="571">
        <f t="shared" si="38"/>
        <v>0</v>
      </c>
      <c r="S134" s="571">
        <f t="shared" si="51"/>
        <v>0</v>
      </c>
      <c r="T134" s="570">
        <f t="shared" si="52"/>
        <v>0</v>
      </c>
      <c r="U134" s="573">
        <f t="shared" si="40"/>
        <v>0</v>
      </c>
      <c r="V134" s="573">
        <f t="shared" si="41"/>
        <v>0</v>
      </c>
      <c r="W134" s="573">
        <f t="shared" si="42"/>
        <v>0</v>
      </c>
      <c r="X134" s="573">
        <f t="shared" si="43"/>
        <v>0</v>
      </c>
      <c r="Y134" s="573">
        <f t="shared" si="44"/>
        <v>0</v>
      </c>
      <c r="Z134" s="573">
        <f t="shared" si="45"/>
        <v>0</v>
      </c>
      <c r="AA134" s="573">
        <f t="shared" si="46"/>
        <v>0</v>
      </c>
      <c r="AB134" s="573">
        <f t="shared" si="47"/>
        <v>0</v>
      </c>
    </row>
    <row r="135" spans="1:28" ht="12.75">
      <c r="A135" s="1369">
        <f t="shared" si="49"/>
        <v>3034</v>
      </c>
      <c r="B135" s="748"/>
      <c r="C135" s="749"/>
      <c r="D135" s="749"/>
      <c r="E135" s="750"/>
      <c r="F135" s="751"/>
      <c r="G135" s="840"/>
      <c r="H135" s="568"/>
      <c r="I135" s="568"/>
      <c r="J135" s="501"/>
      <c r="K135" s="501"/>
      <c r="L135" s="501"/>
      <c r="M135" s="501"/>
      <c r="N135" s="501"/>
      <c r="O135" s="501"/>
      <c r="P135" s="501"/>
      <c r="Q135" s="571">
        <f t="shared" si="50"/>
        <v>0</v>
      </c>
      <c r="R135" s="571">
        <f t="shared" si="38"/>
        <v>0</v>
      </c>
      <c r="S135" s="571">
        <f t="shared" si="51"/>
        <v>0</v>
      </c>
      <c r="T135" s="570">
        <f t="shared" si="52"/>
        <v>0</v>
      </c>
      <c r="U135" s="573">
        <f t="shared" si="40"/>
        <v>0</v>
      </c>
      <c r="V135" s="573">
        <f t="shared" si="41"/>
        <v>0</v>
      </c>
      <c r="W135" s="573">
        <f t="shared" si="42"/>
        <v>0</v>
      </c>
      <c r="X135" s="573">
        <f t="shared" si="43"/>
        <v>0</v>
      </c>
      <c r="Y135" s="573">
        <f t="shared" si="44"/>
        <v>0</v>
      </c>
      <c r="Z135" s="573">
        <f t="shared" si="45"/>
        <v>0</v>
      </c>
      <c r="AA135" s="573">
        <f t="shared" si="46"/>
        <v>0</v>
      </c>
      <c r="AB135" s="573">
        <f t="shared" si="47"/>
        <v>0</v>
      </c>
    </row>
    <row r="136" spans="1:28" ht="12.75">
      <c r="A136" s="1369">
        <f t="shared" si="49"/>
        <v>3035</v>
      </c>
      <c r="B136" s="748"/>
      <c r="C136" s="749"/>
      <c r="D136" s="749"/>
      <c r="E136" s="750"/>
      <c r="F136" s="751"/>
      <c r="G136" s="840"/>
      <c r="H136" s="568"/>
      <c r="I136" s="568"/>
      <c r="J136" s="501"/>
      <c r="K136" s="501"/>
      <c r="L136" s="501"/>
      <c r="M136" s="501"/>
      <c r="N136" s="501"/>
      <c r="O136" s="501"/>
      <c r="P136" s="501"/>
      <c r="Q136" s="571">
        <f t="shared" si="50"/>
        <v>0</v>
      </c>
      <c r="R136" s="571">
        <f t="shared" si="38"/>
        <v>0</v>
      </c>
      <c r="S136" s="571">
        <f t="shared" si="51"/>
        <v>0</v>
      </c>
      <c r="T136" s="570">
        <f t="shared" si="52"/>
        <v>0</v>
      </c>
      <c r="U136" s="573">
        <f t="shared" si="40"/>
        <v>0</v>
      </c>
      <c r="V136" s="573">
        <f t="shared" si="41"/>
        <v>0</v>
      </c>
      <c r="W136" s="573">
        <f t="shared" si="42"/>
        <v>0</v>
      </c>
      <c r="X136" s="573">
        <f t="shared" si="43"/>
        <v>0</v>
      </c>
      <c r="Y136" s="573">
        <f t="shared" si="44"/>
        <v>0</v>
      </c>
      <c r="Z136" s="573">
        <f t="shared" si="45"/>
        <v>0</v>
      </c>
      <c r="AA136" s="573">
        <f t="shared" si="46"/>
        <v>0</v>
      </c>
      <c r="AB136" s="573">
        <f t="shared" si="47"/>
        <v>0</v>
      </c>
    </row>
    <row r="137" spans="1:28" ht="12.75">
      <c r="A137" s="1369">
        <f>A136+1</f>
        <v>3036</v>
      </c>
      <c r="B137" s="722" t="str">
        <f>CONCATENATE("Sub(totaal) regel ",A102," t/m ",A136)</f>
        <v>Sub(totaal) regel 3001 t/m 3035</v>
      </c>
      <c r="C137" s="722"/>
      <c r="D137" s="989"/>
      <c r="E137" s="719"/>
      <c r="F137" s="783"/>
      <c r="G137" s="784"/>
      <c r="H137" s="1181">
        <f>SUM(H102:H136)</f>
        <v>0</v>
      </c>
      <c r="I137" s="1182">
        <f>AB137</f>
        <v>0</v>
      </c>
      <c r="J137" s="773"/>
      <c r="K137" s="774"/>
      <c r="L137" s="774"/>
      <c r="M137" s="774"/>
      <c r="N137" s="774"/>
      <c r="O137" s="774"/>
      <c r="P137" s="775"/>
      <c r="Q137" s="752">
        <f>SUM(Q102:Q136)</f>
        <v>0</v>
      </c>
      <c r="R137" s="752">
        <f>SUM(R102:R136)</f>
        <v>0</v>
      </c>
      <c r="S137" s="752">
        <f>SUM(S102:S136)</f>
        <v>0</v>
      </c>
      <c r="T137" s="752">
        <f>SUM(T102:T136)</f>
        <v>0</v>
      </c>
      <c r="AB137" s="1186">
        <f>SUM(AB102:AB136)</f>
        <v>0</v>
      </c>
    </row>
    <row r="138" spans="1:20" ht="12.75">
      <c r="A138" s="1382"/>
      <c r="B138" s="454"/>
      <c r="C138" s="454"/>
      <c r="D138" s="476"/>
      <c r="E138" s="454"/>
      <c r="F138" s="454"/>
      <c r="G138" s="454"/>
      <c r="H138" s="502"/>
      <c r="I138" s="502"/>
      <c r="J138" s="502"/>
      <c r="K138" s="502"/>
      <c r="L138" s="502"/>
      <c r="M138" s="502"/>
      <c r="N138" s="502"/>
      <c r="O138" s="502"/>
      <c r="P138" s="502"/>
      <c r="Q138" s="502"/>
      <c r="R138" s="490"/>
      <c r="S138" s="456"/>
      <c r="T138" s="456"/>
    </row>
    <row r="139" spans="1:20" ht="12.75">
      <c r="A139" s="1388" t="s">
        <v>633</v>
      </c>
      <c r="B139" s="454"/>
      <c r="C139" s="454"/>
      <c r="D139" s="476"/>
      <c r="E139" s="454"/>
      <c r="F139" s="454"/>
      <c r="G139" s="454"/>
      <c r="H139" s="502"/>
      <c r="I139" s="502"/>
      <c r="J139" s="502"/>
      <c r="K139" s="502"/>
      <c r="L139" s="502"/>
      <c r="M139" s="502"/>
      <c r="N139" s="502"/>
      <c r="O139" s="502"/>
      <c r="P139" s="502"/>
      <c r="Q139" s="502"/>
      <c r="R139" s="490"/>
      <c r="S139" s="456"/>
      <c r="T139" s="456"/>
    </row>
    <row r="140" spans="1:7" ht="12.75">
      <c r="A140" s="1311" t="s">
        <v>12</v>
      </c>
      <c r="D140" s="435"/>
      <c r="E140" s="435"/>
      <c r="F140" s="435"/>
      <c r="G140" s="435"/>
    </row>
    <row r="141" spans="1:20" ht="12.75">
      <c r="A141" s="1387" t="str">
        <f>A96</f>
        <v>Nacalculatieformulier 2005</v>
      </c>
      <c r="B141" s="7"/>
      <c r="C141" s="7"/>
      <c r="D141" s="7"/>
      <c r="E141" s="7"/>
      <c r="F141" s="7"/>
      <c r="G141" s="7"/>
      <c r="H141" s="8"/>
      <c r="I141" s="625"/>
      <c r="J141" s="8"/>
      <c r="K141" s="8"/>
      <c r="L141" s="625"/>
      <c r="M141" s="625"/>
      <c r="N141" s="8"/>
      <c r="O141" s="625"/>
      <c r="P141" s="625"/>
      <c r="Q141" s="8"/>
      <c r="R141" s="769"/>
      <c r="S141" s="10">
        <f>T96+1</f>
        <v>31</v>
      </c>
      <c r="T141" s="447"/>
    </row>
    <row r="142" spans="1:20" ht="12.75">
      <c r="A142" s="1366"/>
      <c r="B142" s="649"/>
      <c r="C142" s="649"/>
      <c r="D142" s="167"/>
      <c r="E142" s="649"/>
      <c r="F142" s="649"/>
      <c r="G142" s="649"/>
      <c r="H142" s="168"/>
      <c r="I142" s="168"/>
      <c r="J142" s="168"/>
      <c r="K142" s="168"/>
      <c r="L142" s="168"/>
      <c r="M142" s="168"/>
      <c r="N142" s="168"/>
      <c r="O142" s="168"/>
      <c r="P142" s="168"/>
      <c r="Q142" s="168"/>
      <c r="R142" s="168"/>
      <c r="S142" s="567"/>
      <c r="T142" s="456"/>
    </row>
    <row r="143" spans="1:20" ht="12.75">
      <c r="A143" s="1367"/>
      <c r="B143" s="621" t="s">
        <v>658</v>
      </c>
      <c r="C143" s="652"/>
      <c r="D143" s="653"/>
      <c r="E143" s="555"/>
      <c r="F143" s="654"/>
      <c r="G143" s="654"/>
      <c r="H143" s="655"/>
      <c r="I143" s="655"/>
      <c r="J143" s="655"/>
      <c r="K143" s="655"/>
      <c r="L143" s="655"/>
      <c r="M143" s="655"/>
      <c r="N143" s="655"/>
      <c r="O143" s="655"/>
      <c r="P143" s="655"/>
      <c r="Q143" s="656"/>
      <c r="R143" s="613" t="s">
        <v>393</v>
      </c>
      <c r="S143" s="623" t="s">
        <v>602</v>
      </c>
      <c r="T143" s="456"/>
    </row>
    <row r="144" spans="1:20" ht="12.75">
      <c r="A144" s="1367"/>
      <c r="B144" s="610"/>
      <c r="C144" s="610"/>
      <c r="D144" s="626"/>
      <c r="E144" s="610"/>
      <c r="F144" s="632"/>
      <c r="G144" s="632"/>
      <c r="H144" s="657"/>
      <c r="I144" s="657"/>
      <c r="J144" s="657"/>
      <c r="K144" s="657"/>
      <c r="L144" s="657"/>
      <c r="M144" s="657"/>
      <c r="N144" s="657"/>
      <c r="O144" s="657"/>
      <c r="P144" s="657"/>
      <c r="Q144" s="657"/>
      <c r="R144" s="658"/>
      <c r="S144" s="614" t="s">
        <v>603</v>
      </c>
      <c r="T144" s="456"/>
    </row>
    <row r="145" spans="1:20" ht="12.75">
      <c r="A145" s="1384"/>
      <c r="B145" s="659" t="s">
        <v>608</v>
      </c>
      <c r="C145" s="659"/>
      <c r="D145" s="660"/>
      <c r="E145" s="661"/>
      <c r="F145" s="662"/>
      <c r="G145" s="662"/>
      <c r="H145" s="661"/>
      <c r="I145" s="1598"/>
      <c r="J145" s="1599"/>
      <c r="K145" s="1598"/>
      <c r="L145" s="1599"/>
      <c r="M145" s="1599"/>
      <c r="N145" s="1599"/>
      <c r="O145" s="1599"/>
      <c r="P145" s="1599"/>
      <c r="Q145" s="662"/>
      <c r="R145" s="663"/>
      <c r="S145" s="663"/>
      <c r="T145" s="503"/>
    </row>
    <row r="146" spans="1:19" ht="12.75">
      <c r="A146" s="1385">
        <f>S141*100+1</f>
        <v>3101</v>
      </c>
      <c r="B146" s="1601">
        <f>IF(I102=0,H102,(((DATE(Voorblad!$D$3,K102,J102)-DATE(Voorblad!$D$3,1,1))*H102)/Voorblad!L$3))</f>
        <v>0</v>
      </c>
      <c r="C146" s="1601"/>
      <c r="D146" s="1592">
        <f>IF(K102=0,0,(IF(L102=0,((DATE(Voorblad!D$3+1,1,1)-DATE(Voorblad!$D$3,(K102),J102))*(H102-(1*I102)))/Voorblad!L$3,((DATE(Voorblad!$D$3,(L102),J102)-DATE(Voorblad!$D$3,(K102),J102))*(H102-(1*I102)))/Voorblad!L$3)))</f>
        <v>0</v>
      </c>
      <c r="E146" s="1592"/>
      <c r="F146" s="1592">
        <f>IF(L102=0,0,(IF(M102=0,((DATE(Voorblad!D$3+1,1,1)-DATE(Voorblad!$D$3,(L102),J102))*(H102-(2*I102)))/365,((DATE(Voorblad!$D$3,(M102),J102)-DATE(Voorblad!$D$3,(L102),J102))*(H102-(2*I102)))/Voorblad!L$3)))</f>
        <v>0</v>
      </c>
      <c r="G146" s="1592"/>
      <c r="H146" s="504">
        <f>IF(M102=0,0,(IF(N102=0,((DATE(Voorblad!D$3+1,1,1)-DATE(Voorblad!$D$3,(M102),J102))*(H102-(3*I102)))/Voorblad!L$3,((DATE(Voorblad!$D$3,(N102),J102)-DATE(Voorblad!$D$3,(M102),J102))*(H102-(3*I102)))/Voorblad!L$3)))</f>
        <v>0</v>
      </c>
      <c r="I146" s="1592">
        <f>IF(N102=0,0,(IF(O102=0,((DATE(Voorblad!D$3+1,1,1)-DATE(Voorblad!$D$3,(N102),J102))*(H102-(4*I102)))/Voorblad!L$3,((DATE(Voorblad!$D$3,(O102),J102)-DATE(Voorblad!$D$3,(N102),J102))*(H102-(4*I102)))/Voorblad!L$3)))</f>
        <v>0</v>
      </c>
      <c r="J146" s="1592"/>
      <c r="K146" s="1592">
        <f>IF(O102=0,0,(IF(P102=0,((DATE(Voorblad!D$3+1,1,1)-DATE(Voorblad!$D$3,(O102),J102))*(H102-(5*I102)))/Voorblad!L$3,((DATE(Voorblad!$D$3,(P102),J102)-DATE(Voorblad!$D$3,(O102),J102))*(H102-(5*I102)))/Voorblad!L$3)))</f>
        <v>0</v>
      </c>
      <c r="L146" s="1592"/>
      <c r="M146" s="1592"/>
      <c r="N146" s="1592"/>
      <c r="O146" s="1592"/>
      <c r="P146" s="1592"/>
      <c r="Q146" s="505">
        <f>IF(P102=0,0,((DATE(Voorblad!D$3+1,1,1)-DATE(Voorblad!$D$3,(P102),J102))*(H102-(6*I102)))/Voorblad!L$3)</f>
        <v>0</v>
      </c>
      <c r="R146" s="576">
        <f aca="true" t="shared" si="53" ref="R146:R155">SUM(B146:Q146)</f>
        <v>0</v>
      </c>
      <c r="S146" s="571">
        <f aca="true" t="shared" si="54" ref="S146:S180">IF(G102="n",R146*(F102/100),R146*(E102/100))</f>
        <v>0</v>
      </c>
    </row>
    <row r="147" spans="1:19" ht="12.75">
      <c r="A147" s="1385">
        <f>A146+1</f>
        <v>3102</v>
      </c>
      <c r="B147" s="1601">
        <f>IF(I103=0,H103,(((DATE(Voorblad!$D$3,K103,J103)-DATE(Voorblad!$D$3,1,1))*H103)/Voorblad!L$3))</f>
        <v>0</v>
      </c>
      <c r="C147" s="1601"/>
      <c r="D147" s="1592">
        <f>IF(K103=0,0,(IF(L103=0,((DATE(Voorblad!D$3+1,1,1)-DATE(Voorblad!$D$3,(K103),J103))*(H103-(1*I103)))/Voorblad!L$3,((DATE(Voorblad!$D$3,(L103),J103)-DATE(Voorblad!$D$3,(K103),J103))*(H103-(1*I103)))/Voorblad!L$3)))</f>
        <v>0</v>
      </c>
      <c r="E147" s="1592"/>
      <c r="F147" s="1592">
        <f>IF(L103=0,0,(IF(M103=0,((DATE(Voorblad!D$3+1,1,1)-DATE(Voorblad!$D$3,(L103),J103))*(H103-(2*I103)))/365,((DATE(Voorblad!$D$3,(M103),J103)-DATE(Voorblad!$D$3,(L103),J103))*(H103-(2*I103)))/Voorblad!L$3)))</f>
        <v>0</v>
      </c>
      <c r="G147" s="1592"/>
      <c r="H147" s="504">
        <f>IF(M103=0,0,(IF(N103=0,((DATE(Voorblad!D$3+1,1,1)-DATE(Voorblad!$D$3,(M103),J103))*(H103-(3*I103)))/Voorblad!L$3,((DATE(Voorblad!$D$3,(N103),J103)-DATE(Voorblad!$D$3,(M103),J103))*(H103-(3*I103)))/Voorblad!L$3)))</f>
        <v>0</v>
      </c>
      <c r="I147" s="1592">
        <f>IF(N103=0,0,(IF(O103=0,((DATE(Voorblad!D$3+1,1,1)-DATE(Voorblad!$D$3,(N103),J103))*(H103-(4*I103)))/Voorblad!L$3,((DATE(Voorblad!$D$3,(O103),J103)-DATE(Voorblad!$D$3,(N103),J103))*(H103-(4*I103)))/Voorblad!L$3)))</f>
        <v>0</v>
      </c>
      <c r="J147" s="1592"/>
      <c r="K147" s="1592">
        <f>IF(O103=0,0,(IF(P103=0,((DATE(Voorblad!D$3+1,1,1)-DATE(Voorblad!$D$3,(O103),J103))*(H103-(5*I103)))/Voorblad!L$3,((DATE(Voorblad!$D$3,(P103),J103)-DATE(Voorblad!$D$3,(O103),J103))*(H103-(5*I103)))/Voorblad!L$3)))</f>
        <v>0</v>
      </c>
      <c r="L147" s="1592"/>
      <c r="M147" s="1592"/>
      <c r="N147" s="1592"/>
      <c r="O147" s="1592"/>
      <c r="P147" s="1592"/>
      <c r="Q147" s="505">
        <f>IF(P103=0,0,((DATE(Voorblad!D$3+1,1,1)-DATE(Voorblad!$D$3,(P103),J103))*(H103-(6*I103)))/Voorblad!L$3)</f>
        <v>0</v>
      </c>
      <c r="R147" s="576">
        <f t="shared" si="53"/>
        <v>0</v>
      </c>
      <c r="S147" s="571">
        <f t="shared" si="54"/>
        <v>0</v>
      </c>
    </row>
    <row r="148" spans="1:19" ht="12.75">
      <c r="A148" s="1385">
        <f>A147+1</f>
        <v>3103</v>
      </c>
      <c r="B148" s="1601">
        <f>IF(I104=0,H104,(((DATE(Voorblad!$D$3,K104,J104)-DATE(Voorblad!$D$3,1,1))*H104)/Voorblad!L$3))</f>
        <v>0</v>
      </c>
      <c r="C148" s="1601"/>
      <c r="D148" s="1592">
        <f>IF(K104=0,0,(IF(L104=0,((DATE(Voorblad!D$3+1,1,1)-DATE(Voorblad!$D$3,(K104),J104))*(H104-(1*I104)))/Voorblad!L$3,((DATE(Voorblad!$D$3,(L104),J104)-DATE(Voorblad!$D$3,(K104),J104))*(H104-(1*I104)))/Voorblad!L$3)))</f>
        <v>0</v>
      </c>
      <c r="E148" s="1592"/>
      <c r="F148" s="1592">
        <f>IF(L104=0,0,(IF(M104=0,((DATE(Voorblad!D$3+1,1,1)-DATE(Voorblad!$D$3,(L104),J104))*(H104-(2*I104)))/365,((DATE(Voorblad!$D$3,(M104),J104)-DATE(Voorblad!$D$3,(L104),J104))*(H104-(2*I104)))/Voorblad!L$3)))</f>
        <v>0</v>
      </c>
      <c r="G148" s="1592"/>
      <c r="H148" s="504">
        <f>IF(M104=0,0,(IF(N104=0,((DATE(Voorblad!D$3+1,1,1)-DATE(Voorblad!$D$3,(M104),J104))*(H104-(3*I104)))/Voorblad!L$3,((DATE(Voorblad!$D$3,(N104),J104)-DATE(Voorblad!$D$3,(M104),J104))*(H104-(3*I104)))/Voorblad!L$3)))</f>
        <v>0</v>
      </c>
      <c r="I148" s="1592">
        <f>IF(N104=0,0,(IF(O104=0,((DATE(Voorblad!D$3+1,1,1)-DATE(Voorblad!$D$3,(N104),J104))*(H104-(4*I104)))/Voorblad!L$3,((DATE(Voorblad!$D$3,(O104),J104)-DATE(Voorblad!$D$3,(N104),J104))*(H104-(4*I104)))/Voorblad!L$3)))</f>
        <v>0</v>
      </c>
      <c r="J148" s="1592"/>
      <c r="K148" s="1592">
        <f>IF(O104=0,0,(IF(P104=0,((DATE(Voorblad!D$3+1,1,1)-DATE(Voorblad!$D$3,(O104),J104))*(H104-(5*I104)))/Voorblad!L$3,((DATE(Voorblad!$D$3,(P104),J104)-DATE(Voorblad!$D$3,(O104),J104))*(H104-(5*I104)))/Voorblad!L$3)))</f>
        <v>0</v>
      </c>
      <c r="L148" s="1592"/>
      <c r="M148" s="1592"/>
      <c r="N148" s="1592"/>
      <c r="O148" s="1592"/>
      <c r="P148" s="1592"/>
      <c r="Q148" s="505">
        <f>IF(P104=0,0,((DATE(Voorblad!D$3+1,1,1)-DATE(Voorblad!$D$3,(P104),J104))*(H104-(6*I104)))/Voorblad!L$3)</f>
        <v>0</v>
      </c>
      <c r="R148" s="576">
        <f t="shared" si="53"/>
        <v>0</v>
      </c>
      <c r="S148" s="571">
        <f t="shared" si="54"/>
        <v>0</v>
      </c>
    </row>
    <row r="149" spans="1:19" ht="12.75">
      <c r="A149" s="1385">
        <f aca="true" t="shared" si="55" ref="A149:A181">A148+1</f>
        <v>3104</v>
      </c>
      <c r="B149" s="1601">
        <f>IF(I105=0,H105,(((DATE(Voorblad!$D$3,K105,J105)-DATE(Voorblad!$D$3,1,1))*H105)/Voorblad!L$3))</f>
        <v>0</v>
      </c>
      <c r="C149" s="1601"/>
      <c r="D149" s="1592">
        <f>IF(K105=0,0,(IF(L105=0,((DATE(Voorblad!D$3+1,1,1)-DATE(Voorblad!$D$3,(K105),J105))*(H105-(1*I105)))/Voorblad!L$3,((DATE(Voorblad!$D$3,(L105),J105)-DATE(Voorblad!$D$3,(K105),J105))*(H105-(1*I105)))/Voorblad!L$3)))</f>
        <v>0</v>
      </c>
      <c r="E149" s="1592"/>
      <c r="F149" s="1592">
        <f>IF(L105=0,0,(IF(M105=0,((DATE(Voorblad!D$3+1,1,1)-DATE(Voorblad!$D$3,(L105),J105))*(H105-(2*I105)))/365,((DATE(Voorblad!$D$3,(M105),J105)-DATE(Voorblad!$D$3,(L105),J105))*(H105-(2*I105)))/Voorblad!L$3)))</f>
        <v>0</v>
      </c>
      <c r="G149" s="1592"/>
      <c r="H149" s="504">
        <f>IF(M105=0,0,(IF(N105=0,((DATE(Voorblad!D$3+1,1,1)-DATE(Voorblad!$D$3,(M105),J105))*(H105-(3*I105)))/Voorblad!L$3,((DATE(Voorblad!$D$3,(N105),J105)-DATE(Voorblad!$D$3,(M105),J105))*(H105-(3*I105)))/Voorblad!L$3)))</f>
        <v>0</v>
      </c>
      <c r="I149" s="1592">
        <f>IF(N105=0,0,(IF(O105=0,((DATE(Voorblad!D$3+1,1,1)-DATE(Voorblad!$D$3,(N105),J105))*(H105-(4*I105)))/Voorblad!L$3,((DATE(Voorblad!$D$3,(O105),J105)-DATE(Voorblad!$D$3,(N105),J105))*(H105-(4*I105)))/Voorblad!L$3)))</f>
        <v>0</v>
      </c>
      <c r="J149" s="1592"/>
      <c r="K149" s="1592">
        <f>IF(O105=0,0,(IF(P105=0,((DATE(Voorblad!D$3+1,1,1)-DATE(Voorblad!$D$3,(O105),J105))*(H105-(5*I105)))/Voorblad!L$3,((DATE(Voorblad!$D$3,(P105),J105)-DATE(Voorblad!$D$3,(O105),J105))*(H105-(5*I105)))/Voorblad!L$3)))</f>
        <v>0</v>
      </c>
      <c r="L149" s="1592"/>
      <c r="M149" s="1592"/>
      <c r="N149" s="1592"/>
      <c r="O149" s="1592"/>
      <c r="P149" s="1592"/>
      <c r="Q149" s="505">
        <f>IF(P105=0,0,((DATE(Voorblad!D$3+1,1,1)-DATE(Voorblad!$D$3,(P105),J105))*(H105-(6*I105)))/Voorblad!L$3)</f>
        <v>0</v>
      </c>
      <c r="R149" s="576">
        <f t="shared" si="53"/>
        <v>0</v>
      </c>
      <c r="S149" s="571">
        <f t="shared" si="54"/>
        <v>0</v>
      </c>
    </row>
    <row r="150" spans="1:19" ht="12.75">
      <c r="A150" s="1385">
        <f t="shared" si="55"/>
        <v>3105</v>
      </c>
      <c r="B150" s="1601">
        <f>IF(I106=0,H106,(((DATE(Voorblad!$D$3,K106,J106)-DATE(Voorblad!$D$3,1,1))*H106)/Voorblad!L$3))</f>
        <v>0</v>
      </c>
      <c r="C150" s="1601"/>
      <c r="D150" s="1592">
        <f>IF(K106=0,0,(IF(L106=0,((DATE(Voorblad!D$3+1,1,1)-DATE(Voorblad!$D$3,(K106),J106))*(H106-(1*I106)))/Voorblad!L$3,((DATE(Voorblad!$D$3,(L106),J106)-DATE(Voorblad!$D$3,(K106),J106))*(H106-(1*I106)))/Voorblad!L$3)))</f>
        <v>0</v>
      </c>
      <c r="E150" s="1592"/>
      <c r="F150" s="1592">
        <f>IF(L106=0,0,(IF(M106=0,((DATE(Voorblad!D$3+1,1,1)-DATE(Voorblad!$D$3,(L106),J106))*(H106-(2*I106)))/365,((DATE(Voorblad!$D$3,(M106),J106)-DATE(Voorblad!$D$3,(L106),J106))*(H106-(2*I106)))/Voorblad!L$3)))</f>
        <v>0</v>
      </c>
      <c r="G150" s="1592"/>
      <c r="H150" s="504">
        <f>IF(M106=0,0,(IF(N106=0,((DATE(Voorblad!D$3+1,1,1)-DATE(Voorblad!$D$3,(M106),J106))*(H106-(3*I106)))/Voorblad!L$3,((DATE(Voorblad!$D$3,(N106),J106)-DATE(Voorblad!$D$3,(M106),J106))*(H106-(3*I106)))/Voorblad!L$3)))</f>
        <v>0</v>
      </c>
      <c r="I150" s="1592">
        <f>IF(N106=0,0,(IF(O106=0,((DATE(Voorblad!D$3+1,1,1)-DATE(Voorblad!$D$3,(N106),J106))*(H106-(4*I106)))/Voorblad!L$3,((DATE(Voorblad!$D$3,(O106),J106)-DATE(Voorblad!$D$3,(N106),J106))*(H106-(4*I106)))/Voorblad!L$3)))</f>
        <v>0</v>
      </c>
      <c r="J150" s="1592"/>
      <c r="K150" s="1592">
        <f>IF(O106=0,0,(IF(P106=0,((DATE(Voorblad!D$3+1,1,1)-DATE(Voorblad!$D$3,(O106),J106))*(H106-(5*I106)))/Voorblad!L$3,((DATE(Voorblad!$D$3,(P106),J106)-DATE(Voorblad!$D$3,(O106),J106))*(H106-(5*I106)))/Voorblad!L$3)))</f>
        <v>0</v>
      </c>
      <c r="L150" s="1592"/>
      <c r="M150" s="1592"/>
      <c r="N150" s="1592"/>
      <c r="O150" s="1592"/>
      <c r="P150" s="1592"/>
      <c r="Q150" s="505">
        <f>IF(P106=0,0,((DATE(Voorblad!D$3+1,1,1)-DATE(Voorblad!$D$3,(P106),J106))*(H106-(6*I106)))/Voorblad!L$3)</f>
        <v>0</v>
      </c>
      <c r="R150" s="576">
        <f t="shared" si="53"/>
        <v>0</v>
      </c>
      <c r="S150" s="571">
        <f t="shared" si="54"/>
        <v>0</v>
      </c>
    </row>
    <row r="151" spans="1:19" ht="12.75">
      <c r="A151" s="1385">
        <f t="shared" si="55"/>
        <v>3106</v>
      </c>
      <c r="B151" s="1601">
        <f>IF(I107=0,H107,(((DATE(Voorblad!$D$3,K107,J107)-DATE(Voorblad!$D$3,1,1))*H107)/Voorblad!L$3))</f>
        <v>0</v>
      </c>
      <c r="C151" s="1601"/>
      <c r="D151" s="1592">
        <f>IF(K107=0,0,(IF(L107=0,((DATE(Voorblad!D$3+1,1,1)-DATE(Voorblad!$D$3,(K107),J107))*(H107-(1*I107)))/Voorblad!L$3,((DATE(Voorblad!$D$3,(L107),J107)-DATE(Voorblad!$D$3,(K107),J107))*(H107-(1*I107)))/Voorblad!L$3)))</f>
        <v>0</v>
      </c>
      <c r="E151" s="1592"/>
      <c r="F151" s="1592">
        <f>IF(L107=0,0,(IF(M107=0,((DATE(Voorblad!D$3+1,1,1)-DATE(Voorblad!$D$3,(L107),J107))*(H107-(2*I107)))/365,((DATE(Voorblad!$D$3,(M107),J107)-DATE(Voorblad!$D$3,(L107),J107))*(H107-(2*I107)))/Voorblad!L$3)))</f>
        <v>0</v>
      </c>
      <c r="G151" s="1592"/>
      <c r="H151" s="504">
        <f>IF(M107=0,0,(IF(N107=0,((DATE(Voorblad!D$3+1,1,1)-DATE(Voorblad!$D$3,(M107),J107))*(H107-(3*I107)))/Voorblad!L$3,((DATE(Voorblad!$D$3,(N107),J107)-DATE(Voorblad!$D$3,(M107),J107))*(H107-(3*I107)))/Voorblad!L$3)))</f>
        <v>0</v>
      </c>
      <c r="I151" s="1592">
        <f>IF(N107=0,0,(IF(O107=0,((DATE(Voorblad!D$3+1,1,1)-DATE(Voorblad!$D$3,(N107),J107))*(H107-(4*I107)))/Voorblad!L$3,((DATE(Voorblad!$D$3,(O107),J107)-DATE(Voorblad!$D$3,(N107),J107))*(H107-(4*I107)))/Voorblad!L$3)))</f>
        <v>0</v>
      </c>
      <c r="J151" s="1592"/>
      <c r="K151" s="1592">
        <f>IF(O107=0,0,(IF(P107=0,((DATE(Voorblad!D$3+1,1,1)-DATE(Voorblad!$D$3,(O107),J107))*(H107-(5*I107)))/Voorblad!L$3,((DATE(Voorblad!$D$3,(P107),J107)-DATE(Voorblad!$D$3,(O107),J107))*(H107-(5*I107)))/Voorblad!L$3)))</f>
        <v>0</v>
      </c>
      <c r="L151" s="1592"/>
      <c r="M151" s="1592"/>
      <c r="N151" s="1592"/>
      <c r="O151" s="1592"/>
      <c r="P151" s="1592"/>
      <c r="Q151" s="505">
        <f>IF(P107=0,0,((DATE(Voorblad!D$3+1,1,1)-DATE(Voorblad!$D$3,(P107),J107))*(H107-(6*I107)))/Voorblad!L$3)</f>
        <v>0</v>
      </c>
      <c r="R151" s="576">
        <f t="shared" si="53"/>
        <v>0</v>
      </c>
      <c r="S151" s="571">
        <f t="shared" si="54"/>
        <v>0</v>
      </c>
    </row>
    <row r="152" spans="1:19" ht="12.75">
      <c r="A152" s="1385">
        <f t="shared" si="55"/>
        <v>3107</v>
      </c>
      <c r="B152" s="1601">
        <f>IF(I108=0,H108,(((DATE(Voorblad!$D$3,K108,J108)-DATE(Voorblad!$D$3,1,1))*H108)/Voorblad!L$3))</f>
        <v>0</v>
      </c>
      <c r="C152" s="1601"/>
      <c r="D152" s="1592">
        <f>IF(K108=0,0,(IF(L108=0,((DATE(Voorblad!D$3+1,1,1)-DATE(Voorblad!$D$3,(K108),J108))*(H108-(1*I108)))/Voorblad!L$3,((DATE(Voorblad!$D$3,(L108),J108)-DATE(Voorblad!$D$3,(K108),J108))*(H108-(1*I108)))/Voorblad!L$3)))</f>
        <v>0</v>
      </c>
      <c r="E152" s="1592"/>
      <c r="F152" s="1592">
        <f>IF(L108=0,0,(IF(M108=0,((DATE(Voorblad!D$3+1,1,1)-DATE(Voorblad!$D$3,(L108),J108))*(H108-(2*I108)))/365,((DATE(Voorblad!$D$3,(M108),J108)-DATE(Voorblad!$D$3,(L108),J108))*(H108-(2*I108)))/Voorblad!L$3)))</f>
        <v>0</v>
      </c>
      <c r="G152" s="1592"/>
      <c r="H152" s="504">
        <f>IF(M108=0,0,(IF(N108=0,((DATE(Voorblad!D$3+1,1,1)-DATE(Voorblad!$D$3,(M108),J108))*(H108-(3*I108)))/Voorblad!L$3,((DATE(Voorblad!$D$3,(N108),J108)-DATE(Voorblad!$D$3,(M108),J108))*(H108-(3*I108)))/Voorblad!L$3)))</f>
        <v>0</v>
      </c>
      <c r="I152" s="1592">
        <f>IF(N108=0,0,(IF(O108=0,((DATE(Voorblad!D$3+1,1,1)-DATE(Voorblad!$D$3,(N108),J108))*(H108-(4*I108)))/Voorblad!L$3,((DATE(Voorblad!$D$3,(O108),J108)-DATE(Voorblad!$D$3,(N108),J108))*(H108-(4*I108)))/Voorblad!L$3)))</f>
        <v>0</v>
      </c>
      <c r="J152" s="1592"/>
      <c r="K152" s="1592">
        <f>IF(O108=0,0,(IF(P108=0,((DATE(Voorblad!D$3+1,1,1)-DATE(Voorblad!$D$3,(O108),J108))*(H108-(5*I108)))/Voorblad!L$3,((DATE(Voorblad!$D$3,(P108),J108)-DATE(Voorblad!$D$3,(O108),J108))*(H108-(5*I108)))/Voorblad!L$3)))</f>
        <v>0</v>
      </c>
      <c r="L152" s="1592"/>
      <c r="M152" s="1592"/>
      <c r="N152" s="1592"/>
      <c r="O152" s="1592"/>
      <c r="P152" s="1592"/>
      <c r="Q152" s="505">
        <f>IF(P108=0,0,((DATE(Voorblad!D$3+1,1,1)-DATE(Voorblad!$D$3,(P108),J108))*(H108-(6*I108)))/Voorblad!L$3)</f>
        <v>0</v>
      </c>
      <c r="R152" s="576">
        <f t="shared" si="53"/>
        <v>0</v>
      </c>
      <c r="S152" s="571">
        <f t="shared" si="54"/>
        <v>0</v>
      </c>
    </row>
    <row r="153" spans="1:19" ht="12.75">
      <c r="A153" s="1385">
        <f t="shared" si="55"/>
        <v>3108</v>
      </c>
      <c r="B153" s="1601">
        <f>IF(I109=0,H109,(((DATE(Voorblad!$D$3,K109,J109)-DATE(Voorblad!$D$3,1,1))*H109)/Voorblad!L$3))</f>
        <v>0</v>
      </c>
      <c r="C153" s="1601"/>
      <c r="D153" s="1592">
        <f>IF(K109=0,0,(IF(L109=0,((DATE(Voorblad!D$3+1,1,1)-DATE(Voorblad!$D$3,(K109),J109))*(H109-(1*I109)))/Voorblad!L$3,((DATE(Voorblad!$D$3,(L109),J109)-DATE(Voorblad!$D$3,(K109),J109))*(H109-(1*I109)))/Voorblad!L$3)))</f>
        <v>0</v>
      </c>
      <c r="E153" s="1592"/>
      <c r="F153" s="1592">
        <f>IF(L109=0,0,(IF(M109=0,((DATE(Voorblad!D$3+1,1,1)-DATE(Voorblad!$D$3,(L109),J109))*(H109-(2*I109)))/365,((DATE(Voorblad!$D$3,(M109),J109)-DATE(Voorblad!$D$3,(L109),J109))*(H109-(2*I109)))/Voorblad!L$3)))</f>
        <v>0</v>
      </c>
      <c r="G153" s="1592"/>
      <c r="H153" s="504">
        <f>IF(M109=0,0,(IF(N109=0,((DATE(Voorblad!D$3+1,1,1)-DATE(Voorblad!$D$3,(M109),J109))*(H109-(3*I109)))/Voorblad!L$3,((DATE(Voorblad!$D$3,(N109),J109)-DATE(Voorblad!$D$3,(M109),J109))*(H109-(3*I109)))/Voorblad!L$3)))</f>
        <v>0</v>
      </c>
      <c r="I153" s="1592">
        <f>IF(N109=0,0,(IF(O109=0,((DATE(Voorblad!D$3+1,1,1)-DATE(Voorblad!$D$3,(N109),J109))*(H109-(4*I109)))/Voorblad!L$3,((DATE(Voorblad!$D$3,(O109),J109)-DATE(Voorblad!$D$3,(N109),J109))*(H109-(4*I109)))/Voorblad!L$3)))</f>
        <v>0</v>
      </c>
      <c r="J153" s="1592"/>
      <c r="K153" s="1592">
        <f>IF(O109=0,0,(IF(P109=0,((DATE(Voorblad!D$3+1,1,1)-DATE(Voorblad!$D$3,(O109),J109))*(H109-(5*I109)))/Voorblad!L$3,((DATE(Voorblad!$D$3,(P109),J109)-DATE(Voorblad!$D$3,(O109),J109))*(H109-(5*I109)))/Voorblad!L$3)))</f>
        <v>0</v>
      </c>
      <c r="L153" s="1592"/>
      <c r="M153" s="1592"/>
      <c r="N153" s="1592"/>
      <c r="O153" s="1592"/>
      <c r="P153" s="1592"/>
      <c r="Q153" s="505">
        <f>IF(P109=0,0,((DATE(Voorblad!D$3+1,1,1)-DATE(Voorblad!$D$3,(P109),J109))*(H109-(6*I109)))/Voorblad!L$3)</f>
        <v>0</v>
      </c>
      <c r="R153" s="576">
        <f t="shared" si="53"/>
        <v>0</v>
      </c>
      <c r="S153" s="571">
        <f t="shared" si="54"/>
        <v>0</v>
      </c>
    </row>
    <row r="154" spans="1:19" ht="12.75">
      <c r="A154" s="1385">
        <f t="shared" si="55"/>
        <v>3109</v>
      </c>
      <c r="B154" s="1601">
        <f>IF(I110=0,H110,(((DATE(Voorblad!$D$3,K110,J110)-DATE(Voorblad!$D$3,1,1))*H110)/Voorblad!L$3))</f>
        <v>0</v>
      </c>
      <c r="C154" s="1601"/>
      <c r="D154" s="1592">
        <f>IF(K110=0,0,(IF(L110=0,((DATE(Voorblad!D$3+1,1,1)-DATE(Voorblad!$D$3,(K110),J110))*(H110-(1*I110)))/Voorblad!L$3,((DATE(Voorblad!$D$3,(L110),J110)-DATE(Voorblad!$D$3,(K110),J110))*(H110-(1*I110)))/Voorblad!L$3)))</f>
        <v>0</v>
      </c>
      <c r="E154" s="1592"/>
      <c r="F154" s="1592">
        <f>IF(L110=0,0,(IF(M110=0,((DATE(Voorblad!D$3+1,1,1)-DATE(Voorblad!$D$3,(L110),J110))*(H110-(2*I110)))/365,((DATE(Voorblad!$D$3,(M110),J110)-DATE(Voorblad!$D$3,(L110),J110))*(H110-(2*I110)))/Voorblad!L$3)))</f>
        <v>0</v>
      </c>
      <c r="G154" s="1592"/>
      <c r="H154" s="504">
        <f>IF(M110=0,0,(IF(N110=0,((DATE(Voorblad!D$3+1,1,1)-DATE(Voorblad!$D$3,(M110),J110))*(H110-(3*I110)))/Voorblad!L$3,((DATE(Voorblad!$D$3,(N110),J110)-DATE(Voorblad!$D$3,(M110),J110))*(H110-(3*I110)))/Voorblad!L$3)))</f>
        <v>0</v>
      </c>
      <c r="I154" s="1592">
        <f>IF(N110=0,0,(IF(O110=0,((DATE(Voorblad!D$3+1,1,1)-DATE(Voorblad!$D$3,(N110),J110))*(H110-(4*I110)))/Voorblad!L$3,((DATE(Voorblad!$D$3,(O110),J110)-DATE(Voorblad!$D$3,(N110),J110))*(H110-(4*I110)))/Voorblad!L$3)))</f>
        <v>0</v>
      </c>
      <c r="J154" s="1592"/>
      <c r="K154" s="1592">
        <f>IF(O110=0,0,(IF(P110=0,((DATE(Voorblad!D$3+1,1,1)-DATE(Voorblad!$D$3,(O110),J110))*(H110-(5*I110)))/Voorblad!L$3,((DATE(Voorblad!$D$3,(P110),J110)-DATE(Voorblad!$D$3,(O110),J110))*(H110-(5*I110)))/Voorblad!L$3)))</f>
        <v>0</v>
      </c>
      <c r="L154" s="1592"/>
      <c r="M154" s="1592"/>
      <c r="N154" s="1592"/>
      <c r="O154" s="1592"/>
      <c r="P154" s="1592"/>
      <c r="Q154" s="505">
        <f>IF(P110=0,0,((DATE(Voorblad!D$3+1,1,1)-DATE(Voorblad!$D$3,(P110),J110))*(H110-(6*I110)))/Voorblad!L$3)</f>
        <v>0</v>
      </c>
      <c r="R154" s="576">
        <f t="shared" si="53"/>
        <v>0</v>
      </c>
      <c r="S154" s="571">
        <f t="shared" si="54"/>
        <v>0</v>
      </c>
    </row>
    <row r="155" spans="1:19" ht="12.75">
      <c r="A155" s="1385">
        <f t="shared" si="55"/>
        <v>3110</v>
      </c>
      <c r="B155" s="1601">
        <f>IF(I111=0,H111,(((DATE(Voorblad!$D$3,K111,J111)-DATE(Voorblad!$D$3,1,1))*H111)/Voorblad!L$3))</f>
        <v>0</v>
      </c>
      <c r="C155" s="1601"/>
      <c r="D155" s="1592">
        <f>IF(K111=0,0,(IF(L111=0,((DATE(Voorblad!D$3+1,1,1)-DATE(Voorblad!$D$3,(K111),J111))*(H111-(1*I111)))/Voorblad!L$3,((DATE(Voorblad!$D$3,(L111),J111)-DATE(Voorblad!$D$3,(K111),J111))*(H111-(1*I111)))/Voorblad!L$3)))</f>
        <v>0</v>
      </c>
      <c r="E155" s="1592"/>
      <c r="F155" s="1592">
        <f>IF(L111=0,0,(IF(M111=0,((DATE(Voorblad!D$3+1,1,1)-DATE(Voorblad!$D$3,(L111),J111))*(H111-(2*I111)))/365,((DATE(Voorblad!$D$3,(M111),J111)-DATE(Voorblad!$D$3,(L111),J111))*(H111-(2*I111)))/Voorblad!L$3)))</f>
        <v>0</v>
      </c>
      <c r="G155" s="1592"/>
      <c r="H155" s="504">
        <f>IF(M111=0,0,(IF(N111=0,((DATE(Voorblad!D$3+1,1,1)-DATE(Voorblad!$D$3,(M111),J111))*(H111-(3*I111)))/Voorblad!L$3,((DATE(Voorblad!$D$3,(N111),J111)-DATE(Voorblad!$D$3,(M111),J111))*(H111-(3*I111)))/Voorblad!L$3)))</f>
        <v>0</v>
      </c>
      <c r="I155" s="1592">
        <f>IF(N111=0,0,(IF(O111=0,((DATE(Voorblad!D$3+1,1,1)-DATE(Voorblad!$D$3,(N111),J111))*(H111-(4*I111)))/Voorblad!L$3,((DATE(Voorblad!$D$3,(O111),J111)-DATE(Voorblad!$D$3,(N111),J111))*(H111-(4*I111)))/Voorblad!L$3)))</f>
        <v>0</v>
      </c>
      <c r="J155" s="1592"/>
      <c r="K155" s="1592">
        <f>IF(O111=0,0,(IF(P111=0,((DATE(Voorblad!D$3+1,1,1)-DATE(Voorblad!$D$3,(O111),J111))*(H111-(5*I111)))/Voorblad!L$3,((DATE(Voorblad!$D$3,(P111),J111)-DATE(Voorblad!$D$3,(O111),J111))*(H111-(5*I111)))/Voorblad!L$3)))</f>
        <v>0</v>
      </c>
      <c r="L155" s="1592"/>
      <c r="M155" s="1592"/>
      <c r="N155" s="1592"/>
      <c r="O155" s="1592"/>
      <c r="P155" s="1592"/>
      <c r="Q155" s="505">
        <f>IF(P111=0,0,((DATE(Voorblad!D$3+1,1,1)-DATE(Voorblad!$D$3,(P111),J111))*(H111-(6*I111)))/Voorblad!L$3)</f>
        <v>0</v>
      </c>
      <c r="R155" s="576">
        <f t="shared" si="53"/>
        <v>0</v>
      </c>
      <c r="S155" s="571">
        <f t="shared" si="54"/>
        <v>0</v>
      </c>
    </row>
    <row r="156" spans="1:19" ht="12.75">
      <c r="A156" s="1385">
        <f t="shared" si="55"/>
        <v>3111</v>
      </c>
      <c r="B156" s="1601">
        <f>IF(I112=0,H112,(((DATE(Voorblad!$D$3,K112,J112)-DATE(Voorblad!$D$3,1,1))*H112)/Voorblad!L$3))</f>
        <v>0</v>
      </c>
      <c r="C156" s="1601"/>
      <c r="D156" s="1592">
        <f>IF(K112=0,0,(IF(L112=0,((DATE(Voorblad!D$3+1,1,1)-DATE(Voorblad!$D$3,(K112),J112))*(H112-(1*I112)))/Voorblad!L$3,((DATE(Voorblad!$D$3,(L112),J112)-DATE(Voorblad!$D$3,(K112),J112))*(H112-(1*I112)))/Voorblad!L$3)))</f>
        <v>0</v>
      </c>
      <c r="E156" s="1592"/>
      <c r="F156" s="1592">
        <f>IF(L112=0,0,(IF(M112=0,((DATE(Voorblad!D$3+1,1,1)-DATE(Voorblad!$D$3,(L112),J112))*(H112-(2*I112)))/365,((DATE(Voorblad!$D$3,(M112),J112)-DATE(Voorblad!$D$3,(L112),J112))*(H112-(2*I112)))/Voorblad!L$3)))</f>
        <v>0</v>
      </c>
      <c r="G156" s="1592"/>
      <c r="H156" s="504">
        <f>IF(M112=0,0,(IF(N112=0,((DATE(Voorblad!D$3+1,1,1)-DATE(Voorblad!$D$3,(M112),J112))*(H112-(3*I112)))/Voorblad!L$3,((DATE(Voorblad!$D$3,(N112),J112)-DATE(Voorblad!$D$3,(M112),J112))*(H112-(3*I112)))/Voorblad!L$3)))</f>
        <v>0</v>
      </c>
      <c r="I156" s="1592">
        <f>IF(N112=0,0,(IF(O112=0,((DATE(Voorblad!D$3+1,1,1)-DATE(Voorblad!$D$3,(N112),J112))*(H112-(4*I112)))/Voorblad!L$3,((DATE(Voorblad!$D$3,(O112),J112)-DATE(Voorblad!$D$3,(N112),J112))*(H112-(4*I112)))/Voorblad!L$3)))</f>
        <v>0</v>
      </c>
      <c r="J156" s="1592"/>
      <c r="K156" s="1592">
        <f>IF(O112=0,0,(IF(P112=0,((DATE(Voorblad!D$3+1,1,1)-DATE(Voorblad!$D$3,(O112),J112))*(H112-(5*I112)))/Voorblad!L$3,((DATE(Voorblad!$D$3,(P112),J112)-DATE(Voorblad!$D$3,(O112),J112))*(H112-(5*I112)))/Voorblad!L$3)))</f>
        <v>0</v>
      </c>
      <c r="L156" s="1592"/>
      <c r="M156" s="1592"/>
      <c r="N156" s="1592"/>
      <c r="O156" s="1592"/>
      <c r="P156" s="1592"/>
      <c r="Q156" s="505">
        <f>IF(P112=0,0,((DATE(Voorblad!D$3+1,1,1)-DATE(Voorblad!$D$3,(P112),J112))*(H112-(6*I112)))/Voorblad!L$3)</f>
        <v>0</v>
      </c>
      <c r="R156" s="576">
        <f>SUM(B156:Q156)</f>
        <v>0</v>
      </c>
      <c r="S156" s="571">
        <f t="shared" si="54"/>
        <v>0</v>
      </c>
    </row>
    <row r="157" spans="1:19" ht="12.75">
      <c r="A157" s="1385">
        <f t="shared" si="55"/>
        <v>3112</v>
      </c>
      <c r="B157" s="1601">
        <f>IF(I113=0,H113,(((DATE(Voorblad!$D$3,K113,J113)-DATE(Voorblad!$D$3,1,1))*H113)/Voorblad!L$3))</f>
        <v>0</v>
      </c>
      <c r="C157" s="1601"/>
      <c r="D157" s="1592">
        <f>IF(K113=0,0,(IF(L113=0,((DATE(Voorblad!D$3+1,1,1)-DATE(Voorblad!$D$3,(K113),J113))*(H113-(1*I113)))/Voorblad!L$3,((DATE(Voorblad!$D$3,(L113),J113)-DATE(Voorblad!$D$3,(K113),J113))*(H113-(1*I113)))/Voorblad!L$3)))</f>
        <v>0</v>
      </c>
      <c r="E157" s="1592"/>
      <c r="F157" s="1592">
        <f>IF(L113=0,0,(IF(M113=0,((DATE(Voorblad!D$3+1,1,1)-DATE(Voorblad!$D$3,(L113),J113))*(H113-(2*I113)))/365,((DATE(Voorblad!$D$3,(M113),J113)-DATE(Voorblad!$D$3,(L113),J113))*(H113-(2*I113)))/Voorblad!L$3)))</f>
        <v>0</v>
      </c>
      <c r="G157" s="1592"/>
      <c r="H157" s="504">
        <f>IF(M113=0,0,(IF(N113=0,((DATE(Voorblad!D$3+1,1,1)-DATE(Voorblad!$D$3,(M113),J113))*(H113-(3*I113)))/Voorblad!L$3,((DATE(Voorblad!$D$3,(N113),J113)-DATE(Voorblad!$D$3,(M113),J113))*(H113-(3*I113)))/Voorblad!L$3)))</f>
        <v>0</v>
      </c>
      <c r="I157" s="1592">
        <f>IF(N113=0,0,(IF(O113=0,((DATE(Voorblad!D$3+1,1,1)-DATE(Voorblad!$D$3,(N113),J113))*(H113-(4*I113)))/Voorblad!L$3,((DATE(Voorblad!$D$3,(O113),J113)-DATE(Voorblad!$D$3,(N113),J113))*(H113-(4*I113)))/Voorblad!L$3)))</f>
        <v>0</v>
      </c>
      <c r="J157" s="1592"/>
      <c r="K157" s="1592">
        <f>IF(O113=0,0,(IF(P113=0,((DATE(Voorblad!D$3+1,1,1)-DATE(Voorblad!$D$3,(O113),J113))*(H113-(5*I113)))/Voorblad!L$3,((DATE(Voorblad!$D$3,(P113),J113)-DATE(Voorblad!$D$3,(O113),J113))*(H113-(5*I113)))/Voorblad!L$3)))</f>
        <v>0</v>
      </c>
      <c r="L157" s="1592"/>
      <c r="M157" s="1592"/>
      <c r="N157" s="1592"/>
      <c r="O157" s="1592"/>
      <c r="P157" s="1592"/>
      <c r="Q157" s="505">
        <f>IF(P113=0,0,((DATE(Voorblad!D$3+1,1,1)-DATE(Voorblad!$D$3,(P113),J113))*(H113-(6*I113)))/Voorblad!L$3)</f>
        <v>0</v>
      </c>
      <c r="R157" s="576">
        <f>SUM(B157:Q157)</f>
        <v>0</v>
      </c>
      <c r="S157" s="571">
        <f t="shared" si="54"/>
        <v>0</v>
      </c>
    </row>
    <row r="158" spans="1:19" ht="12.75">
      <c r="A158" s="1385">
        <f t="shared" si="55"/>
        <v>3113</v>
      </c>
      <c r="B158" s="1601">
        <f>IF(I114=0,H114,(((DATE(Voorblad!$D$3,K114,J114)-DATE(Voorblad!$D$3,1,1))*H114)/Voorblad!L$3))</f>
        <v>0</v>
      </c>
      <c r="C158" s="1601"/>
      <c r="D158" s="1592">
        <f>IF(K114=0,0,(IF(L114=0,((DATE(Voorblad!D$3+1,1,1)-DATE(Voorblad!$D$3,(K114),J114))*(H114-(1*I114)))/Voorblad!L$3,((DATE(Voorblad!$D$3,(L114),J114)-DATE(Voorblad!$D$3,(K114),J114))*(H114-(1*I114)))/Voorblad!L$3)))</f>
        <v>0</v>
      </c>
      <c r="E158" s="1592"/>
      <c r="F158" s="1592">
        <f>IF(L114=0,0,(IF(M114=0,((DATE(Voorblad!D$3+1,1,1)-DATE(Voorblad!$D$3,(L114),J114))*(H114-(2*I114)))/365,((DATE(Voorblad!$D$3,(M114),J114)-DATE(Voorblad!$D$3,(L114),J114))*(H114-(2*I114)))/Voorblad!L$3)))</f>
        <v>0</v>
      </c>
      <c r="G158" s="1592"/>
      <c r="H158" s="504">
        <f>IF(M114=0,0,(IF(N114=0,((DATE(Voorblad!D$3+1,1,1)-DATE(Voorblad!$D$3,(M114),J114))*(H114-(3*I114)))/Voorblad!L$3,((DATE(Voorblad!$D$3,(N114),J114)-DATE(Voorblad!$D$3,(M114),J114))*(H114-(3*I114)))/Voorblad!L$3)))</f>
        <v>0</v>
      </c>
      <c r="I158" s="1592">
        <f>IF(N114=0,0,(IF(O114=0,((DATE(Voorblad!D$3+1,1,1)-DATE(Voorblad!$D$3,(N114),J114))*(H114-(4*I114)))/Voorblad!L$3,((DATE(Voorblad!$D$3,(O114),J114)-DATE(Voorblad!$D$3,(N114),J114))*(H114-(4*I114)))/Voorblad!L$3)))</f>
        <v>0</v>
      </c>
      <c r="J158" s="1592"/>
      <c r="K158" s="1592">
        <f>IF(O114=0,0,(IF(P114=0,((DATE(Voorblad!D$3+1,1,1)-DATE(Voorblad!$D$3,(O114),J114))*(H114-(5*I114)))/Voorblad!L$3,((DATE(Voorblad!$D$3,(P114),J114)-DATE(Voorblad!$D$3,(O114),J114))*(H114-(5*I114)))/Voorblad!L$3)))</f>
        <v>0</v>
      </c>
      <c r="L158" s="1592"/>
      <c r="M158" s="1592"/>
      <c r="N158" s="1592"/>
      <c r="O158" s="1592"/>
      <c r="P158" s="1592"/>
      <c r="Q158" s="505">
        <f>IF(P114=0,0,((DATE(Voorblad!D$3+1,1,1)-DATE(Voorblad!$D$3,(P114),J114))*(H114-(6*I114)))/Voorblad!L$3)</f>
        <v>0</v>
      </c>
      <c r="R158" s="576">
        <f>SUM(B158:Q158)</f>
        <v>0</v>
      </c>
      <c r="S158" s="571">
        <f t="shared" si="54"/>
        <v>0</v>
      </c>
    </row>
    <row r="159" spans="1:19" ht="12.75">
      <c r="A159" s="1385">
        <f t="shared" si="55"/>
        <v>3114</v>
      </c>
      <c r="B159" s="1601">
        <f>IF(I115=0,H115,(((DATE(Voorblad!$D$3,K115,J115)-DATE(Voorblad!$D$3,1,1))*H115)/Voorblad!L$3))</f>
        <v>0</v>
      </c>
      <c r="C159" s="1601"/>
      <c r="D159" s="1592">
        <f>IF(K115=0,0,(IF(L115=0,((DATE(Voorblad!D$3+1,1,1)-DATE(Voorblad!$D$3,(K115),J115))*(H115-(1*I115)))/Voorblad!L$3,((DATE(Voorblad!$D$3,(L115),J115)-DATE(Voorblad!$D$3,(K115),J115))*(H115-(1*I115)))/Voorblad!L$3)))</f>
        <v>0</v>
      </c>
      <c r="E159" s="1592"/>
      <c r="F159" s="1592">
        <f>IF(L115=0,0,(IF(M115=0,((DATE(Voorblad!D$3+1,1,1)-DATE(Voorblad!$D$3,(L115),J115))*(H115-(2*I115)))/365,((DATE(Voorblad!$D$3,(M115),J115)-DATE(Voorblad!$D$3,(L115),J115))*(H115-(2*I115)))/Voorblad!L$3)))</f>
        <v>0</v>
      </c>
      <c r="G159" s="1592"/>
      <c r="H159" s="504">
        <f>IF(M115=0,0,(IF(N115=0,((DATE(Voorblad!D$3+1,1,1)-DATE(Voorblad!$D$3,(M115),J115))*(H115-(3*I115)))/Voorblad!L$3,((DATE(Voorblad!$D$3,(N115),J115)-DATE(Voorblad!$D$3,(M115),J115))*(H115-(3*I115)))/Voorblad!L$3)))</f>
        <v>0</v>
      </c>
      <c r="I159" s="1592">
        <f>IF(N115=0,0,(IF(O115=0,((DATE(Voorblad!D$3+1,1,1)-DATE(Voorblad!$D$3,(N115),J115))*(H115-(4*I115)))/Voorblad!L$3,((DATE(Voorblad!$D$3,(O115),J115)-DATE(Voorblad!$D$3,(N115),J115))*(H115-(4*I115)))/Voorblad!L$3)))</f>
        <v>0</v>
      </c>
      <c r="J159" s="1592"/>
      <c r="K159" s="1592">
        <f>IF(O115=0,0,(IF(P115=0,((DATE(Voorblad!D$3+1,1,1)-DATE(Voorblad!$D$3,(O115),J115))*(H115-(5*I115)))/Voorblad!L$3,((DATE(Voorblad!$D$3,(P115),J115)-DATE(Voorblad!$D$3,(O115),J115))*(H115-(5*I115)))/Voorblad!L$3)))</f>
        <v>0</v>
      </c>
      <c r="L159" s="1592"/>
      <c r="M159" s="1592"/>
      <c r="N159" s="1592"/>
      <c r="O159" s="1592"/>
      <c r="P159" s="1592"/>
      <c r="Q159" s="505">
        <f>IF(P115=0,0,((DATE(Voorblad!D$3+1,1,1)-DATE(Voorblad!$D$3,(P115),J115))*(H115-(6*I115)))/Voorblad!L$3)</f>
        <v>0</v>
      </c>
      <c r="R159" s="576">
        <f>SUM(B159:Q159)</f>
        <v>0</v>
      </c>
      <c r="S159" s="571">
        <f t="shared" si="54"/>
        <v>0</v>
      </c>
    </row>
    <row r="160" spans="1:19" ht="12.75">
      <c r="A160" s="1385">
        <f t="shared" si="55"/>
        <v>3115</v>
      </c>
      <c r="B160" s="1601">
        <f>IF(I116=0,H116,(((DATE(Voorblad!$D$3,K116,J116)-DATE(Voorblad!$D$3,1,1))*H116)/Voorblad!L$3))</f>
        <v>0</v>
      </c>
      <c r="C160" s="1601"/>
      <c r="D160" s="1592">
        <f>IF(K116=0,0,(IF(L116=0,((DATE(Voorblad!D$3+1,1,1)-DATE(Voorblad!$D$3,(K116),J116))*(H116-(1*I116)))/Voorblad!L$3,((DATE(Voorblad!$D$3,(L116),J116)-DATE(Voorblad!$D$3,(K116),J116))*(H116-(1*I116)))/Voorblad!L$3)))</f>
        <v>0</v>
      </c>
      <c r="E160" s="1592"/>
      <c r="F160" s="1592">
        <f>IF(L116=0,0,(IF(M116=0,((DATE(Voorblad!D$3+1,1,1)-DATE(Voorblad!$D$3,(L116),J116))*(H116-(2*I116)))/365,((DATE(Voorblad!$D$3,(M116),J116)-DATE(Voorblad!$D$3,(L116),J116))*(H116-(2*I116)))/Voorblad!L$3)))</f>
        <v>0</v>
      </c>
      <c r="G160" s="1592"/>
      <c r="H160" s="504">
        <f>IF(M116=0,0,(IF(N116=0,((DATE(Voorblad!D$3+1,1,1)-DATE(Voorblad!$D$3,(M116),J116))*(H116-(3*I116)))/Voorblad!L$3,((DATE(Voorblad!$D$3,(N116),J116)-DATE(Voorblad!$D$3,(M116),J116))*(H116-(3*I116)))/Voorblad!L$3)))</f>
        <v>0</v>
      </c>
      <c r="I160" s="1592">
        <f>IF(N116=0,0,(IF(O116=0,((DATE(Voorblad!D$3+1,1,1)-DATE(Voorblad!$D$3,(N116),J116))*(H116-(4*I116)))/Voorblad!L$3,((DATE(Voorblad!$D$3,(O116),J116)-DATE(Voorblad!$D$3,(N116),J116))*(H116-(4*I116)))/Voorblad!L$3)))</f>
        <v>0</v>
      </c>
      <c r="J160" s="1592"/>
      <c r="K160" s="1592">
        <f>IF(O116=0,0,(IF(P116=0,((DATE(Voorblad!D$3+1,1,1)-DATE(Voorblad!$D$3,(O116),J116))*(H116-(5*I116)))/Voorblad!L$3,((DATE(Voorblad!$D$3,(P116),J116)-DATE(Voorblad!$D$3,(O116),J116))*(H116-(5*I116)))/Voorblad!L$3)))</f>
        <v>0</v>
      </c>
      <c r="L160" s="1592"/>
      <c r="M160" s="1592"/>
      <c r="N160" s="1592"/>
      <c r="O160" s="1592"/>
      <c r="P160" s="1592"/>
      <c r="Q160" s="505">
        <f>IF(P116=0,0,((DATE(Voorblad!D$3+1,1,1)-DATE(Voorblad!$D$3,(P116),J116))*(H116-(6*I116)))/Voorblad!L$3)</f>
        <v>0</v>
      </c>
      <c r="R160" s="576">
        <f>SUM(B160:Q160)</f>
        <v>0</v>
      </c>
      <c r="S160" s="571">
        <f t="shared" si="54"/>
        <v>0</v>
      </c>
    </row>
    <row r="161" spans="1:19" ht="12.75">
      <c r="A161" s="1385">
        <f t="shared" si="55"/>
        <v>3116</v>
      </c>
      <c r="B161" s="1601">
        <f>IF(I117=0,H117,(((DATE(Voorblad!$D$3,K117,J117)-DATE(Voorblad!$D$3,1,1))*H117)/Voorblad!L$3))</f>
        <v>0</v>
      </c>
      <c r="C161" s="1601"/>
      <c r="D161" s="1592">
        <f>IF(K117=0,0,(IF(L117=0,((DATE(Voorblad!D$3+1,1,1)-DATE(Voorblad!$D$3,(K117),J117))*(H117-(1*I117)))/Voorblad!L$3,((DATE(Voorblad!$D$3,(L117),J117)-DATE(Voorblad!$D$3,(K117),J117))*(H117-(1*I117)))/Voorblad!L$3)))</f>
        <v>0</v>
      </c>
      <c r="E161" s="1592"/>
      <c r="F161" s="1592">
        <f>IF(L117=0,0,(IF(M117=0,((DATE(Voorblad!D$3+1,1,1)-DATE(Voorblad!$D$3,(L117),J117))*(H117-(2*I117)))/365,((DATE(Voorblad!$D$3,(M117),J117)-DATE(Voorblad!$D$3,(L117),J117))*(H117-(2*I117)))/Voorblad!L$3)))</f>
        <v>0</v>
      </c>
      <c r="G161" s="1592"/>
      <c r="H161" s="504">
        <f>IF(M117=0,0,(IF(N117=0,((DATE(Voorblad!D$3+1,1,1)-DATE(Voorblad!$D$3,(M117),J117))*(H117-(3*I117)))/Voorblad!L$3,((DATE(Voorblad!$D$3,(N117),J117)-DATE(Voorblad!$D$3,(M117),J117))*(H117-(3*I117)))/Voorblad!L$3)))</f>
        <v>0</v>
      </c>
      <c r="I161" s="1592">
        <f>IF(N117=0,0,(IF(O117=0,((DATE(Voorblad!D$3+1,1,1)-DATE(Voorblad!$D$3,(N117),J117))*(H117-(4*I117)))/Voorblad!L$3,((DATE(Voorblad!$D$3,(O117),J117)-DATE(Voorblad!$D$3,(N117),J117))*(H117-(4*I117)))/Voorblad!L$3)))</f>
        <v>0</v>
      </c>
      <c r="J161" s="1592"/>
      <c r="K161" s="1592">
        <f>IF(O117=0,0,(IF(P117=0,((DATE(Voorblad!D$3+1,1,1)-DATE(Voorblad!$D$3,(O117),J117))*(H117-(5*I117)))/Voorblad!L$3,((DATE(Voorblad!$D$3,(P117),J117)-DATE(Voorblad!$D$3,(O117),J117))*(H117-(5*I117)))/Voorblad!L$3)))</f>
        <v>0</v>
      </c>
      <c r="L161" s="1592"/>
      <c r="M161" s="1592"/>
      <c r="N161" s="1592"/>
      <c r="O161" s="1592"/>
      <c r="P161" s="1592"/>
      <c r="Q161" s="505">
        <f>IF(P117=0,0,((DATE(Voorblad!D$3+1,1,1)-DATE(Voorblad!$D$3,(P117),J117))*(H117-(6*I117)))/Voorblad!L$3)</f>
        <v>0</v>
      </c>
      <c r="R161" s="576">
        <f aca="true" t="shared" si="56" ref="R161:R180">SUM(B161:Q161)</f>
        <v>0</v>
      </c>
      <c r="S161" s="571">
        <f t="shared" si="54"/>
        <v>0</v>
      </c>
    </row>
    <row r="162" spans="1:19" ht="12.75">
      <c r="A162" s="1385">
        <f t="shared" si="55"/>
        <v>3117</v>
      </c>
      <c r="B162" s="1601">
        <f>IF(I118=0,H118,(((DATE(Voorblad!$D$3,K118,J118)-DATE(Voorblad!$D$3,1,1))*H118)/Voorblad!L$3))</f>
        <v>0</v>
      </c>
      <c r="C162" s="1601"/>
      <c r="D162" s="1592">
        <f>IF(K118=0,0,(IF(L118=0,((DATE(Voorblad!D$3+1,1,1)-DATE(Voorblad!$D$3,(K118),J118))*(H118-(1*I118)))/Voorblad!L$3,((DATE(Voorblad!$D$3,(L118),J118)-DATE(Voorblad!$D$3,(K118),J118))*(H118-(1*I118)))/Voorblad!L$3)))</f>
        <v>0</v>
      </c>
      <c r="E162" s="1592"/>
      <c r="F162" s="1592">
        <f>IF(L118=0,0,(IF(M118=0,((DATE(Voorblad!D$3+1,1,1)-DATE(Voorblad!$D$3,(L118),J118))*(H118-(2*I118)))/365,((DATE(Voorblad!$D$3,(M118),J118)-DATE(Voorblad!$D$3,(L118),J118))*(H118-(2*I118)))/Voorblad!L$3)))</f>
        <v>0</v>
      </c>
      <c r="G162" s="1592"/>
      <c r="H162" s="504">
        <f>IF(M118=0,0,(IF(N118=0,((DATE(Voorblad!D$3+1,1,1)-DATE(Voorblad!$D$3,(M118),J118))*(H118-(3*I118)))/Voorblad!L$3,((DATE(Voorblad!$D$3,(N118),J118)-DATE(Voorblad!$D$3,(M118),J118))*(H118-(3*I118)))/Voorblad!L$3)))</f>
        <v>0</v>
      </c>
      <c r="I162" s="1592">
        <f>IF(N118=0,0,(IF(O118=0,((DATE(Voorblad!D$3+1,1,1)-DATE(Voorblad!$D$3,(N118),J118))*(H118-(4*I118)))/Voorblad!L$3,((DATE(Voorblad!$D$3,(O118),J118)-DATE(Voorblad!$D$3,(N118),J118))*(H118-(4*I118)))/Voorblad!L$3)))</f>
        <v>0</v>
      </c>
      <c r="J162" s="1592"/>
      <c r="K162" s="1592">
        <f>IF(O118=0,0,(IF(P118=0,((DATE(Voorblad!D$3+1,1,1)-DATE(Voorblad!$D$3,(O118),J118))*(H118-(5*I118)))/Voorblad!L$3,((DATE(Voorblad!$D$3,(P118),J118)-DATE(Voorblad!$D$3,(O118),J118))*(H118-(5*I118)))/Voorblad!L$3)))</f>
        <v>0</v>
      </c>
      <c r="L162" s="1592"/>
      <c r="M162" s="1592"/>
      <c r="N162" s="1592"/>
      <c r="O162" s="1592"/>
      <c r="P162" s="1592"/>
      <c r="Q162" s="505">
        <f>IF(P118=0,0,((DATE(Voorblad!D$3+1,1,1)-DATE(Voorblad!$D$3,(P118),J118))*(H118-(6*I118)))/Voorblad!L$3)</f>
        <v>0</v>
      </c>
      <c r="R162" s="576">
        <f t="shared" si="56"/>
        <v>0</v>
      </c>
      <c r="S162" s="571">
        <f t="shared" si="54"/>
        <v>0</v>
      </c>
    </row>
    <row r="163" spans="1:19" ht="12.75">
      <c r="A163" s="1385">
        <f t="shared" si="55"/>
        <v>3118</v>
      </c>
      <c r="B163" s="1601">
        <f>IF(I119=0,H119,(((DATE(Voorblad!$D$3,K119,J119)-DATE(Voorblad!$D$3,1,1))*H119)/Voorblad!L$3))</f>
        <v>0</v>
      </c>
      <c r="C163" s="1601"/>
      <c r="D163" s="1592">
        <f>IF(K119=0,0,(IF(L119=0,((DATE(Voorblad!D$3+1,1,1)-DATE(Voorblad!$D$3,(K119),J119))*(H119-(1*I119)))/Voorblad!L$3,((DATE(Voorblad!$D$3,(L119),J119)-DATE(Voorblad!$D$3,(K119),J119))*(H119-(1*I119)))/Voorblad!L$3)))</f>
        <v>0</v>
      </c>
      <c r="E163" s="1592"/>
      <c r="F163" s="1592">
        <f>IF(L119=0,0,(IF(M119=0,((DATE(Voorblad!D$3+1,1,1)-DATE(Voorblad!$D$3,(L119),J119))*(H119-(2*I119)))/365,((DATE(Voorblad!$D$3,(M119),J119)-DATE(Voorblad!$D$3,(L119),J119))*(H119-(2*I119)))/Voorblad!L$3)))</f>
        <v>0</v>
      </c>
      <c r="G163" s="1592"/>
      <c r="H163" s="504">
        <f>IF(M119=0,0,(IF(N119=0,((DATE(Voorblad!D$3+1,1,1)-DATE(Voorblad!$D$3,(M119),J119))*(H119-(3*I119)))/Voorblad!L$3,((DATE(Voorblad!$D$3,(N119),J119)-DATE(Voorblad!$D$3,(M119),J119))*(H119-(3*I119)))/Voorblad!L$3)))</f>
        <v>0</v>
      </c>
      <c r="I163" s="1592">
        <f>IF(N119=0,0,(IF(O119=0,((DATE(Voorblad!D$3+1,1,1)-DATE(Voorblad!$D$3,(N119),J119))*(H119-(4*I119)))/Voorblad!L$3,((DATE(Voorblad!$D$3,(O119),J119)-DATE(Voorblad!$D$3,(N119),J119))*(H119-(4*I119)))/Voorblad!L$3)))</f>
        <v>0</v>
      </c>
      <c r="J163" s="1592"/>
      <c r="K163" s="1592">
        <f>IF(O119=0,0,(IF(P119=0,((DATE(Voorblad!D$3+1,1,1)-DATE(Voorblad!$D$3,(O119),J119))*(H119-(5*I119)))/Voorblad!L$3,((DATE(Voorblad!$D$3,(P119),J119)-DATE(Voorblad!$D$3,(O119),J119))*(H119-(5*I119)))/Voorblad!L$3)))</f>
        <v>0</v>
      </c>
      <c r="L163" s="1592"/>
      <c r="M163" s="1592"/>
      <c r="N163" s="1592"/>
      <c r="O163" s="1592"/>
      <c r="P163" s="1592"/>
      <c r="Q163" s="505">
        <f>IF(P119=0,0,((DATE(Voorblad!D$3+1,1,1)-DATE(Voorblad!$D$3,(P119),J119))*(H119-(6*I119)))/Voorblad!L$3)</f>
        <v>0</v>
      </c>
      <c r="R163" s="576">
        <f t="shared" si="56"/>
        <v>0</v>
      </c>
      <c r="S163" s="571">
        <f t="shared" si="54"/>
        <v>0</v>
      </c>
    </row>
    <row r="164" spans="1:19" ht="12.75">
      <c r="A164" s="1385">
        <f t="shared" si="55"/>
        <v>3119</v>
      </c>
      <c r="B164" s="1601">
        <f>IF(I120=0,H120,(((DATE(Voorblad!$D$3,K120,J120)-DATE(Voorblad!$D$3,1,1))*H120)/Voorblad!L$3))</f>
        <v>0</v>
      </c>
      <c r="C164" s="1601"/>
      <c r="D164" s="1592">
        <f>IF(K120=0,0,(IF(L120=0,((DATE(Voorblad!D$3+1,1,1)-DATE(Voorblad!$D$3,(K120),J120))*(H120-(1*I120)))/Voorblad!L$3,((DATE(Voorblad!$D$3,(L120),J120)-DATE(Voorblad!$D$3,(K120),J120))*(H120-(1*I120)))/Voorblad!L$3)))</f>
        <v>0</v>
      </c>
      <c r="E164" s="1592"/>
      <c r="F164" s="1592">
        <f>IF(L120=0,0,(IF(M120=0,((DATE(Voorblad!D$3+1,1,1)-DATE(Voorblad!$D$3,(L120),J120))*(H120-(2*I120)))/365,((DATE(Voorblad!$D$3,(M120),J120)-DATE(Voorblad!$D$3,(L120),J120))*(H120-(2*I120)))/Voorblad!L$3)))</f>
        <v>0</v>
      </c>
      <c r="G164" s="1592"/>
      <c r="H164" s="504">
        <f>IF(M120=0,0,(IF(N120=0,((DATE(Voorblad!D$3+1,1,1)-DATE(Voorblad!$D$3,(M120),J120))*(H120-(3*I120)))/Voorblad!L$3,((DATE(Voorblad!$D$3,(N120),J120)-DATE(Voorblad!$D$3,(M120),J120))*(H120-(3*I120)))/Voorblad!L$3)))</f>
        <v>0</v>
      </c>
      <c r="I164" s="1592">
        <f>IF(N120=0,0,(IF(O120=0,((DATE(Voorblad!D$3+1,1,1)-DATE(Voorblad!$D$3,(N120),J120))*(H120-(4*I120)))/Voorblad!L$3,((DATE(Voorblad!$D$3,(O120),J120)-DATE(Voorblad!$D$3,(N120),J120))*(H120-(4*I120)))/Voorblad!L$3)))</f>
        <v>0</v>
      </c>
      <c r="J164" s="1592"/>
      <c r="K164" s="1592">
        <f>IF(O120=0,0,(IF(P120=0,((DATE(Voorblad!D$3+1,1,1)-DATE(Voorblad!$D$3,(O120),J120))*(H120-(5*I120)))/Voorblad!L$3,((DATE(Voorblad!$D$3,(P120),J120)-DATE(Voorblad!$D$3,(O120),J120))*(H120-(5*I120)))/Voorblad!L$3)))</f>
        <v>0</v>
      </c>
      <c r="L164" s="1592"/>
      <c r="M164" s="1592"/>
      <c r="N164" s="1592"/>
      <c r="O164" s="1592"/>
      <c r="P164" s="1592"/>
      <c r="Q164" s="505">
        <f>IF(P120=0,0,((DATE(Voorblad!D$3+1,1,1)-DATE(Voorblad!$D$3,(P120),J120))*(H120-(6*I120)))/Voorblad!L$3)</f>
        <v>0</v>
      </c>
      <c r="R164" s="576">
        <f t="shared" si="56"/>
        <v>0</v>
      </c>
      <c r="S164" s="571">
        <f t="shared" si="54"/>
        <v>0</v>
      </c>
    </row>
    <row r="165" spans="1:19" ht="12.75">
      <c r="A165" s="1385">
        <f t="shared" si="55"/>
        <v>3120</v>
      </c>
      <c r="B165" s="1601">
        <f>IF(I121=0,H121,(((DATE(Voorblad!$D$3,K121,J121)-DATE(Voorblad!$D$3,1,1))*H121)/Voorblad!L$3))</f>
        <v>0</v>
      </c>
      <c r="C165" s="1601"/>
      <c r="D165" s="1592">
        <f>IF(K121=0,0,(IF(L121=0,((DATE(Voorblad!D$3+1,1,1)-DATE(Voorblad!$D$3,(K121),J121))*(H121-(1*I121)))/Voorblad!L$3,((DATE(Voorblad!$D$3,(L121),J121)-DATE(Voorblad!$D$3,(K121),J121))*(H121-(1*I121)))/Voorblad!L$3)))</f>
        <v>0</v>
      </c>
      <c r="E165" s="1592"/>
      <c r="F165" s="1592">
        <f>IF(L121=0,0,(IF(M121=0,((DATE(Voorblad!D$3+1,1,1)-DATE(Voorblad!$D$3,(L121),J121))*(H121-(2*I121)))/365,((DATE(Voorblad!$D$3,(M121),J121)-DATE(Voorblad!$D$3,(L121),J121))*(H121-(2*I121)))/Voorblad!L$3)))</f>
        <v>0</v>
      </c>
      <c r="G165" s="1592"/>
      <c r="H165" s="504">
        <f>IF(M121=0,0,(IF(N121=0,((DATE(Voorblad!D$3+1,1,1)-DATE(Voorblad!$D$3,(M121),J121))*(H121-(3*I121)))/Voorblad!L$3,((DATE(Voorblad!$D$3,(N121),J121)-DATE(Voorblad!$D$3,(M121),J121))*(H121-(3*I121)))/Voorblad!L$3)))</f>
        <v>0</v>
      </c>
      <c r="I165" s="1592">
        <f>IF(N121=0,0,(IF(O121=0,((DATE(Voorblad!D$3+1,1,1)-DATE(Voorblad!$D$3,(N121),J121))*(H121-(4*I121)))/Voorblad!L$3,((DATE(Voorblad!$D$3,(O121),J121)-DATE(Voorblad!$D$3,(N121),J121))*(H121-(4*I121)))/Voorblad!L$3)))</f>
        <v>0</v>
      </c>
      <c r="J165" s="1592"/>
      <c r="K165" s="1592">
        <f>IF(O121=0,0,(IF(P121=0,((DATE(Voorblad!D$3+1,1,1)-DATE(Voorblad!$D$3,(O121),J121))*(H121-(5*I121)))/Voorblad!L$3,((DATE(Voorblad!$D$3,(P121),J121)-DATE(Voorblad!$D$3,(O121),J121))*(H121-(5*I121)))/Voorblad!L$3)))</f>
        <v>0</v>
      </c>
      <c r="L165" s="1592"/>
      <c r="M165" s="1592"/>
      <c r="N165" s="1592"/>
      <c r="O165" s="1592"/>
      <c r="P165" s="1592"/>
      <c r="Q165" s="505">
        <f>IF(P121=0,0,((DATE(Voorblad!D$3+1,1,1)-DATE(Voorblad!$D$3,(P121),J121))*(H121-(6*I121)))/Voorblad!L$3)</f>
        <v>0</v>
      </c>
      <c r="R165" s="576">
        <f t="shared" si="56"/>
        <v>0</v>
      </c>
      <c r="S165" s="571">
        <f t="shared" si="54"/>
        <v>0</v>
      </c>
    </row>
    <row r="166" spans="1:19" ht="12.75">
      <c r="A166" s="1385">
        <f t="shared" si="55"/>
        <v>3121</v>
      </c>
      <c r="B166" s="1601">
        <f>IF(I122=0,H122,(((DATE(Voorblad!$D$3,K122,J122)-DATE(Voorblad!$D$3,1,1))*H122)/Voorblad!L$3))</f>
        <v>0</v>
      </c>
      <c r="C166" s="1601"/>
      <c r="D166" s="1592">
        <f>IF(K122=0,0,(IF(L122=0,((DATE(Voorblad!D$3+1,1,1)-DATE(Voorblad!$D$3,(K122),J122))*(H122-(1*I122)))/Voorblad!L$3,((DATE(Voorblad!$D$3,(L122),J122)-DATE(Voorblad!$D$3,(K122),J122))*(H122-(1*I122)))/Voorblad!L$3)))</f>
        <v>0</v>
      </c>
      <c r="E166" s="1592"/>
      <c r="F166" s="1592">
        <f>IF(L122=0,0,(IF(M122=0,((DATE(Voorblad!D$3+1,1,1)-DATE(Voorblad!$D$3,(L122),J122))*(H122-(2*I122)))/365,((DATE(Voorblad!$D$3,(M122),J122)-DATE(Voorblad!$D$3,(L122),J122))*(H122-(2*I122)))/Voorblad!L$3)))</f>
        <v>0</v>
      </c>
      <c r="G166" s="1592"/>
      <c r="H166" s="504">
        <f>IF(M122=0,0,(IF(N122=0,((DATE(Voorblad!D$3+1,1,1)-DATE(Voorblad!$D$3,(M122),J122))*(H122-(3*I122)))/Voorblad!L$3,((DATE(Voorblad!$D$3,(N122),J122)-DATE(Voorblad!$D$3,(M122),J122))*(H122-(3*I122)))/Voorblad!L$3)))</f>
        <v>0</v>
      </c>
      <c r="I166" s="1592">
        <f>IF(N122=0,0,(IF(O122=0,((DATE(Voorblad!D$3+1,1,1)-DATE(Voorblad!$D$3,(N122),J122))*(H122-(4*I122)))/Voorblad!L$3,((DATE(Voorblad!$D$3,(O122),J122)-DATE(Voorblad!$D$3,(N122),J122))*(H122-(4*I122)))/Voorblad!L$3)))</f>
        <v>0</v>
      </c>
      <c r="J166" s="1592"/>
      <c r="K166" s="1592">
        <f>IF(O122=0,0,(IF(P122=0,((DATE(Voorblad!D$3+1,1,1)-DATE(Voorblad!$D$3,(O122),J122))*(H122-(5*I122)))/Voorblad!L$3,((DATE(Voorblad!$D$3,(P122),J122)-DATE(Voorblad!$D$3,(O122),J122))*(H122-(5*I122)))/Voorblad!L$3)))</f>
        <v>0</v>
      </c>
      <c r="L166" s="1592"/>
      <c r="M166" s="1592"/>
      <c r="N166" s="1592"/>
      <c r="O166" s="1592"/>
      <c r="P166" s="1592"/>
      <c r="Q166" s="505">
        <f>IF(P122=0,0,((DATE(Voorblad!D$3+1,1,1)-DATE(Voorblad!$D$3,(P122),J122))*(H122-(6*I122)))/Voorblad!L$3)</f>
        <v>0</v>
      </c>
      <c r="R166" s="576">
        <f t="shared" si="56"/>
        <v>0</v>
      </c>
      <c r="S166" s="571">
        <f t="shared" si="54"/>
        <v>0</v>
      </c>
    </row>
    <row r="167" spans="1:19" ht="12.75">
      <c r="A167" s="1385">
        <f t="shared" si="55"/>
        <v>3122</v>
      </c>
      <c r="B167" s="1601">
        <f>IF(I123=0,H123,(((DATE(Voorblad!$D$3,K123,J123)-DATE(Voorblad!$D$3,1,1))*H123)/Voorblad!L$3))</f>
        <v>0</v>
      </c>
      <c r="C167" s="1601"/>
      <c r="D167" s="1592">
        <f>IF(K123=0,0,(IF(L123=0,((DATE(Voorblad!D$3+1,1,1)-DATE(Voorblad!$D$3,(K123),J123))*(H123-(1*I123)))/Voorblad!L$3,((DATE(Voorblad!$D$3,(L123),J123)-DATE(Voorblad!$D$3,(K123),J123))*(H123-(1*I123)))/Voorblad!L$3)))</f>
        <v>0</v>
      </c>
      <c r="E167" s="1592"/>
      <c r="F167" s="1592">
        <f>IF(L123=0,0,(IF(M123=0,((DATE(Voorblad!D$3+1,1,1)-DATE(Voorblad!$D$3,(L123),J123))*(H123-(2*I123)))/365,((DATE(Voorblad!$D$3,(M123),J123)-DATE(Voorblad!$D$3,(L123),J123))*(H123-(2*I123)))/Voorblad!L$3)))</f>
        <v>0</v>
      </c>
      <c r="G167" s="1592"/>
      <c r="H167" s="504">
        <f>IF(M123=0,0,(IF(N123=0,((DATE(Voorblad!D$3+1,1,1)-DATE(Voorblad!$D$3,(M123),J123))*(H123-(3*I123)))/Voorblad!L$3,((DATE(Voorblad!$D$3,(N123),J123)-DATE(Voorblad!$D$3,(M123),J123))*(H123-(3*I123)))/Voorblad!L$3)))</f>
        <v>0</v>
      </c>
      <c r="I167" s="1592">
        <f>IF(N123=0,0,(IF(O123=0,((DATE(Voorblad!D$3+1,1,1)-DATE(Voorblad!$D$3,(N123),J123))*(H123-(4*I123)))/Voorblad!L$3,((DATE(Voorblad!$D$3,(O123),J123)-DATE(Voorblad!$D$3,(N123),J123))*(H123-(4*I123)))/Voorblad!L$3)))</f>
        <v>0</v>
      </c>
      <c r="J167" s="1592"/>
      <c r="K167" s="1592">
        <f>IF(O123=0,0,(IF(P123=0,((DATE(Voorblad!D$3+1,1,1)-DATE(Voorblad!$D$3,(O123),J123))*(H123-(5*I123)))/Voorblad!L$3,((DATE(Voorblad!$D$3,(P123),J123)-DATE(Voorblad!$D$3,(O123),J123))*(H123-(5*I123)))/Voorblad!L$3)))</f>
        <v>0</v>
      </c>
      <c r="L167" s="1592"/>
      <c r="M167" s="1592"/>
      <c r="N167" s="1592"/>
      <c r="O167" s="1592"/>
      <c r="P167" s="1592"/>
      <c r="Q167" s="505">
        <f>IF(P123=0,0,((DATE(Voorblad!D$3+1,1,1)-DATE(Voorblad!$D$3,(P123),J123))*(H123-(6*I123)))/Voorblad!L$3)</f>
        <v>0</v>
      </c>
      <c r="R167" s="576">
        <f t="shared" si="56"/>
        <v>0</v>
      </c>
      <c r="S167" s="571">
        <f t="shared" si="54"/>
        <v>0</v>
      </c>
    </row>
    <row r="168" spans="1:19" ht="12.75">
      <c r="A168" s="1385">
        <f t="shared" si="55"/>
        <v>3123</v>
      </c>
      <c r="B168" s="1601">
        <f>IF(I124=0,H124,(((DATE(Voorblad!$D$3,K124,J124)-DATE(Voorblad!$D$3,1,1))*H124)/Voorblad!L$3))</f>
        <v>0</v>
      </c>
      <c r="C168" s="1601"/>
      <c r="D168" s="1592">
        <f>IF(K124=0,0,(IF(L124=0,((DATE(Voorblad!D$3+1,1,1)-DATE(Voorblad!$D$3,(K124),J124))*(H124-(1*I124)))/Voorblad!L$3,((DATE(Voorblad!$D$3,(L124),J124)-DATE(Voorblad!$D$3,(K124),J124))*(H124-(1*I124)))/Voorblad!L$3)))</f>
        <v>0</v>
      </c>
      <c r="E168" s="1592"/>
      <c r="F168" s="1592">
        <f>IF(L124=0,0,(IF(M124=0,((DATE(Voorblad!D$3+1,1,1)-DATE(Voorblad!$D$3,(L124),J124))*(H124-(2*I124)))/365,((DATE(Voorblad!$D$3,(M124),J124)-DATE(Voorblad!$D$3,(L124),J124))*(H124-(2*I124)))/Voorblad!L$3)))</f>
        <v>0</v>
      </c>
      <c r="G168" s="1592"/>
      <c r="H168" s="504">
        <f>IF(M124=0,0,(IF(N124=0,((DATE(Voorblad!D$3+1,1,1)-DATE(Voorblad!$D$3,(M124),J124))*(H124-(3*I124)))/Voorblad!L$3,((DATE(Voorblad!$D$3,(N124),J124)-DATE(Voorblad!$D$3,(M124),J124))*(H124-(3*I124)))/Voorblad!L$3)))</f>
        <v>0</v>
      </c>
      <c r="I168" s="1592">
        <f>IF(N124=0,0,(IF(O124=0,((DATE(Voorblad!D$3+1,1,1)-DATE(Voorblad!$D$3,(N124),J124))*(H124-(4*I124)))/Voorblad!L$3,((DATE(Voorblad!$D$3,(O124),J124)-DATE(Voorblad!$D$3,(N124),J124))*(H124-(4*I124)))/Voorblad!L$3)))</f>
        <v>0</v>
      </c>
      <c r="J168" s="1592"/>
      <c r="K168" s="1592">
        <f>IF(O124=0,0,(IF(P124=0,((DATE(Voorblad!D$3+1,1,1)-DATE(Voorblad!$D$3,(O124),J124))*(H124-(5*I124)))/Voorblad!L$3,((DATE(Voorblad!$D$3,(P124),J124)-DATE(Voorblad!$D$3,(O124),J124))*(H124-(5*I124)))/Voorblad!L$3)))</f>
        <v>0</v>
      </c>
      <c r="L168" s="1592"/>
      <c r="M168" s="1592"/>
      <c r="N168" s="1592"/>
      <c r="O168" s="1592"/>
      <c r="P168" s="1592"/>
      <c r="Q168" s="505">
        <f>IF(P124=0,0,((DATE(Voorblad!D$3+1,1,1)-DATE(Voorblad!$D$3,(P124),J124))*(H124-(6*I124)))/Voorblad!L$3)</f>
        <v>0</v>
      </c>
      <c r="R168" s="576">
        <f t="shared" si="56"/>
        <v>0</v>
      </c>
      <c r="S168" s="571">
        <f t="shared" si="54"/>
        <v>0</v>
      </c>
    </row>
    <row r="169" spans="1:19" ht="12.75">
      <c r="A169" s="1385">
        <f t="shared" si="55"/>
        <v>3124</v>
      </c>
      <c r="B169" s="1601">
        <f>IF(I125=0,H125,(((DATE(Voorblad!$D$3,K125,J125)-DATE(Voorblad!$D$3,1,1))*H125)/Voorblad!L$3))</f>
        <v>0</v>
      </c>
      <c r="C169" s="1601"/>
      <c r="D169" s="1592">
        <f>IF(K125=0,0,(IF(L125=0,((DATE(Voorblad!D$3+1,1,1)-DATE(Voorblad!$D$3,(K125),J125))*(H125-(1*I125)))/Voorblad!L$3,((DATE(Voorblad!$D$3,(L125),J125)-DATE(Voorblad!$D$3,(K125),J125))*(H125-(1*I125)))/Voorblad!L$3)))</f>
        <v>0</v>
      </c>
      <c r="E169" s="1592"/>
      <c r="F169" s="1592">
        <f>IF(L125=0,0,(IF(M125=0,((DATE(Voorblad!D$3+1,1,1)-DATE(Voorblad!$D$3,(L125),J125))*(H125-(2*I125)))/365,((DATE(Voorblad!$D$3,(M125),J125)-DATE(Voorblad!$D$3,(L125),J125))*(H125-(2*I125)))/Voorblad!L$3)))</f>
        <v>0</v>
      </c>
      <c r="G169" s="1592"/>
      <c r="H169" s="504">
        <f>IF(M125=0,0,(IF(N125=0,((DATE(Voorblad!D$3+1,1,1)-DATE(Voorblad!$D$3,(M125),J125))*(H125-(3*I125)))/Voorblad!L$3,((DATE(Voorblad!$D$3,(N125),J125)-DATE(Voorblad!$D$3,(M125),J125))*(H125-(3*I125)))/Voorblad!L$3)))</f>
        <v>0</v>
      </c>
      <c r="I169" s="1592">
        <f>IF(N125=0,0,(IF(O125=0,((DATE(Voorblad!D$3+1,1,1)-DATE(Voorblad!$D$3,(N125),J125))*(H125-(4*I125)))/Voorblad!L$3,((DATE(Voorblad!$D$3,(O125),J125)-DATE(Voorblad!$D$3,(N125),J125))*(H125-(4*I125)))/Voorblad!L$3)))</f>
        <v>0</v>
      </c>
      <c r="J169" s="1592"/>
      <c r="K169" s="1592">
        <f>IF(O125=0,0,(IF(P125=0,((DATE(Voorblad!D$3+1,1,1)-DATE(Voorblad!$D$3,(O125),J125))*(H125-(5*I125)))/Voorblad!L$3,((DATE(Voorblad!$D$3,(P125),J125)-DATE(Voorblad!$D$3,(O125),J125))*(H125-(5*I125)))/Voorblad!L$3)))</f>
        <v>0</v>
      </c>
      <c r="L169" s="1592"/>
      <c r="M169" s="1592"/>
      <c r="N169" s="1592"/>
      <c r="O169" s="1592"/>
      <c r="P169" s="1592"/>
      <c r="Q169" s="505">
        <f>IF(P125=0,0,((DATE(Voorblad!D$3+1,1,1)-DATE(Voorblad!$D$3,(P125),J125))*(H125-(6*I125)))/Voorblad!L$3)</f>
        <v>0</v>
      </c>
      <c r="R169" s="576">
        <f t="shared" si="56"/>
        <v>0</v>
      </c>
      <c r="S169" s="571">
        <f t="shared" si="54"/>
        <v>0</v>
      </c>
    </row>
    <row r="170" spans="1:19" ht="12.75">
      <c r="A170" s="1385">
        <f t="shared" si="55"/>
        <v>3125</v>
      </c>
      <c r="B170" s="1601">
        <f>IF(I126=0,H126,(((DATE(Voorblad!$D$3,K126,J126)-DATE(Voorblad!$D$3,1,1))*H126)/Voorblad!L$3))</f>
        <v>0</v>
      </c>
      <c r="C170" s="1601"/>
      <c r="D170" s="1592">
        <f>IF(K126=0,0,(IF(L126=0,((DATE(Voorblad!D$3+1,1,1)-DATE(Voorblad!$D$3,(K126),J126))*(H126-(1*I126)))/Voorblad!L$3,((DATE(Voorblad!$D$3,(L126),J126)-DATE(Voorblad!$D$3,(K126),J126))*(H126-(1*I126)))/Voorblad!L$3)))</f>
        <v>0</v>
      </c>
      <c r="E170" s="1592"/>
      <c r="F170" s="1592">
        <f>IF(L126=0,0,(IF(M126=0,((DATE(Voorblad!D$3+1,1,1)-DATE(Voorblad!$D$3,(L126),J126))*(H126-(2*I126)))/365,((DATE(Voorblad!$D$3,(M126),J126)-DATE(Voorblad!$D$3,(L126),J126))*(H126-(2*I126)))/Voorblad!L$3)))</f>
        <v>0</v>
      </c>
      <c r="G170" s="1592"/>
      <c r="H170" s="504">
        <f>IF(M126=0,0,(IF(N126=0,((DATE(Voorblad!D$3+1,1,1)-DATE(Voorblad!$D$3,(M126),J126))*(H126-(3*I126)))/Voorblad!L$3,((DATE(Voorblad!$D$3,(N126),J126)-DATE(Voorblad!$D$3,(M126),J126))*(H126-(3*I126)))/Voorblad!L$3)))</f>
        <v>0</v>
      </c>
      <c r="I170" s="1592">
        <f>IF(N126=0,0,(IF(O126=0,((DATE(Voorblad!D$3+1,1,1)-DATE(Voorblad!$D$3,(N126),J126))*(H126-(4*I126)))/Voorblad!L$3,((DATE(Voorblad!$D$3,(O126),J126)-DATE(Voorblad!$D$3,(N126),J126))*(H126-(4*I126)))/Voorblad!L$3)))</f>
        <v>0</v>
      </c>
      <c r="J170" s="1592"/>
      <c r="K170" s="1592">
        <f>IF(O126=0,0,(IF(P126=0,((DATE(Voorblad!D$3+1,1,1)-DATE(Voorblad!$D$3,(O126),J126))*(H126-(5*I126)))/Voorblad!L$3,((DATE(Voorblad!$D$3,(P126),J126)-DATE(Voorblad!$D$3,(O126),J126))*(H126-(5*I126)))/Voorblad!L$3)))</f>
        <v>0</v>
      </c>
      <c r="L170" s="1592"/>
      <c r="M170" s="1592"/>
      <c r="N170" s="1592"/>
      <c r="O170" s="1592"/>
      <c r="P170" s="1592"/>
      <c r="Q170" s="505">
        <f>IF(P126=0,0,((DATE(Voorblad!D$3+1,1,1)-DATE(Voorblad!$D$3,(P126),J126))*(H126-(6*I126)))/Voorblad!L$3)</f>
        <v>0</v>
      </c>
      <c r="R170" s="576">
        <f t="shared" si="56"/>
        <v>0</v>
      </c>
      <c r="S170" s="571">
        <f t="shared" si="54"/>
        <v>0</v>
      </c>
    </row>
    <row r="171" spans="1:19" ht="12.75">
      <c r="A171" s="1385">
        <f t="shared" si="55"/>
        <v>3126</v>
      </c>
      <c r="B171" s="1601">
        <f>IF(I127=0,H127,(((DATE(Voorblad!$D$3,K127,J127)-DATE(Voorblad!$D$3,1,1))*H127)/Voorblad!L$3))</f>
        <v>0</v>
      </c>
      <c r="C171" s="1601"/>
      <c r="D171" s="1592">
        <f>IF(K127=0,0,(IF(L127=0,((DATE(Voorblad!D$3+1,1,1)-DATE(Voorblad!$D$3,(K127),J127))*(H127-(1*I127)))/Voorblad!L$3,((DATE(Voorblad!$D$3,(L127),J127)-DATE(Voorblad!$D$3,(K127),J127))*(H127-(1*I127)))/Voorblad!L$3)))</f>
        <v>0</v>
      </c>
      <c r="E171" s="1592"/>
      <c r="F171" s="1592">
        <f>IF(L127=0,0,(IF(M127=0,((DATE(Voorblad!D$3+1,1,1)-DATE(Voorblad!$D$3,(L127),J127))*(H127-(2*I127)))/365,((DATE(Voorblad!$D$3,(M127),J127)-DATE(Voorblad!$D$3,(L127),J127))*(H127-(2*I127)))/Voorblad!L$3)))</f>
        <v>0</v>
      </c>
      <c r="G171" s="1592"/>
      <c r="H171" s="504">
        <f>IF(M127=0,0,(IF(N127=0,((DATE(Voorblad!D$3+1,1,1)-DATE(Voorblad!$D$3,(M127),J127))*(H127-(3*I127)))/Voorblad!L$3,((DATE(Voorblad!$D$3,(N127),J127)-DATE(Voorblad!$D$3,(M127),J127))*(H127-(3*I127)))/Voorblad!L$3)))</f>
        <v>0</v>
      </c>
      <c r="I171" s="1592">
        <f>IF(N127=0,0,(IF(O127=0,((DATE(Voorblad!D$3+1,1,1)-DATE(Voorblad!$D$3,(N127),J127))*(H127-(4*I127)))/Voorblad!L$3,((DATE(Voorblad!$D$3,(O127),J127)-DATE(Voorblad!$D$3,(N127),J127))*(H127-(4*I127)))/Voorblad!L$3)))</f>
        <v>0</v>
      </c>
      <c r="J171" s="1592"/>
      <c r="K171" s="1592">
        <f>IF(O127=0,0,(IF(P127=0,((DATE(Voorblad!D$3+1,1,1)-DATE(Voorblad!$D$3,(O127),J127))*(H127-(5*I127)))/Voorblad!L$3,((DATE(Voorblad!$D$3,(P127),J127)-DATE(Voorblad!$D$3,(O127),J127))*(H127-(5*I127)))/Voorblad!L$3)))</f>
        <v>0</v>
      </c>
      <c r="L171" s="1592"/>
      <c r="M171" s="1592"/>
      <c r="N171" s="1592"/>
      <c r="O171" s="1592"/>
      <c r="P171" s="1592"/>
      <c r="Q171" s="505">
        <f>IF(P127=0,0,((DATE(Voorblad!D$3+1,1,1)-DATE(Voorblad!$D$3,(P127),J127))*(H127-(6*I127)))/Voorblad!L$3)</f>
        <v>0</v>
      </c>
      <c r="R171" s="576">
        <f t="shared" si="56"/>
        <v>0</v>
      </c>
      <c r="S171" s="571">
        <f t="shared" si="54"/>
        <v>0</v>
      </c>
    </row>
    <row r="172" spans="1:19" ht="12.75">
      <c r="A172" s="1385">
        <f t="shared" si="55"/>
        <v>3127</v>
      </c>
      <c r="B172" s="1602">
        <f>IF(I128=0,H128,(((DATE(Voorblad!$D$3,K128,J128)-DATE(Voorblad!$D$3,1,1))*H128)/Voorblad!L$3))</f>
        <v>0</v>
      </c>
      <c r="C172" s="1602"/>
      <c r="D172" s="1600">
        <f>IF(K128=0,0,(IF(L128=0,((DATE(Voorblad!D$3+1,1,1)-DATE(Voorblad!$D$3,(K128),J128))*(H128-(1*I128)))/Voorblad!L$3,((DATE(Voorblad!$D$3,(L128),J128)-DATE(Voorblad!$D$3,(K128),J128))*(H128-(1*I128)))/Voorblad!L$3)))</f>
        <v>0</v>
      </c>
      <c r="E172" s="1600"/>
      <c r="F172" s="1600">
        <f>IF(L128=0,0,(IF(M128=0,((DATE(Voorblad!D$3+1,1,1)-DATE(Voorblad!$D$3,(L128),J128))*(H128-(2*I128)))/365,((DATE(Voorblad!$D$3,(M128),J128)-DATE(Voorblad!$D$3,(L128),J128))*(H128-(2*I128)))/Voorblad!L$3)))</f>
        <v>0</v>
      </c>
      <c r="G172" s="1600"/>
      <c r="H172" s="753">
        <f>IF(M128=0,0,(IF(N128=0,((DATE(Voorblad!D$3+1,1,1)-DATE(Voorblad!$D$3,(M128),J128))*(H128-(3*I128)))/Voorblad!L$3,((DATE(Voorblad!$D$3,(N128),J128)-DATE(Voorblad!$D$3,(M128),J128))*(H128-(3*I128)))/Voorblad!L$3)))</f>
        <v>0</v>
      </c>
      <c r="I172" s="1600">
        <f>IF(N128=0,0,(IF(O128=0,((DATE(Voorblad!D$3+1,1,1)-DATE(Voorblad!$D$3,(N128),J128))*(H128-(4*I128)))/Voorblad!L$3,((DATE(Voorblad!$D$3,(O128),J128)-DATE(Voorblad!$D$3,(N128),J128))*(H128-(4*I128)))/Voorblad!L$3)))</f>
        <v>0</v>
      </c>
      <c r="J172" s="1600"/>
      <c r="K172" s="1600">
        <f>IF(O128=0,0,(IF(P128=0,((DATE(Voorblad!D$3+1,1,1)-DATE(Voorblad!$D$3,(O128),J128))*(H128-(5*I128)))/Voorblad!L$3,((DATE(Voorblad!$D$3,(P128),J128)-DATE(Voorblad!$D$3,(O128),J128))*(H128-(5*I128)))/Voorblad!L$3)))</f>
        <v>0</v>
      </c>
      <c r="L172" s="1600"/>
      <c r="M172" s="1600"/>
      <c r="N172" s="1600"/>
      <c r="O172" s="1600"/>
      <c r="P172" s="1600"/>
      <c r="Q172" s="754">
        <f>IF(P128=0,0,((DATE(Voorblad!D$3+1,1,1)-DATE(Voorblad!$D$3,(P128),J128))*(H128-(6*I128)))/Voorblad!L$3)</f>
        <v>0</v>
      </c>
      <c r="R172" s="758">
        <f t="shared" si="56"/>
        <v>0</v>
      </c>
      <c r="S172" s="571">
        <f t="shared" si="54"/>
        <v>0</v>
      </c>
    </row>
    <row r="173" spans="1:19" ht="12.75">
      <c r="A173" s="1385">
        <f t="shared" si="55"/>
        <v>3128</v>
      </c>
      <c r="B173" s="1602">
        <f>IF(I129=0,H129,(((DATE(Voorblad!$D$3,K129,J129)-DATE(Voorblad!$D$3,1,1))*H129)/Voorblad!L$3))</f>
        <v>0</v>
      </c>
      <c r="C173" s="1602"/>
      <c r="D173" s="1600">
        <f>IF(K129=0,0,(IF(L129=0,((DATE(Voorblad!D$3+1,1,1)-DATE(Voorblad!$D$3,(K129),J129))*(H129-(1*I129)))/Voorblad!L$3,((DATE(Voorblad!$D$3,(L129),J129)-DATE(Voorblad!$D$3,(K129),J129))*(H129-(1*I129)))/Voorblad!L$3)))</f>
        <v>0</v>
      </c>
      <c r="E173" s="1600"/>
      <c r="F173" s="1600">
        <f>IF(L129=0,0,(IF(M129=0,((DATE(Voorblad!D$3+1,1,1)-DATE(Voorblad!$D$3,(L129),J129))*(H129-(2*I129)))/365,((DATE(Voorblad!$D$3,(M129),J129)-DATE(Voorblad!$D$3,(L129),J129))*(H129-(2*I129)))/Voorblad!L$3)))</f>
        <v>0</v>
      </c>
      <c r="G173" s="1600"/>
      <c r="H173" s="753">
        <f>IF(M129=0,0,(IF(N129=0,((DATE(Voorblad!D$3+1,1,1)-DATE(Voorblad!$D$3,(M129),J129))*(H129-(3*I129)))/Voorblad!L$3,((DATE(Voorblad!$D$3,(N129),J129)-DATE(Voorblad!$D$3,(M129),J129))*(H129-(3*I129)))/Voorblad!L$3)))</f>
        <v>0</v>
      </c>
      <c r="I173" s="1600">
        <f>IF(N129=0,0,(IF(O129=0,((DATE(Voorblad!D$3+1,1,1)-DATE(Voorblad!$D$3,(N129),J129))*(H129-(4*I129)))/Voorblad!L$3,((DATE(Voorblad!$D$3,(O129),J129)-DATE(Voorblad!$D$3,(N129),J129))*(H129-(4*I129)))/Voorblad!L$3)))</f>
        <v>0</v>
      </c>
      <c r="J173" s="1600"/>
      <c r="K173" s="1600">
        <f>IF(O129=0,0,(IF(P129=0,((DATE(Voorblad!D$3+1,1,1)-DATE(Voorblad!$D$3,(O129),J129))*(H129-(5*I129)))/Voorblad!L$3,((DATE(Voorblad!$D$3,(P129),J129)-DATE(Voorblad!$D$3,(O129),J129))*(H129-(5*I129)))/Voorblad!L$3)))</f>
        <v>0</v>
      </c>
      <c r="L173" s="1600"/>
      <c r="M173" s="1600"/>
      <c r="N173" s="1600"/>
      <c r="O173" s="1600"/>
      <c r="P173" s="1600"/>
      <c r="Q173" s="754">
        <f>IF(P129=0,0,((DATE(Voorblad!D$3+1,1,1)-DATE(Voorblad!$D$3,(P129),J129))*(H129-(6*I129)))/Voorblad!L$3)</f>
        <v>0</v>
      </c>
      <c r="R173" s="758">
        <f t="shared" si="56"/>
        <v>0</v>
      </c>
      <c r="S173" s="571">
        <f t="shared" si="54"/>
        <v>0</v>
      </c>
    </row>
    <row r="174" spans="1:19" ht="12.75">
      <c r="A174" s="1385">
        <f t="shared" si="55"/>
        <v>3129</v>
      </c>
      <c r="B174" s="1602">
        <f>IF(I130=0,H130,(((DATE(Voorblad!$D$3,K130,J130)-DATE(Voorblad!$D$3,1,1))*H130)/Voorblad!L$3))</f>
        <v>0</v>
      </c>
      <c r="C174" s="1602"/>
      <c r="D174" s="1600">
        <f>IF(K130=0,0,(IF(L130=0,((DATE(Voorblad!D$3+1,1,1)-DATE(Voorblad!$D$3,(K130),J130))*(H130-(1*I130)))/Voorblad!L$3,((DATE(Voorblad!$D$3,(L130),J130)-DATE(Voorblad!$D$3,(K130),J130))*(H130-(1*I130)))/Voorblad!L$3)))</f>
        <v>0</v>
      </c>
      <c r="E174" s="1600"/>
      <c r="F174" s="1600">
        <f>IF(L130=0,0,(IF(M130=0,((DATE(Voorblad!D$3+1,1,1)-DATE(Voorblad!$D$3,(L130),J130))*(H130-(2*I130)))/365,((DATE(Voorblad!$D$3,(M130),J130)-DATE(Voorblad!$D$3,(L130),J130))*(H130-(2*I130)))/Voorblad!L$3)))</f>
        <v>0</v>
      </c>
      <c r="G174" s="1600"/>
      <c r="H174" s="753">
        <f>IF(M130=0,0,(IF(N130=0,((DATE(Voorblad!D$3+1,1,1)-DATE(Voorblad!$D$3,(M130),J130))*(H130-(3*I130)))/Voorblad!L$3,((DATE(Voorblad!$D$3,(N130),J130)-DATE(Voorblad!$D$3,(M130),J130))*(H130-(3*I130)))/Voorblad!L$3)))</f>
        <v>0</v>
      </c>
      <c r="I174" s="1600">
        <f>IF(N130=0,0,(IF(O130=0,((DATE(Voorblad!D$3+1,1,1)-DATE(Voorblad!$D$3,(N130),J130))*(H130-(4*I130)))/Voorblad!L$3,((DATE(Voorblad!$D$3,(O130),J130)-DATE(Voorblad!$D$3,(N130),J130))*(H130-(4*I130)))/Voorblad!L$3)))</f>
        <v>0</v>
      </c>
      <c r="J174" s="1600"/>
      <c r="K174" s="1600">
        <f>IF(O130=0,0,(IF(P130=0,((DATE(Voorblad!D$3+1,1,1)-DATE(Voorblad!$D$3,(O130),J130))*(H130-(5*I130)))/Voorblad!L$3,((DATE(Voorblad!$D$3,(P130),J130)-DATE(Voorblad!$D$3,(O130),J130))*(H130-(5*I130)))/Voorblad!L$3)))</f>
        <v>0</v>
      </c>
      <c r="L174" s="1600"/>
      <c r="M174" s="1600"/>
      <c r="N174" s="1600"/>
      <c r="O174" s="1600"/>
      <c r="P174" s="1600"/>
      <c r="Q174" s="754">
        <f>IF(P130=0,0,((DATE(Voorblad!D$3+1,1,1)-DATE(Voorblad!$D$3,(P130),J130))*(H130-(6*I130)))/Voorblad!L$3)</f>
        <v>0</v>
      </c>
      <c r="R174" s="758">
        <f t="shared" si="56"/>
        <v>0</v>
      </c>
      <c r="S174" s="571">
        <f t="shared" si="54"/>
        <v>0</v>
      </c>
    </row>
    <row r="175" spans="1:19" ht="12.75">
      <c r="A175" s="1385">
        <f t="shared" si="55"/>
        <v>3130</v>
      </c>
      <c r="B175" s="1602">
        <f>IF(I131=0,H131,(((DATE(Voorblad!$D$3,K131,J131)-DATE(Voorblad!$D$3,1,1))*H131)/Voorblad!L$3))</f>
        <v>0</v>
      </c>
      <c r="C175" s="1602"/>
      <c r="D175" s="1600">
        <f>IF(K131=0,0,(IF(L131=0,((DATE(Voorblad!D$3+1,1,1)-DATE(Voorblad!$D$3,(K131),J131))*(H131-(1*I131)))/Voorblad!L$3,((DATE(Voorblad!$D$3,(L131),J131)-DATE(Voorblad!$D$3,(K131),J131))*(H131-(1*I131)))/Voorblad!L$3)))</f>
        <v>0</v>
      </c>
      <c r="E175" s="1600"/>
      <c r="F175" s="1600">
        <f>IF(L131=0,0,(IF(M131=0,((DATE(Voorblad!D$3+1,1,1)-DATE(Voorblad!$D$3,(L131),J131))*(H131-(2*I131)))/365,((DATE(Voorblad!$D$3,(M131),J131)-DATE(Voorblad!$D$3,(L131),J131))*(H131-(2*I131)))/Voorblad!L$3)))</f>
        <v>0</v>
      </c>
      <c r="G175" s="1600"/>
      <c r="H175" s="753">
        <f>IF(M131=0,0,(IF(N131=0,((DATE(Voorblad!D$3+1,1,1)-DATE(Voorblad!$D$3,(M131),J131))*(H131-(3*I131)))/Voorblad!L$3,((DATE(Voorblad!$D$3,(N131),J131)-DATE(Voorblad!$D$3,(M131),J131))*(H131-(3*I131)))/Voorblad!L$3)))</f>
        <v>0</v>
      </c>
      <c r="I175" s="1600">
        <f>IF(N131=0,0,(IF(O131=0,((DATE(Voorblad!D$3+1,1,1)-DATE(Voorblad!$D$3,(N131),J131))*(H131-(4*I131)))/Voorblad!L$3,((DATE(Voorblad!$D$3,(O131),J131)-DATE(Voorblad!$D$3,(N131),J131))*(H131-(4*I131)))/Voorblad!L$3)))</f>
        <v>0</v>
      </c>
      <c r="J175" s="1600"/>
      <c r="K175" s="1600">
        <f>IF(O131=0,0,(IF(P131=0,((DATE(Voorblad!D$3+1,1,1)-DATE(Voorblad!$D$3,(O131),J131))*(H131-(5*I131)))/Voorblad!L$3,((DATE(Voorblad!$D$3,(P131),J131)-DATE(Voorblad!$D$3,(O131),J131))*(H131-(5*I131)))/Voorblad!L$3)))</f>
        <v>0</v>
      </c>
      <c r="L175" s="1600"/>
      <c r="M175" s="1600"/>
      <c r="N175" s="1600"/>
      <c r="O175" s="1600"/>
      <c r="P175" s="1600"/>
      <c r="Q175" s="754">
        <f>IF(P131=0,0,((DATE(Voorblad!D$3+1,1,1)-DATE(Voorblad!$D$3,(P131),J131))*(H131-(6*I131)))/Voorblad!L$3)</f>
        <v>0</v>
      </c>
      <c r="R175" s="758">
        <f t="shared" si="56"/>
        <v>0</v>
      </c>
      <c r="S175" s="571">
        <f t="shared" si="54"/>
        <v>0</v>
      </c>
    </row>
    <row r="176" spans="1:19" ht="12.75">
      <c r="A176" s="1385">
        <f t="shared" si="55"/>
        <v>3131</v>
      </c>
      <c r="B176" s="1602">
        <f>IF(I132=0,H132,(((DATE(Voorblad!$D$3,K132,J132)-DATE(Voorblad!$D$3,1,1))*H132)/Voorblad!L$3))</f>
        <v>0</v>
      </c>
      <c r="C176" s="1602"/>
      <c r="D176" s="1600">
        <f>IF(K132=0,0,(IF(L132=0,((DATE(Voorblad!D$3+1,1,1)-DATE(Voorblad!$D$3,(K132),J132))*(H132-(1*I132)))/Voorblad!L$3,((DATE(Voorblad!$D$3,(L132),J132)-DATE(Voorblad!$D$3,(K132),J132))*(H132-(1*I132)))/Voorblad!L$3)))</f>
        <v>0</v>
      </c>
      <c r="E176" s="1600"/>
      <c r="F176" s="1600">
        <f>IF(L132=0,0,(IF(M132=0,((DATE(Voorblad!D$3+1,1,1)-DATE(Voorblad!$D$3,(L132),J132))*(H132-(2*I132)))/365,((DATE(Voorblad!$D$3,(M132),J132)-DATE(Voorblad!$D$3,(L132),J132))*(H132-(2*I132)))/Voorblad!L$3)))</f>
        <v>0</v>
      </c>
      <c r="G176" s="1600"/>
      <c r="H176" s="753">
        <f>IF(M132=0,0,(IF(N132=0,((DATE(Voorblad!D$3+1,1,1)-DATE(Voorblad!$D$3,(M132),J132))*(H132-(3*I132)))/Voorblad!L$3,((DATE(Voorblad!$D$3,(N132),J132)-DATE(Voorblad!$D$3,(M132),J132))*(H132-(3*I132)))/Voorblad!L$3)))</f>
        <v>0</v>
      </c>
      <c r="I176" s="1600">
        <f>IF(N132=0,0,(IF(O132=0,((DATE(Voorblad!D$3+1,1,1)-DATE(Voorblad!$D$3,(N132),J132))*(H132-(4*I132)))/Voorblad!L$3,((DATE(Voorblad!$D$3,(O132),J132)-DATE(Voorblad!$D$3,(N132),J132))*(H132-(4*I132)))/Voorblad!L$3)))</f>
        <v>0</v>
      </c>
      <c r="J176" s="1600"/>
      <c r="K176" s="1600">
        <f>IF(O132=0,0,(IF(P132=0,((DATE(Voorblad!D$3+1,1,1)-DATE(Voorblad!$D$3,(O132),J132))*(H132-(5*I132)))/Voorblad!L$3,((DATE(Voorblad!$D$3,(P132),J132)-DATE(Voorblad!$D$3,(O132),J132))*(H132-(5*I132)))/Voorblad!L$3)))</f>
        <v>0</v>
      </c>
      <c r="L176" s="1600"/>
      <c r="M176" s="1600"/>
      <c r="N176" s="1600"/>
      <c r="O176" s="1600"/>
      <c r="P176" s="1600"/>
      <c r="Q176" s="754">
        <f>IF(P132=0,0,((DATE(Voorblad!D$3+1,1,1)-DATE(Voorblad!$D$3,(P132),J132))*(H132-(6*I132)))/Voorblad!L$3)</f>
        <v>0</v>
      </c>
      <c r="R176" s="758">
        <f t="shared" si="56"/>
        <v>0</v>
      </c>
      <c r="S176" s="571">
        <f t="shared" si="54"/>
        <v>0</v>
      </c>
    </row>
    <row r="177" spans="1:19" ht="12.75">
      <c r="A177" s="1385">
        <f t="shared" si="55"/>
        <v>3132</v>
      </c>
      <c r="B177" s="1602">
        <f>IF(I133=0,H133,(((DATE(Voorblad!$D$3,K133,J133)-DATE(Voorblad!$D$3,1,1))*H133)/Voorblad!L$3))</f>
        <v>0</v>
      </c>
      <c r="C177" s="1602"/>
      <c r="D177" s="1600">
        <f>IF(K133=0,0,(IF(L133=0,((DATE(Voorblad!D$3+1,1,1)-DATE(Voorblad!$D$3,(K133),J133))*(H133-(1*I133)))/Voorblad!L$3,((DATE(Voorblad!$D$3,(L133),J133)-DATE(Voorblad!$D$3,(K133),J133))*(H133-(1*I133)))/Voorblad!L$3)))</f>
        <v>0</v>
      </c>
      <c r="E177" s="1600"/>
      <c r="F177" s="1600">
        <f>IF(L133=0,0,(IF(M133=0,((DATE(Voorblad!D$3+1,1,1)-DATE(Voorblad!$D$3,(L133),J133))*(H133-(2*I133)))/365,((DATE(Voorblad!$D$3,(M133),J133)-DATE(Voorblad!$D$3,(L133),J133))*(H133-(2*I133)))/Voorblad!L$3)))</f>
        <v>0</v>
      </c>
      <c r="G177" s="1600"/>
      <c r="H177" s="753">
        <f>IF(M133=0,0,(IF(N133=0,((DATE(Voorblad!D$3+1,1,1)-DATE(Voorblad!$D$3,(M133),J133))*(H133-(3*I133)))/Voorblad!L$3,((DATE(Voorblad!$D$3,(N133),J133)-DATE(Voorblad!$D$3,(M133),J133))*(H133-(3*I133)))/Voorblad!L$3)))</f>
        <v>0</v>
      </c>
      <c r="I177" s="1600">
        <f>IF(N133=0,0,(IF(O133=0,((DATE(Voorblad!D$3+1,1,1)-DATE(Voorblad!$D$3,(N133),J133))*(H133-(4*I133)))/Voorblad!L$3,((DATE(Voorblad!$D$3,(O133),J133)-DATE(Voorblad!$D$3,(N133),J133))*(H133-(4*I133)))/Voorblad!L$3)))</f>
        <v>0</v>
      </c>
      <c r="J177" s="1600"/>
      <c r="K177" s="1600">
        <f>IF(O133=0,0,(IF(P133=0,((DATE(Voorblad!D$3+1,1,1)-DATE(Voorblad!$D$3,(O133),J133))*(H133-(5*I133)))/Voorblad!L$3,((DATE(Voorblad!$D$3,(P133),J133)-DATE(Voorblad!$D$3,(O133),J133))*(H133-(5*I133)))/Voorblad!L$3)))</f>
        <v>0</v>
      </c>
      <c r="L177" s="1600"/>
      <c r="M177" s="1600"/>
      <c r="N177" s="1600"/>
      <c r="O177" s="1600"/>
      <c r="P177" s="1600"/>
      <c r="Q177" s="754">
        <f>IF(P133=0,0,((DATE(Voorblad!D$3+1,1,1)-DATE(Voorblad!$D$3,(P133),J133))*(H133-(6*I133)))/Voorblad!L$3)</f>
        <v>0</v>
      </c>
      <c r="R177" s="758">
        <f t="shared" si="56"/>
        <v>0</v>
      </c>
      <c r="S177" s="571">
        <f t="shared" si="54"/>
        <v>0</v>
      </c>
    </row>
    <row r="178" spans="1:19" ht="12.75">
      <c r="A178" s="1385">
        <f t="shared" si="55"/>
        <v>3133</v>
      </c>
      <c r="B178" s="1602">
        <f>IF(I134=0,H134,(((DATE(Voorblad!$D$3,K134,J134)-DATE(Voorblad!$D$3,1,1))*H134)/Voorblad!L$3))</f>
        <v>0</v>
      </c>
      <c r="C178" s="1602"/>
      <c r="D178" s="1600">
        <f>IF(K134=0,0,(IF(L134=0,((DATE(Voorblad!D$3+1,1,1)-DATE(Voorblad!$D$3,(K134),J134))*(H134-(1*I134)))/Voorblad!L$3,((DATE(Voorblad!$D$3,(L134),J134)-DATE(Voorblad!$D$3,(K134),J134))*(H134-(1*I134)))/Voorblad!L$3)))</f>
        <v>0</v>
      </c>
      <c r="E178" s="1600"/>
      <c r="F178" s="1600">
        <f>IF(L134=0,0,(IF(M134=0,((DATE(Voorblad!D$3+1,1,1)-DATE(Voorblad!$D$3,(L134),J134))*(H134-(2*I134)))/365,((DATE(Voorblad!$D$3,(M134),J134)-DATE(Voorblad!$D$3,(L134),J134))*(H134-(2*I134)))/Voorblad!L$3)))</f>
        <v>0</v>
      </c>
      <c r="G178" s="1600"/>
      <c r="H178" s="753">
        <f>IF(M134=0,0,(IF(N134=0,((DATE(Voorblad!D$3+1,1,1)-DATE(Voorblad!$D$3,(M134),J134))*(H134-(3*I134)))/Voorblad!L$3,((DATE(Voorblad!$D$3,(N134),J134)-DATE(Voorblad!$D$3,(M134),J134))*(H134-(3*I134)))/Voorblad!L$3)))</f>
        <v>0</v>
      </c>
      <c r="I178" s="1600">
        <f>IF(N134=0,0,(IF(O134=0,((DATE(Voorblad!D$3+1,1,1)-DATE(Voorblad!$D$3,(N134),J134))*(H134-(4*I134)))/Voorblad!L$3,((DATE(Voorblad!$D$3,(O134),J134)-DATE(Voorblad!$D$3,(N134),J134))*(H134-(4*I134)))/Voorblad!L$3)))</f>
        <v>0</v>
      </c>
      <c r="J178" s="1600"/>
      <c r="K178" s="1600">
        <f>IF(O134=0,0,(IF(P134=0,((DATE(Voorblad!D$3+1,1,1)-DATE(Voorblad!$D$3,(O134),J134))*(H134-(5*I134)))/Voorblad!L$3,((DATE(Voorblad!$D$3,(P134),J134)-DATE(Voorblad!$D$3,(O134),J134))*(H134-(5*I134)))/Voorblad!L$3)))</f>
        <v>0</v>
      </c>
      <c r="L178" s="1600"/>
      <c r="M178" s="1600"/>
      <c r="N178" s="1600"/>
      <c r="O178" s="1600"/>
      <c r="P178" s="1600"/>
      <c r="Q178" s="754">
        <f>IF(P134=0,0,((DATE(Voorblad!D$3+1,1,1)-DATE(Voorblad!$D$3,(P134),J134))*(H134-(6*I134)))/Voorblad!L$3)</f>
        <v>0</v>
      </c>
      <c r="R178" s="758">
        <f t="shared" si="56"/>
        <v>0</v>
      </c>
      <c r="S178" s="571">
        <f t="shared" si="54"/>
        <v>0</v>
      </c>
    </row>
    <row r="179" spans="1:19" ht="12.75">
      <c r="A179" s="1385">
        <f t="shared" si="55"/>
        <v>3134</v>
      </c>
      <c r="B179" s="1602">
        <f>IF(I135=0,H135,(((DATE(Voorblad!$D$3,K135,J135)-DATE(Voorblad!$D$3,1,1))*H135)/Voorblad!L$3))</f>
        <v>0</v>
      </c>
      <c r="C179" s="1602"/>
      <c r="D179" s="1600">
        <f>IF(K135=0,0,(IF(L135=0,((DATE(Voorblad!D$3+1,1,1)-DATE(Voorblad!$D$3,(K135),J135))*(H135-(1*I135)))/Voorblad!L$3,((DATE(Voorblad!$D$3,(L135),J135)-DATE(Voorblad!$D$3,(K135),J135))*(H135-(1*I135)))/Voorblad!L$3)))</f>
        <v>0</v>
      </c>
      <c r="E179" s="1600"/>
      <c r="F179" s="1600">
        <f>IF(L135=0,0,(IF(M135=0,((DATE(Voorblad!D$3+1,1,1)-DATE(Voorblad!$D$3,(L135),J135))*(H135-(2*I135)))/365,((DATE(Voorblad!$D$3,(M135),J135)-DATE(Voorblad!$D$3,(L135),J135))*(H135-(2*I135)))/Voorblad!L$3)))</f>
        <v>0</v>
      </c>
      <c r="G179" s="1600"/>
      <c r="H179" s="753">
        <f>IF(M135=0,0,(IF(N135=0,((DATE(Voorblad!D$3+1,1,1)-DATE(Voorblad!$D$3,(M135),J135))*(H135-(3*I135)))/Voorblad!L$3,((DATE(Voorblad!$D$3,(N135),J135)-DATE(Voorblad!$D$3,(M135),J135))*(H135-(3*I135)))/Voorblad!L$3)))</f>
        <v>0</v>
      </c>
      <c r="I179" s="1600">
        <f>IF(N135=0,0,(IF(O135=0,((DATE(Voorblad!D$3+1,1,1)-DATE(Voorblad!$D$3,(N135),J135))*(H135-(4*I135)))/Voorblad!L$3,((DATE(Voorblad!$D$3,(O135),J135)-DATE(Voorblad!$D$3,(N135),J135))*(H135-(4*I135)))/Voorblad!L$3)))</f>
        <v>0</v>
      </c>
      <c r="J179" s="1600"/>
      <c r="K179" s="1600">
        <f>IF(O135=0,0,(IF(P135=0,((DATE(Voorblad!D$3+1,1,1)-DATE(Voorblad!$D$3,(O135),J135))*(H135-(5*I135)))/Voorblad!L$3,((DATE(Voorblad!$D$3,(P135),J135)-DATE(Voorblad!$D$3,(O135),J135))*(H135-(5*I135)))/Voorblad!L$3)))</f>
        <v>0</v>
      </c>
      <c r="L179" s="1600"/>
      <c r="M179" s="1600"/>
      <c r="N179" s="1600"/>
      <c r="O179" s="1600"/>
      <c r="P179" s="1600"/>
      <c r="Q179" s="754">
        <f>IF(P135=0,0,((DATE(Voorblad!D$3+1,1,1)-DATE(Voorblad!$D$3,(P135),J135))*(H135-(6*I135)))/Voorblad!L$3)</f>
        <v>0</v>
      </c>
      <c r="R179" s="758">
        <f t="shared" si="56"/>
        <v>0</v>
      </c>
      <c r="S179" s="571">
        <f t="shared" si="54"/>
        <v>0</v>
      </c>
    </row>
    <row r="180" spans="1:19" ht="12.75">
      <c r="A180" s="1385">
        <f t="shared" si="55"/>
        <v>3135</v>
      </c>
      <c r="B180" s="1602">
        <f>IF(I136=0,H136,(((DATE(Voorblad!$D$3,K136,J136)-DATE(Voorblad!$D$3,1,1))*H136)/Voorblad!L$3))</f>
        <v>0</v>
      </c>
      <c r="C180" s="1602"/>
      <c r="D180" s="1600">
        <f>IF(K136=0,0,(IF(L136=0,((DATE(Voorblad!D$3+1,1,1)-DATE(Voorblad!$D$3,(K136),J136))*(H136-(1*I136)))/Voorblad!L$3,((DATE(Voorblad!$D$3,(L136),J136)-DATE(Voorblad!$D$3,(K136),J136))*(H136-(1*I136)))/Voorblad!L$3)))</f>
        <v>0</v>
      </c>
      <c r="E180" s="1600"/>
      <c r="F180" s="1600">
        <f>IF(L136=0,0,(IF(M136=0,((DATE(Voorblad!D$3+1,1,1)-DATE(Voorblad!$D$3,(L136),J136))*(H136-(2*I136)))/365,((DATE(Voorblad!$D$3,(M136),J136)-DATE(Voorblad!$D$3,(L136),J136))*(H136-(2*I136)))/Voorblad!L$3)))</f>
        <v>0</v>
      </c>
      <c r="G180" s="1600"/>
      <c r="H180" s="753">
        <f>IF(M136=0,0,(IF(N136=0,((DATE(Voorblad!D$3+1,1,1)-DATE(Voorblad!$D$3,(M136),J136))*(H136-(3*I136)))/Voorblad!L$3,((DATE(Voorblad!$D$3,(N136),J136)-DATE(Voorblad!$D$3,(M136),J136))*(H136-(3*I136)))/Voorblad!L$3)))</f>
        <v>0</v>
      </c>
      <c r="I180" s="1600">
        <f>IF(N136=0,0,(IF(O136=0,((DATE(Voorblad!D$3+1,1,1)-DATE(Voorblad!$D$3,(N136),J136))*(H136-(4*I136)))/Voorblad!L$3,((DATE(Voorblad!$D$3,(O136),J136)-DATE(Voorblad!$D$3,(N136),J136))*(H136-(4*I136)))/Voorblad!L$3)))</f>
        <v>0</v>
      </c>
      <c r="J180" s="1600"/>
      <c r="K180" s="1600">
        <f>IF(O136=0,0,(IF(P136=0,((DATE(Voorblad!D$3+1,1,1)-DATE(Voorblad!$D$3,(O136),J136))*(H136-(5*I136)))/Voorblad!L$3,((DATE(Voorblad!$D$3,(P136),J136)-DATE(Voorblad!$D$3,(O136),J136))*(H136-(5*I136)))/Voorblad!L$3)))</f>
        <v>0</v>
      </c>
      <c r="L180" s="1600"/>
      <c r="M180" s="1600"/>
      <c r="N180" s="1600"/>
      <c r="O180" s="1600"/>
      <c r="P180" s="1600"/>
      <c r="Q180" s="754">
        <f>IF(P136=0,0,((DATE(Voorblad!D$3+1,1,1)-DATE(Voorblad!$D$3,(P136),J136))*(H136-(6*I136)))/Voorblad!L$3)</f>
        <v>0</v>
      </c>
      <c r="R180" s="758">
        <f t="shared" si="56"/>
        <v>0</v>
      </c>
      <c r="S180" s="571">
        <f t="shared" si="54"/>
        <v>0</v>
      </c>
    </row>
    <row r="181" spans="1:19" ht="12.75">
      <c r="A181" s="1385">
        <f t="shared" si="55"/>
        <v>3136</v>
      </c>
      <c r="B181" s="755"/>
      <c r="C181" s="756"/>
      <c r="D181" s="756"/>
      <c r="E181" s="756"/>
      <c r="F181" s="756"/>
      <c r="G181" s="756"/>
      <c r="H181" s="756"/>
      <c r="I181" s="756"/>
      <c r="J181" s="756"/>
      <c r="K181" s="756"/>
      <c r="L181" s="756"/>
      <c r="M181" s="756"/>
      <c r="N181" s="756"/>
      <c r="O181" s="756"/>
      <c r="P181" s="756"/>
      <c r="Q181" s="757"/>
      <c r="R181" s="752">
        <f>SUM(R146:R180)</f>
        <v>0</v>
      </c>
      <c r="S181" s="752">
        <f>SUM(S146:S180)</f>
        <v>0</v>
      </c>
    </row>
  </sheetData>
  <sheetProtection password="CCBC" sheet="1" objects="1" scenarios="1"/>
  <mergeCells count="358">
    <mergeCell ref="K180:P180"/>
    <mergeCell ref="B180:C180"/>
    <mergeCell ref="D180:E180"/>
    <mergeCell ref="F180:G180"/>
    <mergeCell ref="I180:J180"/>
    <mergeCell ref="K178:P178"/>
    <mergeCell ref="B179:C179"/>
    <mergeCell ref="D179:E179"/>
    <mergeCell ref="F179:G179"/>
    <mergeCell ref="I179:J179"/>
    <mergeCell ref="K179:P179"/>
    <mergeCell ref="B178:C178"/>
    <mergeCell ref="D178:E178"/>
    <mergeCell ref="F178:G178"/>
    <mergeCell ref="I178:J178"/>
    <mergeCell ref="K176:P176"/>
    <mergeCell ref="B177:C177"/>
    <mergeCell ref="D177:E177"/>
    <mergeCell ref="F177:G177"/>
    <mergeCell ref="I177:J177"/>
    <mergeCell ref="K177:P177"/>
    <mergeCell ref="B176:C176"/>
    <mergeCell ref="D176:E176"/>
    <mergeCell ref="F176:G176"/>
    <mergeCell ref="I176:J176"/>
    <mergeCell ref="K174:P174"/>
    <mergeCell ref="B175:C175"/>
    <mergeCell ref="D175:E175"/>
    <mergeCell ref="F175:G175"/>
    <mergeCell ref="I175:J175"/>
    <mergeCell ref="K175:P175"/>
    <mergeCell ref="B174:C174"/>
    <mergeCell ref="D174:E174"/>
    <mergeCell ref="F174:G174"/>
    <mergeCell ref="I174:J174"/>
    <mergeCell ref="K172:P172"/>
    <mergeCell ref="B173:C173"/>
    <mergeCell ref="D173:E173"/>
    <mergeCell ref="F173:G173"/>
    <mergeCell ref="I173:J173"/>
    <mergeCell ref="K173:P173"/>
    <mergeCell ref="B172:C172"/>
    <mergeCell ref="D172:E172"/>
    <mergeCell ref="F172:G172"/>
    <mergeCell ref="I172:J172"/>
    <mergeCell ref="K170:P170"/>
    <mergeCell ref="B171:C171"/>
    <mergeCell ref="D171:E171"/>
    <mergeCell ref="F171:G171"/>
    <mergeCell ref="I171:J171"/>
    <mergeCell ref="K171:P171"/>
    <mergeCell ref="B170:C170"/>
    <mergeCell ref="D170:E170"/>
    <mergeCell ref="F170:G170"/>
    <mergeCell ref="I170:J170"/>
    <mergeCell ref="K168:P168"/>
    <mergeCell ref="B169:C169"/>
    <mergeCell ref="D169:E169"/>
    <mergeCell ref="F169:G169"/>
    <mergeCell ref="I169:J169"/>
    <mergeCell ref="K169:P169"/>
    <mergeCell ref="B168:C168"/>
    <mergeCell ref="D168:E168"/>
    <mergeCell ref="F168:G168"/>
    <mergeCell ref="I168:J168"/>
    <mergeCell ref="K166:P166"/>
    <mergeCell ref="B167:C167"/>
    <mergeCell ref="D167:E167"/>
    <mergeCell ref="F167:G167"/>
    <mergeCell ref="I167:J167"/>
    <mergeCell ref="K167:P167"/>
    <mergeCell ref="B166:C166"/>
    <mergeCell ref="D166:E166"/>
    <mergeCell ref="F166:G166"/>
    <mergeCell ref="I166:J166"/>
    <mergeCell ref="K164:P164"/>
    <mergeCell ref="B165:C165"/>
    <mergeCell ref="D165:E165"/>
    <mergeCell ref="F165:G165"/>
    <mergeCell ref="I165:J165"/>
    <mergeCell ref="K165:P165"/>
    <mergeCell ref="B164:C164"/>
    <mergeCell ref="D164:E164"/>
    <mergeCell ref="F164:G164"/>
    <mergeCell ref="I164:J164"/>
    <mergeCell ref="K162:P162"/>
    <mergeCell ref="B163:C163"/>
    <mergeCell ref="D163:E163"/>
    <mergeCell ref="F163:G163"/>
    <mergeCell ref="I163:J163"/>
    <mergeCell ref="K163:P163"/>
    <mergeCell ref="B162:C162"/>
    <mergeCell ref="D162:E162"/>
    <mergeCell ref="F162:G162"/>
    <mergeCell ref="I162:J162"/>
    <mergeCell ref="K160:P160"/>
    <mergeCell ref="B161:C161"/>
    <mergeCell ref="D161:E161"/>
    <mergeCell ref="F161:G161"/>
    <mergeCell ref="I161:J161"/>
    <mergeCell ref="K161:P161"/>
    <mergeCell ref="B160:C160"/>
    <mergeCell ref="D160:E160"/>
    <mergeCell ref="F160:G160"/>
    <mergeCell ref="I160:J160"/>
    <mergeCell ref="K158:P158"/>
    <mergeCell ref="B159:C159"/>
    <mergeCell ref="D159:E159"/>
    <mergeCell ref="F159:G159"/>
    <mergeCell ref="I159:J159"/>
    <mergeCell ref="K159:P159"/>
    <mergeCell ref="B158:C158"/>
    <mergeCell ref="D158:E158"/>
    <mergeCell ref="F158:G158"/>
    <mergeCell ref="I158:J158"/>
    <mergeCell ref="K156:P156"/>
    <mergeCell ref="B157:C157"/>
    <mergeCell ref="D157:E157"/>
    <mergeCell ref="F157:G157"/>
    <mergeCell ref="I157:J157"/>
    <mergeCell ref="K157:P157"/>
    <mergeCell ref="B156:C156"/>
    <mergeCell ref="D156:E156"/>
    <mergeCell ref="F156:G156"/>
    <mergeCell ref="I156:J156"/>
    <mergeCell ref="K154:P154"/>
    <mergeCell ref="B155:C155"/>
    <mergeCell ref="D155:E155"/>
    <mergeCell ref="F155:G155"/>
    <mergeCell ref="I155:J155"/>
    <mergeCell ref="K155:P155"/>
    <mergeCell ref="B154:C154"/>
    <mergeCell ref="D154:E154"/>
    <mergeCell ref="F154:G154"/>
    <mergeCell ref="I154:J154"/>
    <mergeCell ref="K152:P152"/>
    <mergeCell ref="B153:C153"/>
    <mergeCell ref="D153:E153"/>
    <mergeCell ref="F153:G153"/>
    <mergeCell ref="I153:J153"/>
    <mergeCell ref="K153:P153"/>
    <mergeCell ref="B152:C152"/>
    <mergeCell ref="D152:E152"/>
    <mergeCell ref="F152:G152"/>
    <mergeCell ref="I152:J152"/>
    <mergeCell ref="K150:P150"/>
    <mergeCell ref="B151:C151"/>
    <mergeCell ref="D151:E151"/>
    <mergeCell ref="F151:G151"/>
    <mergeCell ref="I151:J151"/>
    <mergeCell ref="K151:P151"/>
    <mergeCell ref="B150:C150"/>
    <mergeCell ref="D150:E150"/>
    <mergeCell ref="F150:G150"/>
    <mergeCell ref="I150:J150"/>
    <mergeCell ref="K148:P148"/>
    <mergeCell ref="B149:C149"/>
    <mergeCell ref="D149:E149"/>
    <mergeCell ref="F149:G149"/>
    <mergeCell ref="I149:J149"/>
    <mergeCell ref="K149:P149"/>
    <mergeCell ref="B148:C148"/>
    <mergeCell ref="D148:E148"/>
    <mergeCell ref="F148:G148"/>
    <mergeCell ref="I148:J148"/>
    <mergeCell ref="K146:P146"/>
    <mergeCell ref="B147:C147"/>
    <mergeCell ref="D147:E147"/>
    <mergeCell ref="F147:G147"/>
    <mergeCell ref="I147:J147"/>
    <mergeCell ref="K147:P147"/>
    <mergeCell ref="B146:C146"/>
    <mergeCell ref="D146:E146"/>
    <mergeCell ref="F146:G146"/>
    <mergeCell ref="I146:J146"/>
    <mergeCell ref="I98:P98"/>
    <mergeCell ref="K99:P99"/>
    <mergeCell ref="I145:J145"/>
    <mergeCell ref="K145:P145"/>
    <mergeCell ref="K92:P92"/>
    <mergeCell ref="B93:C93"/>
    <mergeCell ref="D93:E93"/>
    <mergeCell ref="F93:G93"/>
    <mergeCell ref="I93:J93"/>
    <mergeCell ref="K93:P93"/>
    <mergeCell ref="B92:C92"/>
    <mergeCell ref="D92:E92"/>
    <mergeCell ref="F92:G92"/>
    <mergeCell ref="I92:J92"/>
    <mergeCell ref="K90:P90"/>
    <mergeCell ref="B91:C91"/>
    <mergeCell ref="D91:E91"/>
    <mergeCell ref="F91:G91"/>
    <mergeCell ref="I91:J91"/>
    <mergeCell ref="K91:P91"/>
    <mergeCell ref="B90:C90"/>
    <mergeCell ref="D90:E90"/>
    <mergeCell ref="F90:G90"/>
    <mergeCell ref="I90:J90"/>
    <mergeCell ref="K88:P88"/>
    <mergeCell ref="B89:C89"/>
    <mergeCell ref="D89:E89"/>
    <mergeCell ref="F89:G89"/>
    <mergeCell ref="I89:J89"/>
    <mergeCell ref="K89:P89"/>
    <mergeCell ref="B88:C88"/>
    <mergeCell ref="D88:E88"/>
    <mergeCell ref="F88:G88"/>
    <mergeCell ref="I88:J88"/>
    <mergeCell ref="K86:P86"/>
    <mergeCell ref="B87:C87"/>
    <mergeCell ref="D87:E87"/>
    <mergeCell ref="F87:G87"/>
    <mergeCell ref="I87:J87"/>
    <mergeCell ref="K87:P87"/>
    <mergeCell ref="B86:C86"/>
    <mergeCell ref="D86:E86"/>
    <mergeCell ref="F86:G86"/>
    <mergeCell ref="I86:J86"/>
    <mergeCell ref="B83:C83"/>
    <mergeCell ref="B84:C84"/>
    <mergeCell ref="B85:C85"/>
    <mergeCell ref="B79:C79"/>
    <mergeCell ref="B80:C80"/>
    <mergeCell ref="B81:C81"/>
    <mergeCell ref="B82:C82"/>
    <mergeCell ref="B75:C75"/>
    <mergeCell ref="B76:C76"/>
    <mergeCell ref="B77:C77"/>
    <mergeCell ref="B78:C78"/>
    <mergeCell ref="B71:C71"/>
    <mergeCell ref="B72:C72"/>
    <mergeCell ref="B73:C73"/>
    <mergeCell ref="B74:C74"/>
    <mergeCell ref="B67:C67"/>
    <mergeCell ref="B68:C68"/>
    <mergeCell ref="B69:C69"/>
    <mergeCell ref="B70:C70"/>
    <mergeCell ref="B63:C63"/>
    <mergeCell ref="B64:C64"/>
    <mergeCell ref="B65:C65"/>
    <mergeCell ref="B66:C66"/>
    <mergeCell ref="B59:C59"/>
    <mergeCell ref="B60:C60"/>
    <mergeCell ref="B61:C61"/>
    <mergeCell ref="B62:C62"/>
    <mergeCell ref="D73:E73"/>
    <mergeCell ref="F73:G73"/>
    <mergeCell ref="I73:J73"/>
    <mergeCell ref="K73:P73"/>
    <mergeCell ref="D72:E72"/>
    <mergeCell ref="F72:G72"/>
    <mergeCell ref="I72:J72"/>
    <mergeCell ref="K72:P72"/>
    <mergeCell ref="D71:E71"/>
    <mergeCell ref="F71:G71"/>
    <mergeCell ref="I71:J71"/>
    <mergeCell ref="K71:P71"/>
    <mergeCell ref="D70:E70"/>
    <mergeCell ref="F70:G70"/>
    <mergeCell ref="I70:J70"/>
    <mergeCell ref="K70:P70"/>
    <mergeCell ref="D69:E69"/>
    <mergeCell ref="F69:G69"/>
    <mergeCell ref="I69:J69"/>
    <mergeCell ref="K69:P69"/>
    <mergeCell ref="K67:P67"/>
    <mergeCell ref="D68:E68"/>
    <mergeCell ref="F68:G68"/>
    <mergeCell ref="I68:J68"/>
    <mergeCell ref="K68:P68"/>
    <mergeCell ref="F80:G80"/>
    <mergeCell ref="F81:G81"/>
    <mergeCell ref="F82:G82"/>
    <mergeCell ref="F83:G83"/>
    <mergeCell ref="F75:G75"/>
    <mergeCell ref="F76:G76"/>
    <mergeCell ref="F77:G77"/>
    <mergeCell ref="F78:G78"/>
    <mergeCell ref="F63:G63"/>
    <mergeCell ref="F64:G64"/>
    <mergeCell ref="F65:G65"/>
    <mergeCell ref="F66:G66"/>
    <mergeCell ref="F59:G59"/>
    <mergeCell ref="F60:G60"/>
    <mergeCell ref="F61:G61"/>
    <mergeCell ref="F62:G62"/>
    <mergeCell ref="I84:J84"/>
    <mergeCell ref="I85:J85"/>
    <mergeCell ref="D84:E84"/>
    <mergeCell ref="D85:E85"/>
    <mergeCell ref="F84:G84"/>
    <mergeCell ref="F85:G85"/>
    <mergeCell ref="K84:P84"/>
    <mergeCell ref="K85:P85"/>
    <mergeCell ref="D60:E60"/>
    <mergeCell ref="D76:E76"/>
    <mergeCell ref="D77:E77"/>
    <mergeCell ref="D78:E78"/>
    <mergeCell ref="D79:E79"/>
    <mergeCell ref="D80:E80"/>
    <mergeCell ref="D81:E81"/>
    <mergeCell ref="D82:E82"/>
    <mergeCell ref="K76:P76"/>
    <mergeCell ref="K81:P81"/>
    <mergeCell ref="K82:P82"/>
    <mergeCell ref="K83:P83"/>
    <mergeCell ref="K77:P77"/>
    <mergeCell ref="K78:P78"/>
    <mergeCell ref="K79:P79"/>
    <mergeCell ref="K80:P80"/>
    <mergeCell ref="D83:E83"/>
    <mergeCell ref="I79:J79"/>
    <mergeCell ref="I80:J80"/>
    <mergeCell ref="I76:J76"/>
    <mergeCell ref="I77:J77"/>
    <mergeCell ref="I78:J78"/>
    <mergeCell ref="I81:J81"/>
    <mergeCell ref="I82:J82"/>
    <mergeCell ref="I83:J83"/>
    <mergeCell ref="F79:G79"/>
    <mergeCell ref="I4:P4"/>
    <mergeCell ref="I60:J60"/>
    <mergeCell ref="I58:J58"/>
    <mergeCell ref="K58:P58"/>
    <mergeCell ref="K60:P60"/>
    <mergeCell ref="I59:J59"/>
    <mergeCell ref="K59:P59"/>
    <mergeCell ref="D63:E63"/>
    <mergeCell ref="I63:J63"/>
    <mergeCell ref="K63:P63"/>
    <mergeCell ref="K5:P5"/>
    <mergeCell ref="D59:E59"/>
    <mergeCell ref="D61:E61"/>
    <mergeCell ref="I61:J61"/>
    <mergeCell ref="K61:P61"/>
    <mergeCell ref="D62:E62"/>
    <mergeCell ref="I62:J62"/>
    <mergeCell ref="K62:P62"/>
    <mergeCell ref="D75:E75"/>
    <mergeCell ref="I75:J75"/>
    <mergeCell ref="K75:P75"/>
    <mergeCell ref="D65:E65"/>
    <mergeCell ref="I65:J65"/>
    <mergeCell ref="K65:P65"/>
    <mergeCell ref="D66:E66"/>
    <mergeCell ref="I66:J66"/>
    <mergeCell ref="K66:P66"/>
    <mergeCell ref="D74:E74"/>
    <mergeCell ref="I74:J74"/>
    <mergeCell ref="K74:P74"/>
    <mergeCell ref="D64:E64"/>
    <mergeCell ref="I64:J64"/>
    <mergeCell ref="K64:P64"/>
    <mergeCell ref="F74:G74"/>
    <mergeCell ref="D67:E67"/>
    <mergeCell ref="F67:G67"/>
    <mergeCell ref="I67:J67"/>
  </mergeCells>
  <conditionalFormatting sqref="A146:A181 A59:A94">
    <cfRule type="cellIs" priority="1" dxfId="3" operator="equal" stopIfTrue="1">
      <formula>0</formula>
    </cfRule>
  </conditionalFormatting>
  <conditionalFormatting sqref="R49:R50 B8:P42 B102:P136">
    <cfRule type="expression" priority="2" dxfId="0" stopIfTrue="1">
      <formula>$I$2=TRUE</formula>
    </cfRule>
  </conditionalFormatting>
  <printOptions/>
  <pageMargins left="0.3937007874015748" right="0.3937007874015748" top="0.3937007874015748" bottom="0.3937007874015748" header="0.6299212598425197" footer="0.11811023622047245"/>
  <pageSetup horizontalDpi="300" verticalDpi="300" orientation="landscape" paperSize="9" scale="77" r:id="rId2"/>
  <headerFooter alignWithMargins="0">
    <oddHeader xml:space="preserve">&amp;R&amp;9 </oddHeader>
  </headerFooter>
  <rowBreaks count="3" manualBreakCount="3">
    <brk id="53" max="255" man="1"/>
    <brk id="95" max="255" man="1"/>
    <brk id="140" max="255" man="1"/>
  </rowBreaks>
  <colBreaks count="1" manualBreakCount="1">
    <brk id="20" max="65535" man="1"/>
  </colBreaks>
  <ignoredErrors>
    <ignoredError sqref="R8:R9 T8:T36 T37:T42 T102:T136" unlockedFormula="1"/>
  </ignoredErrors>
  <drawing r:id="rId1"/>
</worksheet>
</file>

<file path=xl/worksheets/sheet21.xml><?xml version="1.0" encoding="utf-8"?>
<worksheet xmlns="http://schemas.openxmlformats.org/spreadsheetml/2006/main" xmlns:r="http://schemas.openxmlformats.org/officeDocument/2006/relationships">
  <sheetPr codeName="Blad20">
    <pageSetUpPr fitToPage="1"/>
  </sheetPr>
  <dimension ref="A1:Q43"/>
  <sheetViews>
    <sheetView showGridLines="0" showRowColHeaders="0" showZeros="0" showOutlineSymbols="0" view="pageBreakPreview" zoomScale="75" zoomScaleNormal="75" zoomScaleSheetLayoutView="75" workbookViewId="0" topLeftCell="A1">
      <selection activeCell="C7" sqref="C7"/>
    </sheetView>
  </sheetViews>
  <sheetFormatPr defaultColWidth="9.140625" defaultRowHeight="12.75"/>
  <cols>
    <col min="1" max="1" width="7.57421875" style="1386" customWidth="1"/>
    <col min="2" max="2" width="82.57421875" style="439" customWidth="1"/>
    <col min="3" max="4" width="17.7109375" style="435" customWidth="1"/>
    <col min="5" max="5" width="17.7109375" style="439" customWidth="1"/>
    <col min="6" max="6" width="9.140625" style="439" customWidth="1"/>
    <col min="7" max="7" width="10.7109375" style="440" customWidth="1"/>
    <col min="8" max="8" width="10.7109375" style="441" customWidth="1"/>
    <col min="9" max="13" width="10.7109375" style="440" customWidth="1"/>
    <col min="14" max="21" width="9.140625" style="439" customWidth="1"/>
    <col min="22" max="22" width="1.7109375" style="439" customWidth="1"/>
    <col min="23" max="16384" width="9.140625" style="439" customWidth="1"/>
  </cols>
  <sheetData>
    <row r="1" spans="1:5" ht="15.75" customHeight="1">
      <c r="A1" s="1380"/>
      <c r="B1" s="630"/>
      <c r="C1" s="2"/>
      <c r="D1" s="2"/>
      <c r="E1" s="630"/>
    </row>
    <row r="2" spans="1:13" s="447" customFormat="1" ht="15.75" customHeight="1">
      <c r="A2" s="1387" t="str">
        <f>CONCATENATE("Nacalculatieformulier ",Voorblad!D3," ")</f>
        <v>Nacalculatieformulier 2005 </v>
      </c>
      <c r="B2" s="7"/>
      <c r="C2" s="8" t="b">
        <f>Voorblad!D30</f>
        <v>1</v>
      </c>
      <c r="D2" s="8"/>
      <c r="E2" s="10">
        <f>H!S141+1</f>
        <v>32</v>
      </c>
      <c r="G2" s="448"/>
      <c r="H2" s="449"/>
      <c r="I2" s="448"/>
      <c r="J2" s="448"/>
      <c r="K2" s="448"/>
      <c r="L2" s="448"/>
      <c r="M2" s="448"/>
    </row>
    <row r="3" spans="1:8" s="456" customFormat="1" ht="12.75" customHeight="1">
      <c r="A3" s="1366"/>
      <c r="B3" s="567"/>
      <c r="C3" s="42"/>
      <c r="D3" s="42"/>
      <c r="E3" s="567"/>
      <c r="H3" s="454"/>
    </row>
    <row r="4" spans="1:5" s="447" customFormat="1" ht="12.75" customHeight="1">
      <c r="A4" s="201"/>
      <c r="B4" s="222"/>
      <c r="C4" s="223" t="str">
        <f>CONCATENATE("31-12-",Voorblad!D3-1," ")</f>
        <v>31-12-2004 </v>
      </c>
      <c r="D4" s="223" t="str">
        <f>CONCATENATE("31-12-",Voorblad!D3," ")</f>
        <v>31-12-2005 </v>
      </c>
      <c r="E4" s="223" t="str">
        <f>CONCATENATE("Gemiddeld ",Voorblad!D3," ")</f>
        <v>Gemiddeld 2005 </v>
      </c>
    </row>
    <row r="5" spans="1:5" s="456" customFormat="1" ht="12.75" customHeight="1">
      <c r="A5" s="1367"/>
      <c r="B5" s="567"/>
      <c r="C5" s="175"/>
      <c r="D5" s="42"/>
      <c r="E5" s="567"/>
    </row>
    <row r="6" spans="1:8" s="456" customFormat="1" ht="12.75" customHeight="1">
      <c r="A6" s="1366" t="s">
        <v>464</v>
      </c>
      <c r="B6" s="651" t="s">
        <v>626</v>
      </c>
      <c r="C6" s="168"/>
      <c r="D6" s="168"/>
      <c r="E6" s="567"/>
      <c r="H6" s="454"/>
    </row>
    <row r="7" spans="1:5" s="456" customFormat="1" ht="12.75" customHeight="1">
      <c r="A7" s="1369">
        <f>(100*E2)+1</f>
        <v>3201</v>
      </c>
      <c r="B7" s="759" t="s">
        <v>349</v>
      </c>
      <c r="C7" s="433"/>
      <c r="D7" s="433"/>
      <c r="E7" s="479">
        <f>(C7+D7)/2</f>
        <v>0</v>
      </c>
    </row>
    <row r="8" spans="1:5" s="456" customFormat="1" ht="12.75" customHeight="1">
      <c r="A8" s="1369">
        <f>A7+1</f>
        <v>3202</v>
      </c>
      <c r="B8" s="759" t="s">
        <v>351</v>
      </c>
      <c r="C8" s="433"/>
      <c r="D8" s="433"/>
      <c r="E8" s="479">
        <f aca="true" t="shared" si="0" ref="E8:E16">(C8+D8)/2</f>
        <v>0</v>
      </c>
    </row>
    <row r="9" spans="1:5" s="456" customFormat="1" ht="12.75" customHeight="1">
      <c r="A9" s="1369">
        <f aca="true" t="shared" si="1" ref="A9:A17">A8+1</f>
        <v>3203</v>
      </c>
      <c r="B9" s="456" t="s">
        <v>350</v>
      </c>
      <c r="C9" s="433"/>
      <c r="D9" s="433"/>
      <c r="E9" s="479">
        <f t="shared" si="0"/>
        <v>0</v>
      </c>
    </row>
    <row r="10" spans="1:17" s="456" customFormat="1" ht="12.75" customHeight="1">
      <c r="A10" s="1369">
        <f t="shared" si="1"/>
        <v>3204</v>
      </c>
      <c r="B10" s="759" t="s">
        <v>31</v>
      </c>
      <c r="C10" s="433"/>
      <c r="D10" s="433"/>
      <c r="E10" s="479">
        <f t="shared" si="0"/>
        <v>0</v>
      </c>
      <c r="Q10" s="467"/>
    </row>
    <row r="11" spans="1:5" s="456" customFormat="1" ht="12.75" customHeight="1">
      <c r="A11" s="1369">
        <f t="shared" si="1"/>
        <v>3205</v>
      </c>
      <c r="B11" s="759" t="s">
        <v>32</v>
      </c>
      <c r="C11" s="433"/>
      <c r="D11" s="433"/>
      <c r="E11" s="479">
        <f t="shared" si="0"/>
        <v>0</v>
      </c>
    </row>
    <row r="12" spans="1:5" s="456" customFormat="1" ht="12.75" customHeight="1">
      <c r="A12" s="1369">
        <f t="shared" si="1"/>
        <v>3206</v>
      </c>
      <c r="B12" s="759" t="s">
        <v>33</v>
      </c>
      <c r="C12" s="433"/>
      <c r="D12" s="433"/>
      <c r="E12" s="479">
        <f t="shared" si="0"/>
        <v>0</v>
      </c>
    </row>
    <row r="13" spans="1:5" s="456" customFormat="1" ht="12.75" customHeight="1">
      <c r="A13" s="1369">
        <f t="shared" si="1"/>
        <v>3207</v>
      </c>
      <c r="B13" s="759" t="s">
        <v>34</v>
      </c>
      <c r="C13" s="433"/>
      <c r="D13" s="433"/>
      <c r="E13" s="479">
        <f t="shared" si="0"/>
        <v>0</v>
      </c>
    </row>
    <row r="14" spans="1:5" s="456" customFormat="1" ht="12.75" customHeight="1">
      <c r="A14" s="1369">
        <f t="shared" si="1"/>
        <v>3208</v>
      </c>
      <c r="B14" s="759" t="s">
        <v>35</v>
      </c>
      <c r="C14" s="433"/>
      <c r="D14" s="433"/>
      <c r="E14" s="479">
        <f t="shared" si="0"/>
        <v>0</v>
      </c>
    </row>
    <row r="15" spans="1:5" s="456" customFormat="1" ht="12.75" customHeight="1">
      <c r="A15" s="1369">
        <f t="shared" si="1"/>
        <v>3209</v>
      </c>
      <c r="B15" s="759" t="s">
        <v>36</v>
      </c>
      <c r="C15" s="433"/>
      <c r="D15" s="433"/>
      <c r="E15" s="479">
        <f t="shared" si="0"/>
        <v>0</v>
      </c>
    </row>
    <row r="16" spans="1:5" s="456" customFormat="1" ht="12.75" customHeight="1">
      <c r="A16" s="1369">
        <f t="shared" si="1"/>
        <v>3210</v>
      </c>
      <c r="B16" s="759" t="s">
        <v>37</v>
      </c>
      <c r="C16" s="433"/>
      <c r="D16" s="433"/>
      <c r="E16" s="479">
        <f t="shared" si="0"/>
        <v>0</v>
      </c>
    </row>
    <row r="17" spans="1:5" s="456" customFormat="1" ht="12.75" customHeight="1">
      <c r="A17" s="1369">
        <f t="shared" si="1"/>
        <v>3211</v>
      </c>
      <c r="B17" s="759" t="s">
        <v>352</v>
      </c>
      <c r="C17" s="433"/>
      <c r="D17" s="433"/>
      <c r="E17" s="479">
        <f>(C17+D17)/2</f>
        <v>0</v>
      </c>
    </row>
    <row r="18" spans="1:5" s="456" customFormat="1" ht="12.75" customHeight="1">
      <c r="A18" s="1369">
        <f>A17+1</f>
        <v>3212</v>
      </c>
      <c r="B18" s="744" t="str">
        <f>CONCATENATE("Totaal eigen vermogen conform jaarrekening (regel ",A7," t/m ",A17,")")</f>
        <v>Totaal eigen vermogen conform jaarrekening (regel 3201 t/m 3211)</v>
      </c>
      <c r="C18" s="735">
        <f>SUM(C7:C17)</f>
        <v>0</v>
      </c>
      <c r="D18" s="735">
        <f>SUM(D7:D17)</f>
        <v>0</v>
      </c>
      <c r="E18" s="735">
        <f>SUM(E7:E17)</f>
        <v>0</v>
      </c>
    </row>
    <row r="19" spans="1:5" s="456" customFormat="1" ht="12.75" customHeight="1">
      <c r="A19" s="1369">
        <f>A18+1</f>
        <v>3213</v>
      </c>
      <c r="B19" s="763" t="s">
        <v>438</v>
      </c>
      <c r="C19" s="806"/>
      <c r="D19" s="720">
        <v>0</v>
      </c>
      <c r="E19" s="761">
        <f>(C19+D19)/2</f>
        <v>0</v>
      </c>
    </row>
    <row r="20" spans="1:5" s="456" customFormat="1" ht="12.75" customHeight="1">
      <c r="A20" s="1369">
        <f>A19+1</f>
        <v>3214</v>
      </c>
      <c r="B20" s="255" t="s">
        <v>659</v>
      </c>
      <c r="C20" s="760">
        <v>0</v>
      </c>
      <c r="D20" s="720">
        <v>0</v>
      </c>
      <c r="E20" s="761">
        <f>(C20+D20)/2</f>
        <v>0</v>
      </c>
    </row>
    <row r="21" spans="1:5" s="456" customFormat="1" ht="12.75" customHeight="1">
      <c r="A21" s="1369">
        <f>A20+1</f>
        <v>3215</v>
      </c>
      <c r="B21" s="255"/>
      <c r="C21" s="1106"/>
      <c r="D21" s="1106"/>
      <c r="E21" s="479">
        <f>(C21+D21)/2</f>
        <v>0</v>
      </c>
    </row>
    <row r="22" spans="1:5" s="456" customFormat="1" ht="12.75" customHeight="1">
      <c r="A22" s="1369">
        <f>A21+1</f>
        <v>3216</v>
      </c>
      <c r="B22" s="744" t="str">
        <f>CONCATENATE("In aanmerking te nemen eigen vermogen (regel ",A18," -/- ",A19," t/m ",A21,")")</f>
        <v>In aanmerking te nemen eigen vermogen (regel 3212 -/- 3213 t/m 3215)</v>
      </c>
      <c r="C22" s="735">
        <f>SUM(C7:C17)-C19-C20+C21</f>
        <v>0</v>
      </c>
      <c r="D22" s="735">
        <f>SUM(D7:D17)-D19-D20+D21</f>
        <v>0</v>
      </c>
      <c r="E22" s="735">
        <f>SUM(E7:E17)-E19-E20+E21</f>
        <v>0</v>
      </c>
    </row>
    <row r="23" spans="1:4" s="456" customFormat="1" ht="12.75" customHeight="1">
      <c r="A23" s="1366"/>
      <c r="B23" s="567" t="s">
        <v>300</v>
      </c>
      <c r="C23" s="458"/>
      <c r="D23" s="458"/>
    </row>
    <row r="24" spans="1:3" s="456" customFormat="1" ht="12.75" customHeight="1">
      <c r="A24" s="185"/>
      <c r="B24" s="627"/>
      <c r="C24" s="473"/>
    </row>
    <row r="25" spans="1:8" s="456" customFormat="1" ht="12.75" customHeight="1">
      <c r="A25" s="962"/>
      <c r="B25" s="179"/>
      <c r="C25" s="507"/>
      <c r="D25" s="470"/>
      <c r="E25" s="221" t="s">
        <v>393</v>
      </c>
      <c r="H25" s="454"/>
    </row>
    <row r="26" spans="1:9" s="456" customFormat="1" ht="12.75" customHeight="1">
      <c r="A26" s="1366" t="s">
        <v>63</v>
      </c>
      <c r="B26" s="618" t="s">
        <v>605</v>
      </c>
      <c r="C26" s="473"/>
      <c r="E26" s="458"/>
      <c r="I26" s="458"/>
    </row>
    <row r="27" spans="1:9" s="456" customFormat="1" ht="12.75" customHeight="1">
      <c r="A27" s="1369">
        <f>A22+1</f>
        <v>3217</v>
      </c>
      <c r="B27" s="807" t="str">
        <f>CONCATENATE("Rente lange leningen bijlage ",LEFT(H!A7)," (exclusief eventuele boeterente van conversies)")</f>
        <v>Rente lange leningen bijlage H (exclusief eventuele boeterente van conversies)</v>
      </c>
      <c r="C27" s="497"/>
      <c r="D27" s="469"/>
      <c r="E27" s="479">
        <f>H!T43+H!T137</f>
        <v>0</v>
      </c>
      <c r="F27" s="470"/>
      <c r="G27" s="470"/>
      <c r="H27" s="470"/>
      <c r="I27" s="470"/>
    </row>
    <row r="28" spans="1:11" s="456" customFormat="1" ht="12.75" customHeight="1">
      <c r="A28" s="1369">
        <f>A27+1</f>
        <v>3218</v>
      </c>
      <c r="B28" s="763" t="s">
        <v>365</v>
      </c>
      <c r="C28" s="497"/>
      <c r="D28" s="469"/>
      <c r="E28" s="433"/>
      <c r="I28" s="458"/>
      <c r="J28" s="470"/>
      <c r="K28" s="470"/>
    </row>
    <row r="29" spans="1:11" s="470" customFormat="1" ht="12.75" customHeight="1">
      <c r="A29" s="1369">
        <f>A28+1</f>
        <v>3219</v>
      </c>
      <c r="B29" s="762" t="s">
        <v>606</v>
      </c>
      <c r="C29" s="497"/>
      <c r="D29" s="469"/>
      <c r="E29" s="433"/>
      <c r="F29" s="458"/>
      <c r="G29" s="458"/>
      <c r="H29" s="458"/>
      <c r="I29" s="458"/>
      <c r="J29" s="456"/>
      <c r="K29" s="456"/>
    </row>
    <row r="30" spans="1:11" s="456" customFormat="1" ht="12.75" customHeight="1">
      <c r="A30" s="1369">
        <f>A29+1</f>
        <v>3220</v>
      </c>
      <c r="B30" s="764" t="s">
        <v>434</v>
      </c>
      <c r="C30" s="765"/>
      <c r="D30" s="766"/>
      <c r="E30" s="709"/>
      <c r="F30" s="458"/>
      <c r="G30" s="458"/>
      <c r="H30" s="458"/>
      <c r="I30" s="458"/>
      <c r="J30" s="458"/>
      <c r="K30" s="458"/>
    </row>
    <row r="31" spans="1:5" s="458" customFormat="1" ht="12.75" customHeight="1">
      <c r="A31" s="1369">
        <f>A30+1</f>
        <v>3221</v>
      </c>
      <c r="B31" s="764" t="s">
        <v>353</v>
      </c>
      <c r="C31" s="765"/>
      <c r="D31" s="766"/>
      <c r="E31" s="709"/>
    </row>
    <row r="32" spans="1:5" s="458" customFormat="1" ht="12.75" customHeight="1">
      <c r="A32" s="1369">
        <f>A31+1</f>
        <v>3222</v>
      </c>
      <c r="B32" s="744" t="str">
        <f>CONCATENATE("Totaal regels ",A27," t/m ",A31)</f>
        <v>Totaal regels 3217 t/m 3221</v>
      </c>
      <c r="C32" s="767"/>
      <c r="D32" s="768"/>
      <c r="E32" s="742">
        <f>SUM(E27:E31)</f>
        <v>0</v>
      </c>
    </row>
    <row r="33" spans="1:5" s="458" customFormat="1" ht="12.75" customHeight="1">
      <c r="A33" s="1389"/>
      <c r="B33" s="439"/>
      <c r="C33" s="439"/>
      <c r="D33" s="439"/>
      <c r="E33" s="439"/>
    </row>
    <row r="34" spans="1:5" s="458" customFormat="1" ht="12.75" customHeight="1">
      <c r="A34" s="1390"/>
      <c r="B34" s="464"/>
      <c r="C34" s="464"/>
      <c r="D34" s="464"/>
      <c r="E34" s="464"/>
    </row>
    <row r="35" spans="1:11" s="458" customFormat="1" ht="12.75">
      <c r="A35" s="1390"/>
      <c r="B35" s="464"/>
      <c r="C35" s="464"/>
      <c r="D35" s="464"/>
      <c r="E35" s="464"/>
      <c r="F35" s="439"/>
      <c r="G35" s="439"/>
      <c r="H35" s="439"/>
      <c r="I35" s="439"/>
      <c r="J35" s="439"/>
      <c r="K35" s="439"/>
    </row>
    <row r="36" spans="1:13" ht="12.75" customHeight="1">
      <c r="A36" s="1390"/>
      <c r="B36" s="464"/>
      <c r="C36" s="464"/>
      <c r="D36" s="464"/>
      <c r="E36" s="464"/>
      <c r="G36" s="439"/>
      <c r="H36" s="439"/>
      <c r="I36" s="439"/>
      <c r="J36" s="439"/>
      <c r="K36" s="439"/>
      <c r="L36" s="439"/>
      <c r="M36" s="439"/>
    </row>
    <row r="37" spans="1:13" ht="12.75" customHeight="1">
      <c r="A37" s="1390"/>
      <c r="B37" s="464"/>
      <c r="C37" s="464"/>
      <c r="D37" s="464"/>
      <c r="E37" s="464"/>
      <c r="G37" s="439"/>
      <c r="H37" s="439"/>
      <c r="I37" s="439"/>
      <c r="J37" s="439"/>
      <c r="K37" s="439"/>
      <c r="L37" s="439"/>
      <c r="M37" s="439"/>
    </row>
    <row r="38" spans="1:13" ht="12.75" customHeight="1">
      <c r="A38" s="1390"/>
      <c r="B38" s="464"/>
      <c r="C38" s="464"/>
      <c r="D38" s="464"/>
      <c r="E38" s="464"/>
      <c r="G38" s="439"/>
      <c r="H38" s="439"/>
      <c r="I38" s="439"/>
      <c r="J38" s="439"/>
      <c r="K38" s="439"/>
      <c r="L38" s="439"/>
      <c r="M38" s="439"/>
    </row>
    <row r="39" spans="1:13" ht="12.75" customHeight="1">
      <c r="A39" s="1390"/>
      <c r="B39" s="464"/>
      <c r="C39" s="464"/>
      <c r="D39" s="464"/>
      <c r="E39" s="464"/>
      <c r="G39" s="439"/>
      <c r="H39" s="439"/>
      <c r="I39" s="439"/>
      <c r="J39" s="439"/>
      <c r="K39" s="439"/>
      <c r="L39" s="439"/>
      <c r="M39" s="439"/>
    </row>
    <row r="40" spans="1:13" ht="12.75" customHeight="1">
      <c r="A40" s="1390"/>
      <c r="B40" s="464"/>
      <c r="C40" s="464"/>
      <c r="D40" s="464"/>
      <c r="E40" s="464"/>
      <c r="G40" s="439"/>
      <c r="H40" s="439"/>
      <c r="I40" s="439"/>
      <c r="J40" s="439"/>
      <c r="K40" s="439"/>
      <c r="L40" s="439"/>
      <c r="M40" s="439"/>
    </row>
    <row r="41" spans="1:13" ht="12.75" customHeight="1">
      <c r="A41" s="1391"/>
      <c r="B41" s="464"/>
      <c r="C41" s="438"/>
      <c r="D41" s="438"/>
      <c r="E41" s="464"/>
      <c r="G41" s="439"/>
      <c r="H41" s="439"/>
      <c r="I41" s="439"/>
      <c r="J41" s="439"/>
      <c r="K41" s="439"/>
      <c r="L41" s="439"/>
      <c r="M41" s="439"/>
    </row>
    <row r="42" spans="7:13" ht="12.75">
      <c r="G42" s="439"/>
      <c r="H42" s="439"/>
      <c r="I42" s="439"/>
      <c r="J42" s="439"/>
      <c r="K42" s="439"/>
      <c r="L42" s="439"/>
      <c r="M42" s="439"/>
    </row>
    <row r="43" spans="12:13" ht="12.75">
      <c r="L43" s="439"/>
      <c r="M43" s="439"/>
    </row>
  </sheetData>
  <sheetProtection password="CCBC" sheet="1" objects="1" scenarios="1"/>
  <conditionalFormatting sqref="E28:E31 D19 C20:D21 C7:D17">
    <cfRule type="expression" priority="1" dxfId="0" stopIfTrue="1">
      <formula>$C$2=TRUE</formula>
    </cfRule>
  </conditionalFormatting>
  <printOptions/>
  <pageMargins left="0.3937007874015748" right="0.3937007874015748" top="0.3937007874015748" bottom="0.3937007874015748" header="0.6299212598425197" footer="0.11811023622047245"/>
  <pageSetup fitToHeight="1" fitToWidth="1" horizontalDpi="300" verticalDpi="300" orientation="landscape" paperSize="9" scale="97" r:id="rId2"/>
  <headerFooter alignWithMargins="0">
    <oddHeader xml:space="preserve">&amp;R&amp;9 </oddHeader>
  </headerFooter>
  <ignoredErrors>
    <ignoredError sqref="E18" formula="1"/>
  </ignoredErrors>
  <drawing r:id="rId1"/>
</worksheet>
</file>

<file path=xl/worksheets/sheet22.xml><?xml version="1.0" encoding="utf-8"?>
<worksheet xmlns="http://schemas.openxmlformats.org/spreadsheetml/2006/main" xmlns:r="http://schemas.openxmlformats.org/officeDocument/2006/relationships">
  <sheetPr codeName="Blad21"/>
  <dimension ref="A1:F130"/>
  <sheetViews>
    <sheetView showGridLines="0" showRowColHeaders="0" showZeros="0" showOutlineSymbols="0" view="pageBreakPreview" zoomScale="75" zoomScaleNormal="75" zoomScaleSheetLayoutView="75" workbookViewId="0" topLeftCell="A1">
      <selection activeCell="D67" sqref="D67:D69"/>
    </sheetView>
  </sheetViews>
  <sheetFormatPr defaultColWidth="9.140625" defaultRowHeight="12.75"/>
  <cols>
    <col min="1" max="1" width="5.7109375" style="0" customWidth="1"/>
    <col min="2" max="2" width="109.57421875" style="0" customWidth="1"/>
    <col min="3" max="3" width="4.28125" style="0" customWidth="1"/>
    <col min="4" max="6" width="8.28125" style="0" customWidth="1"/>
    <col min="7" max="7" width="0.85546875" style="0" customWidth="1"/>
  </cols>
  <sheetData>
    <row r="1" spans="1:6" ht="15" customHeight="1">
      <c r="A1" s="808"/>
      <c r="B1" s="809"/>
      <c r="C1" s="809"/>
      <c r="D1" s="810"/>
      <c r="E1" s="810"/>
      <c r="F1" s="811"/>
    </row>
    <row r="2" spans="1:6" ht="12.75">
      <c r="A2" s="812" t="str">
        <f>Inhoud!A2</f>
        <v>Nacalculatieformulier 2005</v>
      </c>
      <c r="B2" s="813"/>
      <c r="C2" s="828" t="b">
        <f>Voorblad!D30</f>
        <v>1</v>
      </c>
      <c r="D2" s="815"/>
      <c r="E2" s="816"/>
      <c r="F2" s="817">
        <f>'I-J'!E2+1</f>
        <v>33</v>
      </c>
    </row>
    <row r="3" spans="1:6" ht="12.75">
      <c r="A3" s="808"/>
      <c r="B3" s="809"/>
      <c r="C3" s="809"/>
      <c r="D3" s="810"/>
      <c r="E3" s="810"/>
      <c r="F3" s="811"/>
    </row>
    <row r="4" spans="1:6" ht="12.75">
      <c r="A4" s="818" t="s">
        <v>81</v>
      </c>
      <c r="B4" s="819"/>
      <c r="C4" s="820"/>
      <c r="D4" s="820"/>
      <c r="E4" s="820"/>
      <c r="F4" s="820"/>
    </row>
    <row r="5" spans="1:6" ht="12.75">
      <c r="A5" t="s">
        <v>78</v>
      </c>
      <c r="B5" s="822"/>
      <c r="C5" s="820"/>
      <c r="D5" s="820"/>
      <c r="E5" s="820"/>
      <c r="F5" s="820"/>
    </row>
    <row r="6" spans="1:6" ht="12.75">
      <c r="A6" s="821" t="s">
        <v>79</v>
      </c>
      <c r="B6" s="822"/>
      <c r="C6" s="820"/>
      <c r="D6" s="820"/>
      <c r="E6" s="820"/>
      <c r="F6" s="1125"/>
    </row>
    <row r="7" spans="1:6" ht="12.75">
      <c r="A7" s="821" t="s">
        <v>80</v>
      </c>
      <c r="B7" s="822"/>
      <c r="C7" s="820"/>
      <c r="D7" s="820"/>
      <c r="E7" s="820"/>
      <c r="F7" s="820"/>
    </row>
    <row r="8" spans="1:6" ht="12" customHeight="1">
      <c r="A8" s="820"/>
      <c r="B8" s="820"/>
      <c r="C8" s="820"/>
      <c r="D8" s="820"/>
      <c r="E8" s="820"/>
      <c r="F8" s="820"/>
    </row>
    <row r="9" spans="1:6" ht="12" customHeight="1">
      <c r="A9" s="823"/>
      <c r="B9" s="823"/>
      <c r="C9" s="820"/>
      <c r="D9" s="820"/>
      <c r="E9" s="820"/>
      <c r="F9" s="820"/>
    </row>
    <row r="10" spans="1:6" ht="12" customHeight="1">
      <c r="A10" s="820"/>
      <c r="B10" s="820"/>
      <c r="C10" s="820"/>
      <c r="D10" s="1623" t="s">
        <v>76</v>
      </c>
      <c r="E10" s="1624"/>
      <c r="F10" s="1625"/>
    </row>
    <row r="11" spans="1:6" ht="12" customHeight="1">
      <c r="A11" s="820"/>
      <c r="B11" s="820"/>
      <c r="C11" s="820"/>
      <c r="D11" s="824">
        <v>1</v>
      </c>
      <c r="E11" s="824">
        <v>2</v>
      </c>
      <c r="F11" s="824">
        <v>3</v>
      </c>
    </row>
    <row r="12" spans="1:6" ht="12" customHeight="1" thickBot="1">
      <c r="A12" s="818" t="s">
        <v>77</v>
      </c>
      <c r="B12" s="820"/>
      <c r="C12" s="820"/>
      <c r="D12" s="820"/>
      <c r="E12" s="820"/>
      <c r="F12" s="820"/>
    </row>
    <row r="13" spans="1:6" ht="12" customHeight="1">
      <c r="A13" s="1604">
        <v>1</v>
      </c>
      <c r="B13" s="1607" t="s">
        <v>571</v>
      </c>
      <c r="C13" s="1603"/>
      <c r="D13" s="1630"/>
      <c r="E13" s="1626"/>
      <c r="F13" s="1631"/>
    </row>
    <row r="14" spans="1:6" ht="12" customHeight="1">
      <c r="A14" s="1605"/>
      <c r="B14" s="1608"/>
      <c r="C14" s="1603"/>
      <c r="D14" s="1616"/>
      <c r="E14" s="1613"/>
      <c r="F14" s="1620"/>
    </row>
    <row r="15" spans="1:6" ht="12.75" customHeight="1">
      <c r="A15" s="1606"/>
      <c r="B15" s="1608"/>
      <c r="C15" s="1603"/>
      <c r="D15" s="1616"/>
      <c r="E15" s="1613"/>
      <c r="F15" s="1621"/>
    </row>
    <row r="16" spans="1:6" ht="12.75" customHeight="1">
      <c r="A16" s="1604">
        <f>A13+1</f>
        <v>2</v>
      </c>
      <c r="B16" s="1632" t="s">
        <v>118</v>
      </c>
      <c r="C16" s="1603"/>
      <c r="D16" s="1618"/>
      <c r="E16" s="1612"/>
      <c r="F16" s="1619"/>
    </row>
    <row r="17" spans="1:6" ht="12.75" customHeight="1">
      <c r="A17" s="1605"/>
      <c r="B17" s="1633"/>
      <c r="C17" s="1603"/>
      <c r="D17" s="1616"/>
      <c r="E17" s="1613"/>
      <c r="F17" s="1620"/>
    </row>
    <row r="18" spans="1:6" ht="12" customHeight="1">
      <c r="A18" s="1606"/>
      <c r="B18" s="1633"/>
      <c r="C18" s="1603"/>
      <c r="D18" s="1616"/>
      <c r="E18" s="1613"/>
      <c r="F18" s="1621"/>
    </row>
    <row r="19" spans="1:6" ht="12" customHeight="1">
      <c r="A19" s="1604">
        <f>A16+1</f>
        <v>3</v>
      </c>
      <c r="B19" s="1632" t="s">
        <v>748</v>
      </c>
      <c r="C19" s="1603"/>
      <c r="D19" s="1618"/>
      <c r="E19" s="1612"/>
      <c r="F19" s="1619"/>
    </row>
    <row r="20" spans="1:6" ht="12" customHeight="1">
      <c r="A20" s="1605"/>
      <c r="B20" s="1633"/>
      <c r="C20" s="1603"/>
      <c r="D20" s="1616"/>
      <c r="E20" s="1613"/>
      <c r="F20" s="1620"/>
    </row>
    <row r="21" spans="1:6" ht="12" customHeight="1">
      <c r="A21" s="1606"/>
      <c r="B21" s="1633"/>
      <c r="C21" s="1603"/>
      <c r="D21" s="1616"/>
      <c r="E21" s="1613"/>
      <c r="F21" s="1621"/>
    </row>
    <row r="22" spans="1:6" ht="12" customHeight="1">
      <c r="A22" s="1604">
        <f>A19+1</f>
        <v>4</v>
      </c>
      <c r="B22" s="1632" t="s">
        <v>749</v>
      </c>
      <c r="C22" s="1603"/>
      <c r="D22" s="1618"/>
      <c r="E22" s="1612"/>
      <c r="F22" s="1622"/>
    </row>
    <row r="23" spans="1:6" ht="12" customHeight="1">
      <c r="A23" s="1605"/>
      <c r="B23" s="1633"/>
      <c r="C23" s="1603"/>
      <c r="D23" s="1616"/>
      <c r="E23" s="1613"/>
      <c r="F23" s="1622"/>
    </row>
    <row r="24" spans="1:6" ht="12" customHeight="1" thickBot="1">
      <c r="A24" s="1606"/>
      <c r="B24" s="1633"/>
      <c r="C24" s="1603"/>
      <c r="D24" s="1628"/>
      <c r="E24" s="1615"/>
      <c r="F24" s="1644"/>
    </row>
    <row r="25" ht="12" customHeight="1"/>
    <row r="26" ht="12" customHeight="1" thickBot="1">
      <c r="A26" s="818" t="s">
        <v>318</v>
      </c>
    </row>
    <row r="27" spans="1:6" ht="12" customHeight="1">
      <c r="A27" s="1604">
        <f>A22+1</f>
        <v>5</v>
      </c>
      <c r="B27" s="1607" t="str">
        <f>CONCATENATE("Is er in de productieafspraak ",Voorblad!D3," een budgetaanpassing aangevraagd op basis van een wijziging in de capaciteit? Als er geen wijziging in de capaciteit heeft plaatsgevonden, kies dan 'nvt'")</f>
        <v>Is er in de productieafspraak 2005 een budgetaanpassing aangevraagd op basis van een wijziging in de capaciteit? Als er geen wijziging in de capaciteit heeft plaatsgevonden, kies dan 'nvt'</v>
      </c>
      <c r="C27" s="1603"/>
      <c r="D27" s="1630"/>
      <c r="E27" s="1626"/>
      <c r="F27" s="1629"/>
    </row>
    <row r="28" spans="1:6" ht="12" customHeight="1">
      <c r="A28" s="1605"/>
      <c r="B28" s="1608"/>
      <c r="C28" s="1603"/>
      <c r="D28" s="1616"/>
      <c r="E28" s="1613"/>
      <c r="F28" s="1622"/>
    </row>
    <row r="29" spans="1:6" ht="12" customHeight="1">
      <c r="A29" s="1606"/>
      <c r="B29" s="1608"/>
      <c r="C29" s="1603"/>
      <c r="D29" s="1617"/>
      <c r="E29" s="1614"/>
      <c r="F29" s="1622"/>
    </row>
    <row r="30" spans="1:6" ht="12" customHeight="1">
      <c r="A30" s="1604">
        <f>A27+1</f>
        <v>6</v>
      </c>
      <c r="B30" s="1607" t="s">
        <v>0</v>
      </c>
      <c r="C30" s="1603"/>
      <c r="D30" s="1618"/>
      <c r="E30" s="1612"/>
      <c r="F30" s="1622"/>
    </row>
    <row r="31" spans="1:6" ht="12" customHeight="1">
      <c r="A31" s="1605"/>
      <c r="B31" s="1608"/>
      <c r="C31" s="1603"/>
      <c r="D31" s="1616"/>
      <c r="E31" s="1613"/>
      <c r="F31" s="1622"/>
    </row>
    <row r="32" spans="1:6" ht="12" customHeight="1">
      <c r="A32" s="1606"/>
      <c r="B32" s="1608"/>
      <c r="C32" s="1603"/>
      <c r="D32" s="1617"/>
      <c r="E32" s="1614"/>
      <c r="F32" s="1622"/>
    </row>
    <row r="33" spans="1:6" ht="12" customHeight="1">
      <c r="A33" s="1604">
        <f>A30+1</f>
        <v>7</v>
      </c>
      <c r="B33" s="1607" t="s">
        <v>217</v>
      </c>
      <c r="C33" s="1067"/>
      <c r="D33" s="1618"/>
      <c r="E33" s="1612"/>
      <c r="F33" s="1622"/>
    </row>
    <row r="34" spans="1:6" ht="12" customHeight="1">
      <c r="A34" s="1605"/>
      <c r="B34" s="1608"/>
      <c r="C34" s="1067"/>
      <c r="D34" s="1616"/>
      <c r="E34" s="1613"/>
      <c r="F34" s="1622"/>
    </row>
    <row r="35" spans="1:6" ht="12" customHeight="1">
      <c r="A35" s="1606"/>
      <c r="B35" s="1608"/>
      <c r="C35" s="1067"/>
      <c r="D35" s="1617"/>
      <c r="E35" s="1614"/>
      <c r="F35" s="1622"/>
    </row>
    <row r="36" spans="1:6" ht="12" customHeight="1">
      <c r="A36" s="1604">
        <f>A33+1</f>
        <v>8</v>
      </c>
      <c r="B36" s="1607" t="str">
        <f>CONCATENATE("Wijkt de definitieve nacalculatie op de productie parameters meer dan 0,5% (zie regel ",'Prod.1.2'!A70,") af van de voorlopige nacalculatie, zoals die is opgegeven bij de productieafspraken ",Voorblad!D3+1,"?")</f>
        <v>Wijkt de definitieve nacalculatie op de productie parameters meer dan 0,5% (zie regel 1004) af van de voorlopige nacalculatie, zoals die is opgegeven bij de productieafspraken 2006?</v>
      </c>
      <c r="C36" s="1603"/>
      <c r="D36" s="1618"/>
      <c r="E36" s="1612"/>
      <c r="F36" s="1622"/>
    </row>
    <row r="37" spans="1:6" ht="12" customHeight="1">
      <c r="A37" s="1605"/>
      <c r="B37" s="1608"/>
      <c r="C37" s="1603"/>
      <c r="D37" s="1616"/>
      <c r="E37" s="1613"/>
      <c r="F37" s="1622"/>
    </row>
    <row r="38" spans="1:6" ht="12" customHeight="1">
      <c r="A38" s="1606"/>
      <c r="B38" s="1608"/>
      <c r="C38" s="1603"/>
      <c r="D38" s="1617"/>
      <c r="E38" s="1614"/>
      <c r="F38" s="1622"/>
    </row>
    <row r="39" spans="1:6" ht="12" customHeight="1">
      <c r="A39" s="1604">
        <f>A36+1</f>
        <v>9</v>
      </c>
      <c r="B39" s="1607" t="s">
        <v>660</v>
      </c>
      <c r="C39" s="1603"/>
      <c r="D39" s="1618"/>
      <c r="E39" s="1612"/>
      <c r="F39" s="1622"/>
    </row>
    <row r="40" spans="1:6" ht="12" customHeight="1">
      <c r="A40" s="1605"/>
      <c r="B40" s="1608"/>
      <c r="C40" s="1603"/>
      <c r="D40" s="1616"/>
      <c r="E40" s="1613"/>
      <c r="F40" s="1622"/>
    </row>
    <row r="41" spans="1:6" ht="12" customHeight="1">
      <c r="A41" s="1606"/>
      <c r="B41" s="1608"/>
      <c r="C41" s="1603"/>
      <c r="D41" s="1617"/>
      <c r="E41" s="1614"/>
      <c r="F41" s="1622"/>
    </row>
    <row r="42" spans="1:6" ht="12" customHeight="1">
      <c r="A42" s="1604">
        <f>A39+1</f>
        <v>10</v>
      </c>
      <c r="B42" s="1607" t="s">
        <v>452</v>
      </c>
      <c r="C42" s="1603"/>
      <c r="D42" s="1618"/>
      <c r="E42" s="1612"/>
      <c r="F42" s="1622"/>
    </row>
    <row r="43" spans="1:6" ht="12" customHeight="1">
      <c r="A43" s="1605"/>
      <c r="B43" s="1608"/>
      <c r="C43" s="1603"/>
      <c r="D43" s="1616"/>
      <c r="E43" s="1613"/>
      <c r="F43" s="1622"/>
    </row>
    <row r="44" spans="1:6" ht="12" customHeight="1">
      <c r="A44" s="1606"/>
      <c r="B44" s="1608"/>
      <c r="C44" s="1603"/>
      <c r="D44" s="1617"/>
      <c r="E44" s="1614"/>
      <c r="F44" s="1622"/>
    </row>
    <row r="45" spans="1:6" ht="12" customHeight="1">
      <c r="A45" s="1604">
        <f>A42+1</f>
        <v>11</v>
      </c>
      <c r="B45" s="1607" t="s">
        <v>396</v>
      </c>
      <c r="C45" s="1260"/>
      <c r="D45" s="1618"/>
      <c r="E45" s="1612"/>
      <c r="F45" s="1622"/>
    </row>
    <row r="46" spans="1:6" ht="12" customHeight="1">
      <c r="A46" s="1605"/>
      <c r="B46" s="1608"/>
      <c r="C46" s="1260"/>
      <c r="D46" s="1616"/>
      <c r="E46" s="1613"/>
      <c r="F46" s="1622"/>
    </row>
    <row r="47" spans="1:6" ht="12" customHeight="1">
      <c r="A47" s="1606"/>
      <c r="B47" s="1608"/>
      <c r="C47" s="1260"/>
      <c r="D47" s="1617"/>
      <c r="E47" s="1614"/>
      <c r="F47" s="1622"/>
    </row>
    <row r="48" spans="1:6" ht="12" customHeight="1">
      <c r="A48" s="1604">
        <f>A45+1</f>
        <v>12</v>
      </c>
      <c r="B48" s="1607" t="str">
        <f>CONCATENATE("Is bij het bepalen van het aantal extra opleidingsplaatsen artikel 2.4 van de beleidsregel Aanpassing aanvaardbare kosten ",Voorblad!D3," in acht genomen? Indien geen extra opleidingsplaatsen, kies dan ´nvt´.")</f>
        <v>Is bij het bepalen van het aantal extra opleidingsplaatsen artikel 2.4 van de beleidsregel Aanpassing aanvaardbare kosten 2005 in acht genomen? Indien geen extra opleidingsplaatsen, kies dan ´nvt´.</v>
      </c>
      <c r="C48" s="1603"/>
      <c r="D48" s="1618"/>
      <c r="E48" s="1612"/>
      <c r="F48" s="1622"/>
    </row>
    <row r="49" spans="1:6" ht="12" customHeight="1">
      <c r="A49" s="1605"/>
      <c r="B49" s="1608"/>
      <c r="C49" s="1603"/>
      <c r="D49" s="1616"/>
      <c r="E49" s="1613"/>
      <c r="F49" s="1622"/>
    </row>
    <row r="50" spans="1:6" ht="12" customHeight="1">
      <c r="A50" s="1606"/>
      <c r="B50" s="1608"/>
      <c r="C50" s="1603"/>
      <c r="D50" s="1617"/>
      <c r="E50" s="1614"/>
      <c r="F50" s="1622"/>
    </row>
    <row r="51" spans="1:6" ht="12" customHeight="1">
      <c r="A51" s="1604">
        <f>A48+1</f>
        <v>13</v>
      </c>
      <c r="B51" s="1607" t="s">
        <v>301</v>
      </c>
      <c r="C51" s="1209"/>
      <c r="D51" s="1618"/>
      <c r="E51" s="1612"/>
      <c r="F51" s="1619"/>
    </row>
    <row r="52" spans="1:6" ht="12" customHeight="1">
      <c r="A52" s="1605"/>
      <c r="B52" s="1608"/>
      <c r="C52" s="1209"/>
      <c r="D52" s="1616"/>
      <c r="E52" s="1613"/>
      <c r="F52" s="1620"/>
    </row>
    <row r="53" spans="1:6" ht="12" customHeight="1">
      <c r="A53" s="1606"/>
      <c r="B53" s="1608"/>
      <c r="C53" s="1209"/>
      <c r="D53" s="1616"/>
      <c r="E53" s="1613"/>
      <c r="F53" s="1621"/>
    </row>
    <row r="54" spans="1:6" ht="12" customHeight="1">
      <c r="A54" s="1604">
        <f>A51+1</f>
        <v>14</v>
      </c>
      <c r="B54" s="1607" t="s">
        <v>302</v>
      </c>
      <c r="C54" s="1209"/>
      <c r="D54" s="1618"/>
      <c r="E54" s="1612"/>
      <c r="F54" s="1619"/>
    </row>
    <row r="55" spans="1:6" ht="12" customHeight="1">
      <c r="A55" s="1605"/>
      <c r="B55" s="1608"/>
      <c r="C55" s="1209"/>
      <c r="D55" s="1616"/>
      <c r="E55" s="1613"/>
      <c r="F55" s="1620"/>
    </row>
    <row r="56" spans="1:6" ht="12" customHeight="1" thickBot="1">
      <c r="A56" s="1606"/>
      <c r="B56" s="1608"/>
      <c r="C56" s="1209"/>
      <c r="D56" s="1628"/>
      <c r="E56" s="1615"/>
      <c r="F56" s="1627"/>
    </row>
    <row r="57" spans="1:6" ht="12" customHeight="1">
      <c r="A57" s="1604">
        <f>A54+1</f>
        <v>15</v>
      </c>
      <c r="B57" s="1607" t="s">
        <v>314</v>
      </c>
      <c r="C57" s="1209"/>
      <c r="D57" s="1618"/>
      <c r="E57" s="1612"/>
      <c r="F57" s="1619"/>
    </row>
    <row r="58" spans="1:6" ht="12" customHeight="1">
      <c r="A58" s="1605"/>
      <c r="B58" s="1608"/>
      <c r="C58" s="1209"/>
      <c r="D58" s="1616"/>
      <c r="E58" s="1613"/>
      <c r="F58" s="1620"/>
    </row>
    <row r="59" spans="1:6" ht="12" customHeight="1" thickBot="1">
      <c r="A59" s="1606"/>
      <c r="B59" s="1608"/>
      <c r="C59" s="1209"/>
      <c r="D59" s="1628"/>
      <c r="E59" s="1615"/>
      <c r="F59" s="1627"/>
    </row>
    <row r="60" spans="1:6" ht="12" customHeight="1">
      <c r="A60" s="820"/>
      <c r="B60" s="820"/>
      <c r="C60" s="820"/>
      <c r="D60" s="820"/>
      <c r="E60" s="820"/>
      <c r="F60" s="820"/>
    </row>
    <row r="61" spans="1:6" ht="12" customHeight="1">
      <c r="A61" s="808"/>
      <c r="B61" s="809"/>
      <c r="C61" s="809"/>
      <c r="D61" s="810"/>
      <c r="E61" s="810"/>
      <c r="F61" s="811"/>
    </row>
    <row r="62" spans="1:6" ht="12" customHeight="1">
      <c r="A62" s="812" t="str">
        <f>Inhoud!A2</f>
        <v>Nacalculatieformulier 2005</v>
      </c>
      <c r="B62" s="813"/>
      <c r="C62" s="814"/>
      <c r="D62" s="815"/>
      <c r="E62" s="816"/>
      <c r="F62" s="817">
        <f>F2+1</f>
        <v>34</v>
      </c>
    </row>
    <row r="63" spans="1:6" ht="12" customHeight="1">
      <c r="A63" s="808"/>
      <c r="B63" s="809"/>
      <c r="C63" s="809"/>
      <c r="D63" s="810"/>
      <c r="E63" s="810"/>
      <c r="F63" s="811"/>
    </row>
    <row r="64" spans="1:6" ht="12" customHeight="1">
      <c r="A64" s="818" t="s">
        <v>82</v>
      </c>
      <c r="B64" s="819"/>
      <c r="C64" s="820"/>
      <c r="D64" s="1623" t="s">
        <v>76</v>
      </c>
      <c r="E64" s="1624"/>
      <c r="F64" s="1625"/>
    </row>
    <row r="65" spans="1:6" ht="12" customHeight="1">
      <c r="A65" s="820"/>
      <c r="B65" s="820"/>
      <c r="C65" s="820"/>
      <c r="D65" s="824">
        <v>1</v>
      </c>
      <c r="E65" s="824">
        <v>2</v>
      </c>
      <c r="F65" s="824">
        <v>3</v>
      </c>
    </row>
    <row r="66" ht="12" customHeight="1" thickBot="1">
      <c r="A66" s="818" t="s">
        <v>319</v>
      </c>
    </row>
    <row r="67" spans="1:6" ht="12" customHeight="1">
      <c r="A67" s="1604">
        <f>A57+1</f>
        <v>16</v>
      </c>
      <c r="B67" s="1607" t="s">
        <v>320</v>
      </c>
      <c r="C67" s="1603"/>
      <c r="D67" s="1630"/>
      <c r="E67" s="1626"/>
      <c r="F67" s="1631"/>
    </row>
    <row r="68" spans="1:6" ht="12" customHeight="1">
      <c r="A68" s="1605"/>
      <c r="B68" s="1608"/>
      <c r="C68" s="1603"/>
      <c r="D68" s="1616"/>
      <c r="E68" s="1613"/>
      <c r="F68" s="1620"/>
    </row>
    <row r="69" spans="1:6" ht="12" customHeight="1">
      <c r="A69" s="1606"/>
      <c r="B69" s="1608"/>
      <c r="C69" s="1603"/>
      <c r="D69" s="1617"/>
      <c r="E69" s="1614"/>
      <c r="F69" s="1621"/>
    </row>
    <row r="70" spans="1:6" ht="12" customHeight="1">
      <c r="A70" s="1604">
        <f>A67+1</f>
        <v>17</v>
      </c>
      <c r="B70" s="1607" t="s">
        <v>321</v>
      </c>
      <c r="C70" s="1603"/>
      <c r="D70" s="1618"/>
      <c r="E70" s="1612"/>
      <c r="F70" s="1619"/>
    </row>
    <row r="71" spans="1:6" ht="12" customHeight="1">
      <c r="A71" s="1605"/>
      <c r="B71" s="1608"/>
      <c r="C71" s="1603"/>
      <c r="D71" s="1616"/>
      <c r="E71" s="1613"/>
      <c r="F71" s="1620"/>
    </row>
    <row r="72" spans="1:6" ht="12" customHeight="1">
      <c r="A72" s="1606"/>
      <c r="B72" s="1608"/>
      <c r="C72" s="1603"/>
      <c r="D72" s="1617"/>
      <c r="E72" s="1614"/>
      <c r="F72" s="1621"/>
    </row>
    <row r="73" spans="1:6" ht="12" customHeight="1">
      <c r="A73" s="1604">
        <f>A70+1</f>
        <v>18</v>
      </c>
      <c r="B73" s="1607" t="s">
        <v>218</v>
      </c>
      <c r="C73" s="1603"/>
      <c r="D73" s="1648"/>
      <c r="E73" s="1612"/>
      <c r="F73" s="1272"/>
    </row>
    <row r="74" spans="1:6" ht="12" customHeight="1">
      <c r="A74" s="1605"/>
      <c r="B74" s="1608"/>
      <c r="C74" s="1603"/>
      <c r="D74" s="1649"/>
      <c r="E74" s="1613"/>
      <c r="F74" s="1273"/>
    </row>
    <row r="75" spans="1:6" ht="12" customHeight="1">
      <c r="A75" s="1606"/>
      <c r="B75" s="1608"/>
      <c r="C75" s="1603"/>
      <c r="D75" s="1650"/>
      <c r="E75" s="1614"/>
      <c r="F75" s="1272"/>
    </row>
    <row r="76" spans="1:6" ht="12" customHeight="1">
      <c r="A76" s="1604">
        <f>A73+1</f>
        <v>19</v>
      </c>
      <c r="B76" s="1607" t="str">
        <f>CONCATENATE("Zijn, voor de berekening van de nacalculeerbare afschrijvingskosten van de in ",Voorblad!D3," geactiveerde activa, de afschrijvingspercentages gehanteerd zoals in de beleidsregel Afschrijving opgenomen? Indien in ",Voorblad!D3," geen activa zijn geactiveerd, kies dan 'nvt'")</f>
        <v>Zijn, voor de berekening van de nacalculeerbare afschrijvingskosten van de in 2005 geactiveerde activa, de afschrijvingspercentages gehanteerd zoals in de beleidsregel Afschrijving opgenomen? Indien in 2005 geen activa zijn geactiveerd, kies dan 'nvt'</v>
      </c>
      <c r="C76" s="1603"/>
      <c r="D76" s="1618"/>
      <c r="E76" s="1645"/>
      <c r="F76" s="1622"/>
    </row>
    <row r="77" spans="1:6" ht="12" customHeight="1">
      <c r="A77" s="1605"/>
      <c r="B77" s="1608"/>
      <c r="C77" s="1603"/>
      <c r="D77" s="1616"/>
      <c r="E77" s="1646"/>
      <c r="F77" s="1622"/>
    </row>
    <row r="78" spans="1:6" ht="12" customHeight="1" thickBot="1">
      <c r="A78" s="1606"/>
      <c r="B78" s="1608"/>
      <c r="C78" s="1603"/>
      <c r="D78" s="1616"/>
      <c r="E78" s="1646"/>
      <c r="F78" s="1622"/>
    </row>
    <row r="79" spans="1:6" ht="12" customHeight="1">
      <c r="A79" s="1604">
        <f>A76+1</f>
        <v>20</v>
      </c>
      <c r="B79" s="1607" t="str">
        <f>CONCATENATE("Zijn, voor de berekening van de nacalculeerbare afschrijvingskosten van de tot en met ",Voorblad!D3-1," geactiveerde activa, de afschrijvingspercentages gehanteerd zoals in de beleidsregel Afschrijving, gecontinueerd?")</f>
        <v>Zijn, voor de berekening van de nacalculeerbare afschrijvingskosten van de tot en met 2004 geactiveerde activa, de afschrijvingspercentages gehanteerd zoals in de beleidsregel Afschrijving, gecontinueerd?</v>
      </c>
      <c r="C79" s="1603"/>
      <c r="D79" s="1630"/>
      <c r="E79" s="1651"/>
      <c r="F79" s="1272"/>
    </row>
    <row r="80" spans="1:6" ht="12" customHeight="1">
      <c r="A80" s="1605"/>
      <c r="B80" s="1608"/>
      <c r="C80" s="1603"/>
      <c r="D80" s="1616"/>
      <c r="E80" s="1652"/>
      <c r="F80" s="1272"/>
    </row>
    <row r="81" spans="1:6" ht="12" customHeight="1" thickBot="1">
      <c r="A81" s="1606"/>
      <c r="B81" s="1608"/>
      <c r="C81" s="1603"/>
      <c r="D81" s="1628"/>
      <c r="E81" s="1653"/>
      <c r="F81" s="1272"/>
    </row>
    <row r="82" spans="1:6" ht="12" customHeight="1">
      <c r="A82" s="1604">
        <f>A79+1</f>
        <v>21</v>
      </c>
      <c r="B82" s="1608" t="str">
        <f>CONCATENATE("Passen de in ",Voorblad!D3," geactiveerde investeringen in immateriele en materiele vaste activa (investeringskosten) binnen de WZV-vergunningen die voor deze projecten zijn afgegeven? Als er geen investeringen zijn geactiveerd, kies dan 'nvt'")</f>
        <v>Passen de in 2005 geactiveerde investeringen in immateriele en materiele vaste activa (investeringskosten) binnen de WZV-vergunningen die voor deze projecten zijn afgegeven? Als er geen investeringen zijn geactiveerd, kies dan 'nvt'</v>
      </c>
      <c r="C82" s="1603"/>
      <c r="D82" s="1616"/>
      <c r="E82" s="1646"/>
      <c r="F82" s="1622"/>
    </row>
    <row r="83" spans="1:6" ht="12" customHeight="1">
      <c r="A83" s="1605"/>
      <c r="B83" s="1608"/>
      <c r="C83" s="1603"/>
      <c r="D83" s="1616"/>
      <c r="E83" s="1646"/>
      <c r="F83" s="1622"/>
    </row>
    <row r="84" spans="1:6" ht="12" customHeight="1">
      <c r="A84" s="1606"/>
      <c r="B84" s="1608"/>
      <c r="C84" s="1603"/>
      <c r="D84" s="1617"/>
      <c r="E84" s="1647"/>
      <c r="F84" s="1622"/>
    </row>
    <row r="85" spans="1:6" ht="12" customHeight="1">
      <c r="A85" s="1604">
        <f>A82+1</f>
        <v>22</v>
      </c>
      <c r="B85" s="1607" t="s">
        <v>5</v>
      </c>
      <c r="C85" s="1260"/>
      <c r="D85" s="1616"/>
      <c r="E85" s="1646"/>
      <c r="F85" s="1622"/>
    </row>
    <row r="86" spans="1:6" ht="12" customHeight="1">
      <c r="A86" s="1605"/>
      <c r="B86" s="1608"/>
      <c r="C86" s="1260"/>
      <c r="D86" s="1616"/>
      <c r="E86" s="1646"/>
      <c r="F86" s="1622"/>
    </row>
    <row r="87" spans="1:6" ht="12" customHeight="1">
      <c r="A87" s="1606"/>
      <c r="B87" s="1608"/>
      <c r="C87" s="1260"/>
      <c r="D87" s="1617"/>
      <c r="E87" s="1647"/>
      <c r="F87" s="1622"/>
    </row>
    <row r="88" spans="1:6" ht="12" customHeight="1">
      <c r="A88" s="1604">
        <f>A85+1</f>
        <v>23</v>
      </c>
      <c r="B88" s="1607" t="str">
        <f>CONCATENATE("Passen de in ",Voorblad!D3," geactiveerde instandhoudingsinvesteringen binnen de meldingsverklaringen die door het CBZ zijn afgegeven voor deze projecten? Als er geen investeringen zijn geactiveerd, kies dan 'nvt'")</f>
        <v>Passen de in 2005 geactiveerde instandhoudingsinvesteringen binnen de meldingsverklaringen die door het CBZ zijn afgegeven voor deze projecten? Als er geen investeringen zijn geactiveerd, kies dan 'nvt'</v>
      </c>
      <c r="C88" s="1603"/>
      <c r="D88" s="1618"/>
      <c r="E88" s="1645"/>
      <c r="F88" s="1622"/>
    </row>
    <row r="89" spans="1:6" ht="12" customHeight="1">
      <c r="A89" s="1605"/>
      <c r="B89" s="1608"/>
      <c r="C89" s="1603"/>
      <c r="D89" s="1616"/>
      <c r="E89" s="1646"/>
      <c r="F89" s="1622"/>
    </row>
    <row r="90" spans="1:6" ht="12" customHeight="1">
      <c r="A90" s="1606"/>
      <c r="B90" s="1608"/>
      <c r="C90" s="1603"/>
      <c r="D90" s="1617"/>
      <c r="E90" s="1647"/>
      <c r="F90" s="1622"/>
    </row>
    <row r="91" spans="1:6" ht="12" customHeight="1">
      <c r="A91" s="1604">
        <f>A88+1</f>
        <v>24</v>
      </c>
      <c r="B91" s="1607" t="str">
        <f>CONCATENATE("Is eerst de jaarlijkse investeringsruimte volledig benut (in het onderdeel van het nacalculatieformulier over instandhoudingsinvesteringen), ","alvorens trekkingsrechten zijn aangesproken voor incidentele instandhoudingsinvesteringen? Indien geen instandhoudingsinvesteringen in ",Voorblad!D3,", kies dan 'nvt'")</f>
        <v>Is eerst de jaarlijkse investeringsruimte volledig benut (in het onderdeel van het nacalculatieformulier over instandhoudingsinvesteringen), alvorens trekkingsrechten zijn aangesproken voor incidentele instandhoudingsinvesteringen? Indien geen instandhoudingsinvesteringen in 2005, kies dan 'nvt'</v>
      </c>
      <c r="C91" s="1603"/>
      <c r="D91" s="1618"/>
      <c r="E91" s="1645"/>
      <c r="F91" s="1622"/>
    </row>
    <row r="92" spans="1:6" ht="12" customHeight="1">
      <c r="A92" s="1605"/>
      <c r="B92" s="1608"/>
      <c r="C92" s="1603"/>
      <c r="D92" s="1616"/>
      <c r="E92" s="1646"/>
      <c r="F92" s="1622"/>
    </row>
    <row r="93" spans="1:6" ht="12" customHeight="1">
      <c r="A93" s="1606"/>
      <c r="B93" s="1608"/>
      <c r="C93" s="1603"/>
      <c r="D93" s="1617"/>
      <c r="E93" s="1647"/>
      <c r="F93" s="1622"/>
    </row>
    <row r="94" spans="1:6" ht="12" customHeight="1">
      <c r="A94" s="1604">
        <f>A91+1</f>
        <v>25</v>
      </c>
      <c r="B94" s="1607" t="s">
        <v>219</v>
      </c>
      <c r="C94" s="1603"/>
      <c r="D94" s="1618"/>
      <c r="E94" s="1645"/>
      <c r="F94" s="1622"/>
    </row>
    <row r="95" spans="1:6" ht="12" customHeight="1">
      <c r="A95" s="1605"/>
      <c r="B95" s="1608"/>
      <c r="C95" s="1603"/>
      <c r="D95" s="1616"/>
      <c r="E95" s="1646"/>
      <c r="F95" s="1622"/>
    </row>
    <row r="96" spans="1:6" ht="12" customHeight="1">
      <c r="A96" s="1606"/>
      <c r="B96" s="1608"/>
      <c r="C96" s="1603"/>
      <c r="D96" s="1617"/>
      <c r="E96" s="1647"/>
      <c r="F96" s="1622"/>
    </row>
    <row r="97" spans="1:6" ht="12" customHeight="1">
      <c r="A97" s="1604">
        <f>A94+1</f>
        <v>26</v>
      </c>
      <c r="B97" s="1608" t="s">
        <v>325</v>
      </c>
      <c r="C97" s="1603"/>
      <c r="D97" s="1618"/>
      <c r="E97" s="1612"/>
      <c r="F97" s="1619"/>
    </row>
    <row r="98" spans="1:6" ht="12" customHeight="1">
      <c r="A98" s="1605"/>
      <c r="B98" s="1608"/>
      <c r="C98" s="1603"/>
      <c r="D98" s="1616"/>
      <c r="E98" s="1613"/>
      <c r="F98" s="1620"/>
    </row>
    <row r="99" spans="1:6" ht="12" customHeight="1" thickBot="1">
      <c r="A99" s="1606"/>
      <c r="B99" s="1608"/>
      <c r="C99" s="1603"/>
      <c r="D99" s="1628"/>
      <c r="E99" s="1615"/>
      <c r="F99" s="1627"/>
    </row>
    <row r="100" spans="1:6" ht="12" customHeight="1">
      <c r="A100" s="820"/>
      <c r="B100" s="820"/>
      <c r="C100" s="820"/>
      <c r="D100" s="820"/>
      <c r="E100" s="820"/>
      <c r="F100" s="820"/>
    </row>
    <row r="101" spans="1:6" ht="12" customHeight="1">
      <c r="A101" s="808"/>
      <c r="B101" s="809"/>
      <c r="C101" s="809"/>
      <c r="D101" s="810"/>
      <c r="E101" s="810"/>
      <c r="F101" s="811"/>
    </row>
    <row r="102" spans="1:6" ht="12" customHeight="1">
      <c r="A102" s="812" t="str">
        <f>Inhoud!A2</f>
        <v>Nacalculatieformulier 2005</v>
      </c>
      <c r="B102" s="813"/>
      <c r="C102" s="814"/>
      <c r="D102" s="815"/>
      <c r="E102" s="816"/>
      <c r="F102" s="817">
        <f>F62+1</f>
        <v>35</v>
      </c>
    </row>
    <row r="103" spans="1:6" ht="12" customHeight="1">
      <c r="A103" s="808"/>
      <c r="B103" s="809"/>
      <c r="C103" s="809"/>
      <c r="D103" s="810"/>
      <c r="E103" s="810"/>
      <c r="F103" s="811"/>
    </row>
    <row r="104" spans="1:6" ht="12" customHeight="1">
      <c r="A104" s="818" t="s">
        <v>82</v>
      </c>
      <c r="B104" s="819"/>
      <c r="C104" s="820"/>
      <c r="D104" s="1623" t="s">
        <v>76</v>
      </c>
      <c r="E104" s="1624"/>
      <c r="F104" s="1625"/>
    </row>
    <row r="105" spans="1:6" ht="12" customHeight="1">
      <c r="A105" s="820"/>
      <c r="B105" s="820"/>
      <c r="C105" s="820"/>
      <c r="D105" s="824">
        <v>1</v>
      </c>
      <c r="E105" s="824">
        <v>2</v>
      </c>
      <c r="F105" s="824">
        <v>3</v>
      </c>
    </row>
    <row r="106" spans="1:6" ht="12" customHeight="1" thickBot="1">
      <c r="A106" s="818" t="s">
        <v>322</v>
      </c>
      <c r="B106" s="820"/>
      <c r="C106" s="820"/>
      <c r="D106" s="820"/>
      <c r="E106" s="820"/>
      <c r="F106" s="820"/>
    </row>
    <row r="107" spans="1:6" ht="12" customHeight="1">
      <c r="A107" s="1609">
        <f>A97+1</f>
        <v>27</v>
      </c>
      <c r="B107" s="1607" t="s">
        <v>449</v>
      </c>
      <c r="C107" s="1603"/>
      <c r="D107" s="1630"/>
      <c r="E107" s="1626"/>
      <c r="F107" s="1629"/>
    </row>
    <row r="108" spans="1:6" ht="12" customHeight="1">
      <c r="A108" s="1610"/>
      <c r="B108" s="1608"/>
      <c r="C108" s="1603"/>
      <c r="D108" s="1616"/>
      <c r="E108" s="1613"/>
      <c r="F108" s="1622"/>
    </row>
    <row r="109" spans="1:6" ht="12" customHeight="1">
      <c r="A109" s="1611"/>
      <c r="B109" s="1608"/>
      <c r="C109" s="1603"/>
      <c r="D109" s="1617"/>
      <c r="E109" s="1614"/>
      <c r="F109" s="1622"/>
    </row>
    <row r="110" spans="1:6" ht="12" customHeight="1">
      <c r="A110" s="1609">
        <f>A107+1</f>
        <v>28</v>
      </c>
      <c r="B110" s="1607" t="s">
        <v>450</v>
      </c>
      <c r="C110" s="1603"/>
      <c r="D110" s="1618"/>
      <c r="E110" s="1612"/>
      <c r="F110" s="1622"/>
    </row>
    <row r="111" spans="1:6" ht="12" customHeight="1">
      <c r="A111" s="1610"/>
      <c r="B111" s="1608"/>
      <c r="C111" s="1603"/>
      <c r="D111" s="1616"/>
      <c r="E111" s="1613"/>
      <c r="F111" s="1622"/>
    </row>
    <row r="112" spans="1:6" ht="12" customHeight="1">
      <c r="A112" s="1611"/>
      <c r="B112" s="1608"/>
      <c r="C112" s="1603"/>
      <c r="D112" s="1617"/>
      <c r="E112" s="1614"/>
      <c r="F112" s="1622"/>
    </row>
    <row r="113" spans="1:6" ht="12" customHeight="1">
      <c r="A113" s="1609">
        <f>A110+1</f>
        <v>29</v>
      </c>
      <c r="B113" s="1607" t="s">
        <v>220</v>
      </c>
      <c r="C113" s="1603"/>
      <c r="D113" s="1618"/>
      <c r="E113" s="1612"/>
      <c r="F113" s="1622"/>
    </row>
    <row r="114" spans="1:6" ht="12" customHeight="1">
      <c r="A114" s="1610"/>
      <c r="B114" s="1608"/>
      <c r="C114" s="1603"/>
      <c r="D114" s="1616"/>
      <c r="E114" s="1613"/>
      <c r="F114" s="1622"/>
    </row>
    <row r="115" spans="1:6" ht="12" customHeight="1">
      <c r="A115" s="1611"/>
      <c r="B115" s="1608"/>
      <c r="C115" s="1603"/>
      <c r="D115" s="1617"/>
      <c r="E115" s="1614"/>
      <c r="F115" s="1622"/>
    </row>
    <row r="116" ht="12" customHeight="1"/>
    <row r="117" ht="12" customHeight="1" thickBot="1">
      <c r="A117" s="818" t="s">
        <v>326</v>
      </c>
    </row>
    <row r="118" spans="1:6" ht="12" customHeight="1">
      <c r="A118" s="1609">
        <f>A113+1</f>
        <v>30</v>
      </c>
      <c r="B118" s="1608" t="s">
        <v>327</v>
      </c>
      <c r="C118" s="1603"/>
      <c r="D118" s="1634"/>
      <c r="E118" s="1612"/>
      <c r="F118" s="1654"/>
    </row>
    <row r="119" spans="1:6" ht="12" customHeight="1">
      <c r="A119" s="1610"/>
      <c r="B119" s="1608"/>
      <c r="C119" s="1603"/>
      <c r="D119" s="1635"/>
      <c r="E119" s="1613"/>
      <c r="F119" s="1655"/>
    </row>
    <row r="120" spans="1:6" ht="12" customHeight="1">
      <c r="A120" s="1611"/>
      <c r="B120" s="1608"/>
      <c r="C120" s="1603"/>
      <c r="D120" s="1635"/>
      <c r="E120" s="1614"/>
      <c r="F120" s="1655"/>
    </row>
    <row r="121" spans="1:6" ht="12" customHeight="1">
      <c r="A121" s="1609">
        <f>A118+1</f>
        <v>31</v>
      </c>
      <c r="B121" s="1639" t="str">
        <f>"Zijn de overige mutaties op regel "&amp;Mutaties!A22&amp;" toegelicht? Indien geen overige mutaties zijn opgevoerd, kies dan nvt."</f>
        <v>Zijn de overige mutaties op regel 2214 toegelicht? Indien geen overige mutaties zijn opgevoerd, kies dan nvt.</v>
      </c>
      <c r="C121" s="1209"/>
      <c r="D121" s="1635"/>
      <c r="E121" s="1641"/>
      <c r="F121" s="1622"/>
    </row>
    <row r="122" spans="1:6" ht="12" customHeight="1">
      <c r="A122" s="1610"/>
      <c r="B122" s="1640"/>
      <c r="C122" s="1209"/>
      <c r="D122" s="1635"/>
      <c r="E122" s="1641"/>
      <c r="F122" s="1622"/>
    </row>
    <row r="123" spans="1:6" ht="12" customHeight="1">
      <c r="A123" s="1611"/>
      <c r="B123" s="1640"/>
      <c r="C123" s="1209"/>
      <c r="D123" s="1635"/>
      <c r="E123" s="1641"/>
      <c r="F123" s="1622"/>
    </row>
    <row r="124" spans="1:6" ht="12" customHeight="1">
      <c r="A124" s="1609">
        <f>A121+1</f>
        <v>32</v>
      </c>
      <c r="B124" s="1639" t="str">
        <f>"Is het verschil op regel "&amp;'A-G'!A25&amp;" van het nacalculatieformulier verklaard? Als er geen verschil is, kies dan nvt."</f>
        <v>Is het verschil op regel 2417 van het nacalculatieformulier verklaard? Als er geen verschil is, kies dan nvt.</v>
      </c>
      <c r="C124" s="1209"/>
      <c r="D124" s="1635"/>
      <c r="E124" s="1641"/>
      <c r="F124" s="1622"/>
    </row>
    <row r="125" spans="1:6" ht="12" customHeight="1">
      <c r="A125" s="1610"/>
      <c r="B125" s="1640"/>
      <c r="C125" s="1209"/>
      <c r="D125" s="1635"/>
      <c r="E125" s="1641"/>
      <c r="F125" s="1622"/>
    </row>
    <row r="126" spans="1:6" ht="12" customHeight="1" thickBot="1">
      <c r="A126" s="1611"/>
      <c r="B126" s="1640"/>
      <c r="C126" s="1209"/>
      <c r="D126" s="1642"/>
      <c r="E126" s="1643"/>
      <c r="F126" s="1644"/>
    </row>
    <row r="127" spans="1:3" ht="12" customHeight="1">
      <c r="A127" s="820"/>
      <c r="B127" s="825"/>
      <c r="C127" s="820"/>
    </row>
    <row r="128" spans="1:3" ht="12" customHeight="1">
      <c r="A128" s="1636" t="s">
        <v>221</v>
      </c>
      <c r="B128" s="1637"/>
      <c r="C128" s="820"/>
    </row>
    <row r="129" spans="1:3" ht="12" customHeight="1">
      <c r="A129" s="1638"/>
      <c r="B129" s="1637"/>
      <c r="C129" s="820"/>
    </row>
    <row r="130" spans="1:6" ht="12" customHeight="1">
      <c r="A130" s="1171" t="s">
        <v>451</v>
      </c>
      <c r="B130" s="1171"/>
      <c r="C130" s="823"/>
      <c r="D130" s="823"/>
      <c r="E130" s="826"/>
      <c r="F130" s="823"/>
    </row>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row r="1455" ht="12" customHeight="1"/>
    <row r="1456" ht="12" customHeight="1"/>
    <row r="1457" ht="12" customHeight="1"/>
    <row r="1458" ht="12" customHeight="1"/>
    <row r="1459" ht="12" customHeight="1"/>
    <row r="1460" ht="12" customHeight="1"/>
    <row r="1461" ht="12" customHeight="1"/>
    <row r="1462" ht="12" customHeight="1"/>
    <row r="1463" ht="12" customHeight="1"/>
    <row r="1464" ht="12" customHeight="1"/>
    <row r="1465" ht="12" customHeight="1"/>
    <row r="1466" ht="12" customHeight="1"/>
    <row r="1467" ht="12" customHeight="1"/>
    <row r="1468" ht="12" customHeight="1"/>
    <row r="1469" ht="12" customHeight="1"/>
    <row r="1470" ht="12" customHeight="1"/>
    <row r="1471" ht="12" customHeight="1"/>
    <row r="1472" ht="12" customHeight="1"/>
    <row r="1473" ht="12" customHeight="1"/>
    <row r="1474" ht="12" customHeight="1"/>
    <row r="1475" ht="12" customHeight="1"/>
    <row r="1476" ht="12" customHeight="1"/>
    <row r="1477" ht="12" customHeight="1"/>
    <row r="1478" ht="12" customHeight="1"/>
    <row r="1479" ht="12" customHeight="1"/>
    <row r="1480" ht="12" customHeight="1"/>
    <row r="1481" ht="12" customHeight="1"/>
    <row r="1482" ht="12" customHeight="1"/>
    <row r="1483" ht="12" customHeight="1"/>
    <row r="1484" ht="12" customHeight="1"/>
    <row r="1485" ht="12" customHeight="1"/>
    <row r="1486" ht="12" customHeight="1"/>
    <row r="1487" ht="12" customHeight="1"/>
    <row r="1488" ht="12" customHeight="1"/>
    <row r="1489" ht="12" customHeight="1"/>
    <row r="1490" ht="12" customHeight="1"/>
    <row r="1491" ht="12" customHeight="1"/>
    <row r="1492" ht="12" customHeight="1"/>
    <row r="1493" ht="12" customHeight="1"/>
    <row r="1494" ht="12" customHeight="1"/>
    <row r="1495" ht="12" customHeight="1"/>
    <row r="1496" ht="12" customHeight="1"/>
    <row r="1497" ht="12" customHeight="1"/>
    <row r="1498" ht="12" customHeight="1"/>
    <row r="1499" ht="12" customHeight="1"/>
    <row r="1500" ht="12" customHeight="1"/>
    <row r="1501" ht="12" customHeight="1"/>
    <row r="1502" ht="12" customHeight="1"/>
    <row r="1503" ht="12" customHeight="1"/>
    <row r="1504" ht="12" customHeight="1"/>
    <row r="1505" ht="12" customHeight="1"/>
    <row r="1506" ht="12" customHeight="1"/>
    <row r="1507" ht="12" customHeight="1"/>
    <row r="1508" ht="12" customHeight="1"/>
    <row r="1509" ht="12" customHeight="1"/>
    <row r="1510" ht="12" customHeight="1"/>
    <row r="1511" ht="12" customHeight="1"/>
    <row r="1512" ht="12" customHeight="1"/>
    <row r="1513" ht="12" customHeight="1"/>
    <row r="1514" ht="12" customHeight="1"/>
    <row r="1515" ht="12" customHeight="1"/>
    <row r="1516" ht="12" customHeight="1"/>
    <row r="1517" ht="12" customHeight="1"/>
    <row r="1518" ht="12" customHeight="1"/>
    <row r="1519" ht="12" customHeight="1"/>
    <row r="1520" ht="12" customHeight="1"/>
    <row r="1521" ht="12" customHeight="1"/>
    <row r="1522" ht="12" customHeight="1"/>
    <row r="1523" ht="12" customHeight="1"/>
    <row r="1524" ht="12" customHeight="1"/>
    <row r="1525" ht="12" customHeight="1"/>
    <row r="1526" ht="12" customHeight="1"/>
    <row r="1527" ht="12" customHeight="1"/>
    <row r="1528" ht="12" customHeight="1"/>
    <row r="1529" ht="12" customHeight="1"/>
    <row r="1530" ht="12" customHeight="1"/>
    <row r="1531" ht="12" customHeight="1"/>
    <row r="1532" ht="12" customHeight="1"/>
    <row r="1533" ht="12" customHeight="1"/>
    <row r="1534" ht="12" customHeight="1"/>
    <row r="1535" ht="12" customHeight="1"/>
    <row r="1536" ht="12" customHeight="1"/>
    <row r="1537" ht="12" customHeight="1"/>
    <row r="1538" ht="12" customHeight="1"/>
    <row r="1539" ht="12" customHeight="1"/>
    <row r="1540" ht="12" customHeight="1"/>
    <row r="1541" ht="12" customHeight="1"/>
    <row r="1542" ht="12" customHeight="1"/>
    <row r="1543" ht="12" customHeight="1"/>
    <row r="1544" ht="12" customHeight="1"/>
    <row r="1545" ht="12" customHeight="1"/>
    <row r="1546" ht="12" customHeight="1"/>
    <row r="1547" ht="12" customHeight="1"/>
    <row r="1548" ht="12" customHeight="1"/>
    <row r="1549" ht="12" customHeight="1"/>
    <row r="1550" ht="12" customHeight="1"/>
    <row r="1551" ht="12" customHeight="1"/>
    <row r="1552" ht="12" customHeight="1"/>
    <row r="1553" ht="12" customHeight="1"/>
    <row r="1554" ht="12" customHeight="1"/>
    <row r="1555" ht="12" customHeight="1"/>
    <row r="1556" ht="12" customHeight="1"/>
    <row r="1557" ht="12" customHeight="1"/>
    <row r="1558" ht="12" customHeight="1"/>
    <row r="1559" ht="12" customHeight="1"/>
    <row r="1560" ht="12" customHeight="1"/>
    <row r="1561" ht="12" customHeight="1"/>
    <row r="1562" ht="12" customHeight="1"/>
    <row r="1563" ht="12" customHeight="1"/>
    <row r="1564" ht="12" customHeight="1"/>
    <row r="1565" ht="12" customHeight="1"/>
    <row r="1566" ht="12" customHeight="1"/>
    <row r="1567" ht="12" customHeight="1"/>
    <row r="1568" ht="12" customHeight="1"/>
    <row r="1569" ht="12" customHeight="1"/>
    <row r="1570" ht="12" customHeight="1"/>
    <row r="1571" ht="12" customHeight="1"/>
    <row r="1572" ht="12" customHeight="1"/>
    <row r="1573" ht="12" customHeight="1"/>
    <row r="1574" ht="12" customHeight="1"/>
    <row r="1575" ht="12" customHeight="1"/>
    <row r="1576" ht="12" customHeight="1"/>
    <row r="1577" ht="12" customHeight="1"/>
    <row r="1578" ht="12" customHeight="1"/>
    <row r="1579" ht="12" customHeight="1"/>
    <row r="1580" ht="12" customHeight="1"/>
    <row r="1581" ht="12" customHeight="1"/>
    <row r="1582" ht="12" customHeight="1"/>
    <row r="1583" ht="12" customHeight="1"/>
    <row r="1584" ht="12" customHeight="1"/>
    <row r="1585" ht="12" customHeight="1"/>
    <row r="1586" ht="12" customHeight="1"/>
    <row r="1587" ht="12" customHeight="1"/>
    <row r="1588" ht="12" customHeight="1"/>
    <row r="1589" ht="12" customHeight="1"/>
    <row r="1590" ht="12" customHeight="1"/>
    <row r="1591" ht="12" customHeight="1"/>
    <row r="1592" ht="12" customHeight="1"/>
    <row r="1593" ht="12" customHeight="1"/>
    <row r="1594" ht="12" customHeight="1"/>
    <row r="1595" ht="12" customHeight="1"/>
    <row r="1596" ht="12" customHeight="1"/>
    <row r="1597" ht="12" customHeight="1"/>
    <row r="1598" ht="12" customHeight="1"/>
    <row r="1599" ht="12" customHeight="1"/>
    <row r="1600" ht="12" customHeight="1"/>
    <row r="1601" ht="12" customHeight="1"/>
    <row r="1602" ht="12" customHeight="1"/>
    <row r="1603" ht="12" customHeight="1"/>
    <row r="1604" ht="12" customHeight="1"/>
    <row r="1605" ht="12" customHeight="1"/>
    <row r="1606" ht="12" customHeight="1"/>
    <row r="1607" ht="12" customHeight="1"/>
    <row r="1608" ht="12" customHeight="1"/>
    <row r="1609" ht="12" customHeight="1"/>
    <row r="1610" ht="12" customHeight="1"/>
    <row r="1611" ht="12" customHeight="1"/>
    <row r="1612" ht="12" customHeight="1"/>
    <row r="1613" ht="12" customHeight="1"/>
    <row r="1614" ht="12" customHeight="1"/>
    <row r="1615" ht="12" customHeight="1"/>
    <row r="1616" ht="12" customHeight="1"/>
    <row r="1617" ht="12" customHeight="1"/>
    <row r="1618" ht="12" customHeight="1"/>
    <row r="1619" ht="12" customHeight="1"/>
    <row r="1620" ht="12" customHeight="1"/>
    <row r="1621" ht="12" customHeight="1"/>
    <row r="1622" ht="12" customHeight="1"/>
    <row r="1623" ht="12" customHeight="1"/>
    <row r="1624" ht="12" customHeight="1"/>
    <row r="1625" ht="12" customHeight="1"/>
    <row r="1626" ht="12" customHeight="1"/>
    <row r="1627" ht="12" customHeight="1"/>
    <row r="1628" ht="12" customHeight="1"/>
    <row r="1629" ht="12" customHeight="1"/>
    <row r="1630" ht="12" customHeight="1"/>
    <row r="1631" ht="12" customHeight="1"/>
    <row r="1632" ht="12" customHeight="1"/>
    <row r="1633" ht="12" customHeight="1"/>
    <row r="1634" ht="12" customHeight="1"/>
    <row r="1635" ht="12" customHeight="1"/>
    <row r="1636" ht="12" customHeight="1"/>
    <row r="1637" ht="12" customHeight="1"/>
    <row r="1638" ht="12" customHeight="1"/>
    <row r="1639" ht="12" customHeight="1"/>
    <row r="1640" ht="12" customHeight="1"/>
    <row r="1641" ht="12" customHeight="1"/>
    <row r="1642" ht="12" customHeight="1"/>
    <row r="1643" ht="12" customHeight="1"/>
    <row r="1644" ht="12" customHeight="1"/>
    <row r="1645" ht="12" customHeight="1"/>
    <row r="1646" ht="12" customHeight="1"/>
    <row r="1647" ht="12" customHeight="1"/>
    <row r="1648" ht="12" customHeight="1"/>
    <row r="1649" ht="12" customHeight="1"/>
    <row r="1650" ht="12" customHeight="1"/>
    <row r="1651" ht="12" customHeight="1"/>
    <row r="1652" ht="12" customHeight="1"/>
    <row r="1653" ht="12" customHeight="1"/>
    <row r="1654" ht="12" customHeight="1"/>
    <row r="1655" ht="12" customHeight="1"/>
    <row r="1656" ht="12" customHeight="1"/>
    <row r="1657" ht="12" customHeight="1"/>
    <row r="1658" ht="12" customHeight="1"/>
    <row r="1659" ht="12" customHeight="1"/>
    <row r="1660" ht="12" customHeight="1"/>
    <row r="1661" ht="12" customHeight="1"/>
    <row r="1662" ht="12" customHeight="1"/>
    <row r="1663" ht="12" customHeight="1"/>
    <row r="1664" ht="12" customHeight="1"/>
    <row r="1665" ht="12" customHeight="1"/>
    <row r="1666" ht="12" customHeight="1"/>
    <row r="1667" ht="12" customHeight="1"/>
    <row r="1668" ht="12" customHeight="1"/>
    <row r="1669" ht="12" customHeight="1"/>
    <row r="1670" ht="12" customHeight="1"/>
    <row r="1671" ht="12" customHeight="1"/>
    <row r="1672" ht="12" customHeight="1"/>
    <row r="1673" ht="12" customHeight="1"/>
    <row r="1674" ht="12" customHeight="1"/>
    <row r="1675" ht="12" customHeight="1"/>
    <row r="1676" ht="12" customHeight="1"/>
    <row r="1677" ht="12" customHeight="1"/>
    <row r="1678" ht="12" customHeight="1"/>
    <row r="1679" ht="12" customHeight="1"/>
    <row r="1680" ht="12" customHeight="1"/>
    <row r="1681" ht="12" customHeight="1"/>
    <row r="1682" ht="12" customHeight="1"/>
    <row r="1683" ht="12" customHeight="1"/>
    <row r="1684" ht="12" customHeight="1"/>
    <row r="1685" ht="12" customHeight="1"/>
    <row r="1686" ht="12" customHeight="1"/>
    <row r="1687" ht="12" customHeight="1"/>
    <row r="1688" ht="12" customHeight="1"/>
    <row r="1689" ht="12" customHeight="1"/>
    <row r="1690" ht="12" customHeight="1"/>
    <row r="1691" ht="12" customHeight="1"/>
    <row r="1692" ht="12" customHeight="1"/>
    <row r="1693" ht="12" customHeight="1"/>
    <row r="1694" ht="12" customHeight="1"/>
    <row r="1695" ht="12" customHeight="1"/>
    <row r="1696" ht="12" customHeight="1"/>
    <row r="1697" ht="12" customHeight="1"/>
    <row r="1698" ht="12" customHeight="1"/>
    <row r="1699" ht="12" customHeight="1"/>
    <row r="1700" ht="12" customHeight="1"/>
    <row r="1701" ht="12" customHeight="1"/>
    <row r="1702" ht="12" customHeight="1"/>
    <row r="1703" ht="12" customHeight="1"/>
    <row r="1704" ht="12" customHeight="1"/>
    <row r="1705" ht="12" customHeight="1"/>
    <row r="1706" ht="12" customHeight="1"/>
    <row r="1707" ht="12" customHeight="1"/>
    <row r="1708" ht="12" customHeight="1"/>
    <row r="1709" ht="12" customHeight="1"/>
    <row r="1710" ht="12" customHeight="1"/>
    <row r="1711" ht="12" customHeight="1"/>
    <row r="1712" ht="12" customHeight="1"/>
    <row r="1713" ht="12" customHeight="1"/>
    <row r="1714" ht="12" customHeight="1"/>
    <row r="1715" ht="12" customHeight="1"/>
    <row r="1716" ht="12" customHeight="1"/>
    <row r="1717" ht="12" customHeight="1"/>
    <row r="1718" ht="12" customHeight="1"/>
    <row r="1719" ht="12" customHeight="1"/>
    <row r="1720" ht="12" customHeight="1"/>
    <row r="1721" ht="12" customHeight="1"/>
    <row r="1722" ht="12" customHeight="1"/>
    <row r="1723" ht="12" customHeight="1"/>
    <row r="1724" ht="12" customHeight="1"/>
    <row r="1725" ht="12" customHeight="1"/>
    <row r="1726" ht="12" customHeight="1"/>
    <row r="1727" ht="12" customHeight="1"/>
    <row r="1728" ht="12" customHeight="1"/>
    <row r="1729" ht="12" customHeight="1"/>
    <row r="1730" ht="12" customHeight="1"/>
    <row r="1731" ht="12" customHeight="1"/>
    <row r="1732" ht="12" customHeight="1"/>
    <row r="1733" ht="12" customHeight="1"/>
    <row r="1734" ht="12" customHeight="1"/>
    <row r="1735" ht="12" customHeight="1"/>
    <row r="1736" ht="12" customHeight="1"/>
    <row r="1737" ht="12" customHeight="1"/>
    <row r="1738" ht="12" customHeight="1"/>
    <row r="1739" ht="12" customHeight="1"/>
    <row r="1740" ht="12" customHeight="1"/>
    <row r="1741" ht="12" customHeight="1"/>
    <row r="1742" ht="12" customHeight="1"/>
    <row r="1743" ht="12" customHeight="1"/>
    <row r="1744" ht="12" customHeight="1"/>
    <row r="1745" ht="12" customHeight="1"/>
    <row r="1746" ht="12" customHeight="1"/>
    <row r="1747" ht="12" customHeight="1"/>
    <row r="1748" ht="12" customHeight="1"/>
    <row r="1749" ht="12" customHeight="1"/>
    <row r="1750" ht="12" customHeight="1"/>
    <row r="1751" ht="12" customHeight="1"/>
    <row r="1752" ht="12" customHeight="1"/>
    <row r="1753" ht="12" customHeight="1"/>
    <row r="1754" ht="12" customHeight="1"/>
    <row r="1755" ht="12" customHeight="1"/>
    <row r="1756" ht="12" customHeight="1"/>
    <row r="1757" ht="12" customHeight="1"/>
    <row r="1758" ht="12" customHeight="1"/>
    <row r="1759" ht="12" customHeight="1"/>
    <row r="1760" ht="12" customHeight="1"/>
    <row r="1761" ht="12" customHeight="1"/>
    <row r="1762" ht="12" customHeight="1"/>
    <row r="1763" ht="12" customHeight="1"/>
    <row r="1764" ht="12" customHeight="1"/>
    <row r="1765" ht="12" customHeight="1"/>
    <row r="1766" ht="12" customHeight="1"/>
    <row r="1767" ht="12" customHeight="1"/>
    <row r="1768" ht="12" customHeight="1"/>
    <row r="1769" ht="12" customHeight="1"/>
    <row r="1770" ht="12" customHeight="1"/>
    <row r="1771" ht="12" customHeight="1"/>
    <row r="1772" ht="12" customHeight="1"/>
    <row r="1773" ht="12" customHeight="1"/>
    <row r="1774" ht="12" customHeight="1"/>
    <row r="1775" ht="12" customHeight="1"/>
    <row r="1776" ht="12" customHeight="1"/>
    <row r="1777" ht="12" customHeight="1"/>
    <row r="1778" ht="12" customHeight="1"/>
    <row r="1779" ht="12" customHeight="1"/>
    <row r="1780" ht="12" customHeight="1"/>
    <row r="1781" ht="12" customHeight="1"/>
    <row r="1782" ht="12" customHeight="1"/>
    <row r="1783" ht="12" customHeight="1"/>
    <row r="1784" ht="12" customHeight="1"/>
    <row r="1785" ht="12" customHeight="1"/>
    <row r="1786" ht="12" customHeight="1"/>
    <row r="1787" ht="12" customHeight="1"/>
    <row r="1788" ht="12" customHeight="1"/>
    <row r="1789" ht="12" customHeight="1"/>
    <row r="1790" ht="12" customHeight="1"/>
    <row r="1791" ht="12" customHeight="1"/>
    <row r="1792" ht="12" customHeight="1"/>
    <row r="1793" ht="12" customHeight="1"/>
    <row r="1794" ht="12" customHeight="1"/>
    <row r="1795" ht="12" customHeight="1"/>
    <row r="1796" ht="12" customHeight="1"/>
    <row r="1797" ht="12" customHeight="1"/>
    <row r="1798" ht="12" customHeight="1"/>
    <row r="1799" ht="12" customHeight="1"/>
    <row r="1800" ht="12" customHeight="1"/>
    <row r="1801" ht="12" customHeight="1"/>
    <row r="1802" ht="12" customHeight="1"/>
    <row r="1803" ht="12" customHeight="1"/>
    <row r="1804" ht="12" customHeight="1"/>
    <row r="1805" ht="12" customHeight="1"/>
    <row r="1806" ht="12" customHeight="1"/>
    <row r="1807" ht="12" customHeight="1"/>
    <row r="1808" ht="12" customHeight="1"/>
    <row r="1809" ht="12" customHeight="1"/>
    <row r="1810" ht="12" customHeight="1"/>
    <row r="1811" ht="12" customHeight="1"/>
    <row r="1812" ht="12" customHeight="1"/>
    <row r="1813" ht="12" customHeight="1"/>
    <row r="1814" ht="12" customHeight="1"/>
    <row r="1815" ht="12" customHeight="1"/>
    <row r="1816" ht="12" customHeight="1"/>
    <row r="1817" ht="12" customHeight="1"/>
    <row r="1818" ht="12" customHeight="1"/>
    <row r="1819" ht="12" customHeight="1"/>
    <row r="1820" ht="12" customHeight="1"/>
    <row r="1821" ht="12" customHeight="1"/>
    <row r="1822" ht="12" customHeight="1"/>
    <row r="1823" ht="12" customHeight="1"/>
    <row r="1824" ht="12" customHeight="1"/>
    <row r="1825" ht="12" customHeight="1"/>
    <row r="1826" ht="12" customHeight="1"/>
    <row r="1827" ht="12" customHeight="1"/>
    <row r="1828" ht="12" customHeight="1"/>
    <row r="1829" ht="12" customHeight="1"/>
    <row r="1830" ht="12" customHeight="1"/>
    <row r="1831" ht="12" customHeight="1"/>
    <row r="1832" ht="12" customHeight="1"/>
    <row r="1833" ht="12" customHeight="1"/>
    <row r="1834" ht="12" customHeight="1"/>
    <row r="1835" ht="12" customHeight="1"/>
    <row r="1836" ht="12" customHeight="1"/>
    <row r="1837" ht="12" customHeight="1"/>
    <row r="1838" ht="12" customHeight="1"/>
    <row r="1839" ht="12" customHeight="1"/>
    <row r="1840" ht="12" customHeight="1"/>
    <row r="1841" ht="12" customHeight="1"/>
    <row r="1842" ht="12" customHeight="1"/>
    <row r="1843" ht="12" customHeight="1"/>
    <row r="1844" ht="12" customHeight="1"/>
    <row r="1845" ht="12" customHeight="1"/>
    <row r="1846" ht="12" customHeight="1"/>
    <row r="1847" ht="12" customHeight="1"/>
    <row r="1848" ht="12" customHeight="1"/>
    <row r="1849" ht="12" customHeight="1"/>
    <row r="1850" ht="12" customHeight="1"/>
    <row r="1851" ht="12" customHeight="1"/>
    <row r="1852" ht="12" customHeight="1"/>
    <row r="1853" ht="12" customHeight="1"/>
    <row r="1854" ht="12" customHeight="1"/>
    <row r="1855" ht="12" customHeight="1"/>
    <row r="1856" ht="12" customHeight="1"/>
    <row r="1857" ht="12" customHeight="1"/>
    <row r="1858" ht="12" customHeight="1"/>
    <row r="1859" ht="12" customHeight="1"/>
    <row r="1860" ht="12" customHeight="1"/>
    <row r="1861" ht="12" customHeight="1"/>
    <row r="1862" ht="12" customHeight="1"/>
    <row r="1863" ht="12" customHeight="1"/>
    <row r="1864" ht="12" customHeight="1"/>
    <row r="1865" ht="12" customHeight="1"/>
    <row r="1866" ht="12" customHeight="1"/>
    <row r="1867" ht="12" customHeight="1"/>
    <row r="1868" ht="12" customHeight="1"/>
    <row r="1869" ht="12" customHeight="1"/>
    <row r="1870" ht="12" customHeight="1"/>
    <row r="1871" ht="12" customHeight="1"/>
    <row r="1872" ht="12" customHeight="1"/>
    <row r="1873" ht="12" customHeight="1"/>
    <row r="1874" ht="12" customHeight="1"/>
    <row r="1875" ht="12" customHeight="1"/>
    <row r="1876" ht="12" customHeight="1"/>
    <row r="1877" ht="12" customHeight="1"/>
    <row r="1878" ht="12" customHeight="1"/>
    <row r="1879" ht="12" customHeight="1"/>
    <row r="1880" ht="12" customHeight="1"/>
    <row r="1881" ht="12" customHeight="1"/>
    <row r="1882" ht="12" customHeight="1"/>
    <row r="1883" ht="12" customHeight="1"/>
    <row r="1884" ht="12" customHeight="1"/>
    <row r="1885" ht="12" customHeight="1"/>
    <row r="1886" ht="12" customHeight="1"/>
    <row r="1887" ht="12" customHeight="1"/>
    <row r="1888" ht="12" customHeight="1"/>
    <row r="1889" ht="12" customHeight="1"/>
    <row r="1890" ht="12" customHeight="1"/>
    <row r="1891" ht="12" customHeight="1"/>
    <row r="1892" ht="12" customHeight="1"/>
    <row r="1893" ht="12" customHeight="1"/>
    <row r="1894" ht="12" customHeight="1"/>
    <row r="1895" ht="12" customHeight="1"/>
    <row r="1896" ht="12" customHeight="1"/>
    <row r="1897" ht="12" customHeight="1"/>
    <row r="1898" ht="12" customHeight="1"/>
    <row r="1899" ht="12" customHeight="1"/>
    <row r="1900" ht="12" customHeight="1"/>
    <row r="1901" ht="12" customHeight="1"/>
    <row r="1902" ht="12" customHeight="1"/>
    <row r="1903" ht="12" customHeight="1"/>
    <row r="1904" ht="12" customHeight="1"/>
    <row r="1905" ht="12" customHeight="1"/>
    <row r="1906" ht="12" customHeight="1"/>
    <row r="1907" ht="12" customHeight="1"/>
    <row r="1908" ht="12" customHeight="1"/>
    <row r="1909" ht="12" customHeight="1"/>
    <row r="1910" ht="12" customHeight="1"/>
    <row r="1911" ht="12" customHeight="1"/>
    <row r="1912" ht="12" customHeight="1"/>
    <row r="1913" ht="12" customHeight="1"/>
    <row r="1914" ht="12" customHeight="1"/>
    <row r="1915" ht="12" customHeight="1"/>
    <row r="1916" ht="12" customHeight="1"/>
    <row r="1917" ht="12" customHeight="1"/>
    <row r="1918" ht="12" customHeight="1"/>
    <row r="1919" ht="12" customHeight="1"/>
    <row r="1920" ht="12" customHeight="1"/>
    <row r="1921" ht="12" customHeight="1"/>
    <row r="1922" ht="12" customHeight="1"/>
    <row r="1923" ht="12" customHeight="1"/>
    <row r="1924" ht="12" customHeight="1"/>
    <row r="1925" ht="12" customHeight="1"/>
    <row r="1926" ht="12" customHeight="1"/>
    <row r="1927" ht="12" customHeight="1"/>
    <row r="1928" ht="12" customHeight="1"/>
    <row r="1929" ht="12" customHeight="1"/>
    <row r="1930" ht="12" customHeight="1"/>
    <row r="1931" ht="12" customHeight="1"/>
    <row r="1932" ht="12" customHeight="1"/>
    <row r="1933" ht="12" customHeight="1"/>
    <row r="1934" ht="12" customHeight="1"/>
    <row r="1935" ht="12" customHeight="1"/>
    <row r="1936" ht="12" customHeight="1"/>
    <row r="1937" ht="12" customHeight="1"/>
    <row r="1938" ht="12" customHeight="1"/>
    <row r="1939" ht="12" customHeight="1"/>
    <row r="1940" ht="12" customHeight="1"/>
    <row r="1941" ht="12" customHeight="1"/>
    <row r="1942" ht="12" customHeight="1"/>
    <row r="1943" ht="12" customHeight="1"/>
    <row r="1944" ht="12" customHeight="1"/>
    <row r="1945" ht="12" customHeight="1"/>
    <row r="1946" ht="12" customHeight="1"/>
    <row r="1947" ht="12" customHeight="1"/>
    <row r="1948" ht="12" customHeight="1"/>
    <row r="1949" ht="12" customHeight="1"/>
    <row r="1950" ht="12" customHeight="1"/>
    <row r="1951" ht="12" customHeight="1"/>
    <row r="1952" ht="12" customHeight="1"/>
    <row r="1953" ht="12" customHeight="1"/>
    <row r="1954" ht="12" customHeight="1"/>
    <row r="1955" ht="12" customHeight="1"/>
    <row r="1956" ht="12" customHeight="1"/>
    <row r="1957" ht="12" customHeight="1"/>
    <row r="1958" ht="12" customHeight="1"/>
    <row r="1959" ht="12" customHeight="1"/>
    <row r="1960" ht="12" customHeight="1"/>
    <row r="1961" ht="12" customHeight="1"/>
    <row r="1962" ht="12" customHeight="1"/>
    <row r="1963" ht="12" customHeight="1"/>
    <row r="1964" ht="12" customHeight="1"/>
    <row r="1965" ht="12" customHeight="1"/>
    <row r="1966" ht="12" customHeight="1"/>
    <row r="1967" ht="12" customHeight="1"/>
    <row r="1968" ht="12" customHeight="1"/>
    <row r="1969" ht="12" customHeight="1"/>
    <row r="1970" ht="12" customHeight="1"/>
    <row r="1971" ht="12" customHeight="1"/>
    <row r="1972" ht="12" customHeight="1"/>
    <row r="1973" ht="12" customHeight="1"/>
    <row r="1974" ht="12" customHeight="1"/>
    <row r="1975" ht="12" customHeight="1"/>
    <row r="1976" ht="12" customHeight="1"/>
    <row r="1977" ht="12" customHeight="1"/>
    <row r="1978" ht="12" customHeight="1"/>
    <row r="1979" ht="12" customHeight="1"/>
    <row r="1980" ht="12" customHeight="1"/>
    <row r="1981" ht="12" customHeight="1"/>
    <row r="1982" ht="12" customHeight="1"/>
    <row r="1983" ht="12" customHeight="1"/>
    <row r="1984" ht="12" customHeight="1"/>
    <row r="1985" ht="12" customHeight="1"/>
    <row r="1986" ht="12" customHeight="1"/>
    <row r="1987" ht="12" customHeight="1"/>
    <row r="1988" ht="12" customHeight="1"/>
    <row r="1989" ht="12" customHeight="1"/>
    <row r="1990" ht="12" customHeight="1"/>
    <row r="1991" ht="12" customHeight="1"/>
    <row r="1992" ht="12" customHeight="1"/>
    <row r="1993" ht="12" customHeight="1"/>
    <row r="1994" ht="12" customHeight="1"/>
    <row r="1995" ht="12" customHeight="1"/>
    <row r="1996" ht="12" customHeight="1"/>
    <row r="1997" ht="12" customHeight="1"/>
    <row r="1998" ht="12" customHeight="1"/>
    <row r="1999" ht="12" customHeight="1"/>
    <row r="2000" ht="12" customHeight="1"/>
    <row r="2001" ht="12" customHeight="1"/>
    <row r="2002" ht="12" customHeight="1"/>
    <row r="2003" ht="12" customHeight="1"/>
    <row r="2004" ht="12" customHeight="1"/>
    <row r="2005" ht="12" customHeight="1"/>
    <row r="2006" ht="12" customHeight="1"/>
    <row r="2007" ht="12" customHeight="1"/>
    <row r="2008" ht="12" customHeight="1"/>
    <row r="2009" ht="12" customHeight="1"/>
    <row r="2010" ht="12" customHeight="1"/>
    <row r="2011" ht="12" customHeight="1"/>
    <row r="2012" ht="12" customHeight="1"/>
    <row r="2013" ht="12" customHeight="1"/>
    <row r="2014" ht="12" customHeight="1"/>
    <row r="2015" ht="12" customHeight="1"/>
    <row r="2016" ht="12" customHeight="1"/>
    <row r="2017" ht="12" customHeight="1"/>
    <row r="2018" ht="12" customHeight="1"/>
    <row r="2019" ht="12" customHeight="1"/>
    <row r="2020" ht="12" customHeight="1"/>
    <row r="2021" ht="12" customHeight="1"/>
    <row r="2022" ht="12" customHeight="1"/>
    <row r="2023" ht="12" customHeight="1"/>
    <row r="2024" ht="12" customHeight="1"/>
    <row r="2025" ht="12" customHeight="1"/>
    <row r="2026" ht="12" customHeight="1"/>
    <row r="2027" ht="12" customHeight="1"/>
    <row r="2028" ht="12" customHeight="1"/>
    <row r="2029" ht="12" customHeight="1"/>
    <row r="2030" ht="12" customHeight="1"/>
    <row r="2031" ht="12" customHeight="1"/>
    <row r="2032" ht="12" customHeight="1"/>
    <row r="2033" ht="12" customHeight="1"/>
    <row r="2034" ht="12" customHeight="1"/>
    <row r="2035" ht="12" customHeight="1"/>
    <row r="2036" ht="12" customHeight="1"/>
    <row r="2037" ht="12" customHeight="1"/>
    <row r="2038" ht="12" customHeight="1"/>
    <row r="2039" ht="12" customHeight="1"/>
    <row r="2040" ht="12" customHeight="1"/>
    <row r="2041" ht="12" customHeight="1"/>
    <row r="2042" ht="12" customHeight="1"/>
    <row r="2043" ht="12" customHeight="1"/>
    <row r="2044" ht="12" customHeight="1"/>
    <row r="2045" ht="12" customHeight="1"/>
    <row r="2046" ht="12" customHeight="1"/>
    <row r="2047" ht="12" customHeight="1"/>
    <row r="2048" ht="12" customHeight="1"/>
    <row r="2049" ht="12" customHeight="1"/>
    <row r="2050" ht="12" customHeight="1"/>
    <row r="2051" ht="12" customHeight="1"/>
    <row r="2052" ht="12" customHeight="1"/>
    <row r="2053" ht="12" customHeight="1"/>
    <row r="2054" ht="12" customHeight="1"/>
    <row r="2055" ht="12" customHeight="1"/>
    <row r="2056" ht="12" customHeight="1"/>
    <row r="2057" ht="12" customHeight="1"/>
    <row r="2058" ht="12" customHeight="1"/>
    <row r="2059" ht="12" customHeight="1"/>
    <row r="2060" ht="12" customHeight="1"/>
    <row r="2061" ht="12" customHeight="1"/>
    <row r="2062" ht="12" customHeight="1"/>
    <row r="2063" ht="12" customHeight="1"/>
    <row r="2064" ht="12" customHeight="1"/>
    <row r="2065" ht="12" customHeight="1"/>
    <row r="2066" ht="12" customHeight="1"/>
    <row r="2067" ht="12" customHeight="1"/>
    <row r="2068" ht="12" customHeight="1"/>
    <row r="2069" ht="12" customHeight="1"/>
    <row r="2070" ht="12" customHeight="1"/>
    <row r="2071" ht="12" customHeight="1"/>
    <row r="2072" ht="12" customHeight="1"/>
    <row r="2073" ht="12" customHeight="1"/>
    <row r="2074" ht="12" customHeight="1"/>
    <row r="2075" ht="12" customHeight="1"/>
    <row r="2076" ht="12" customHeight="1"/>
    <row r="2077" ht="12" customHeight="1"/>
    <row r="2078" ht="12" customHeight="1"/>
    <row r="2079" ht="12" customHeight="1"/>
    <row r="2080" ht="12" customHeight="1"/>
    <row r="2081" ht="12" customHeight="1"/>
    <row r="2082" ht="12" customHeight="1"/>
    <row r="2083" ht="12" customHeight="1"/>
    <row r="2084" ht="12" customHeight="1"/>
    <row r="2085" ht="12" customHeight="1"/>
    <row r="2086" ht="12" customHeight="1"/>
    <row r="2087" ht="12" customHeight="1"/>
    <row r="2088" ht="12" customHeight="1"/>
    <row r="2089" ht="12" customHeight="1"/>
    <row r="2090" ht="12" customHeight="1"/>
    <row r="2091" ht="12" customHeight="1"/>
    <row r="2092" ht="12" customHeight="1"/>
    <row r="2093" ht="12" customHeight="1"/>
    <row r="2094" ht="12" customHeight="1"/>
    <row r="2095" ht="12" customHeight="1"/>
    <row r="2096" ht="12" customHeight="1"/>
    <row r="2097" ht="12" customHeight="1"/>
    <row r="2098" ht="12" customHeight="1"/>
    <row r="2099" ht="12" customHeight="1"/>
    <row r="2100" ht="12" customHeight="1"/>
    <row r="2101" ht="12" customHeight="1"/>
    <row r="2102" ht="12" customHeight="1"/>
    <row r="2103" ht="12" customHeight="1"/>
    <row r="2104" ht="12" customHeight="1"/>
    <row r="2105" ht="12" customHeight="1"/>
    <row r="2106" ht="12" customHeight="1"/>
    <row r="2107" ht="12" customHeight="1"/>
    <row r="2108" ht="12" customHeight="1"/>
    <row r="2109" ht="12" customHeight="1"/>
    <row r="2110" ht="12" customHeight="1"/>
    <row r="2111" ht="12" customHeight="1"/>
    <row r="2112" ht="12" customHeight="1"/>
    <row r="2113" ht="12" customHeight="1"/>
    <row r="2114" ht="12" customHeight="1"/>
    <row r="2115" ht="12" customHeight="1"/>
    <row r="2116" ht="12" customHeight="1"/>
    <row r="2117" ht="12" customHeight="1"/>
    <row r="2118" ht="12" customHeight="1"/>
    <row r="2119" ht="12" customHeight="1"/>
    <row r="2120" ht="12" customHeight="1"/>
    <row r="2121" ht="12" customHeight="1"/>
    <row r="2122" ht="12" customHeight="1"/>
    <row r="2123" ht="12" customHeight="1"/>
    <row r="2124" ht="12" customHeight="1"/>
    <row r="2125" ht="12" customHeight="1"/>
    <row r="2126" ht="12" customHeight="1"/>
    <row r="2127" ht="12" customHeight="1"/>
    <row r="2128" ht="12" customHeight="1"/>
    <row r="2129" ht="12" customHeight="1"/>
    <row r="2130" ht="12" customHeight="1"/>
    <row r="2131" ht="12" customHeight="1"/>
    <row r="2132" ht="12" customHeight="1"/>
    <row r="2133" ht="12" customHeight="1"/>
    <row r="2134" ht="12" customHeight="1"/>
    <row r="2135" ht="12" customHeight="1"/>
    <row r="2136" ht="12" customHeight="1"/>
    <row r="2137" ht="12" customHeight="1"/>
    <row r="2138" ht="12" customHeight="1"/>
    <row r="2139" ht="12" customHeight="1"/>
    <row r="2140" ht="12" customHeight="1"/>
    <row r="2141" ht="12" customHeight="1"/>
    <row r="2142" ht="12" customHeight="1"/>
    <row r="2143" ht="12" customHeight="1"/>
    <row r="2144" ht="12" customHeight="1"/>
    <row r="2145" ht="12" customHeight="1"/>
    <row r="2146" ht="12" customHeight="1"/>
    <row r="2147" ht="12" customHeight="1"/>
    <row r="2148" ht="12" customHeight="1"/>
    <row r="2149" ht="12" customHeight="1"/>
    <row r="2150" ht="12" customHeight="1"/>
    <row r="2151" ht="12" customHeight="1"/>
    <row r="2152" ht="12" customHeight="1"/>
    <row r="2153" ht="12" customHeight="1"/>
    <row r="2154" ht="12" customHeight="1"/>
    <row r="2155" ht="12" customHeight="1"/>
    <row r="2156" ht="12" customHeight="1"/>
    <row r="2157" ht="12" customHeight="1"/>
    <row r="2158" ht="12" customHeight="1"/>
    <row r="2159" ht="12" customHeight="1"/>
    <row r="2160" ht="12" customHeight="1"/>
    <row r="2161" ht="12" customHeight="1"/>
    <row r="2162" ht="12" customHeight="1"/>
    <row r="2163" ht="12" customHeight="1"/>
    <row r="2164" ht="12" customHeight="1"/>
    <row r="2165" ht="12" customHeight="1"/>
    <row r="2166" ht="12" customHeight="1"/>
    <row r="2167" ht="12" customHeight="1"/>
    <row r="2168" ht="12" customHeight="1"/>
    <row r="2169" ht="12" customHeight="1"/>
    <row r="2170" ht="12" customHeight="1"/>
    <row r="2171" ht="12" customHeight="1"/>
    <row r="2172" ht="12" customHeight="1"/>
    <row r="2173" ht="12" customHeight="1"/>
    <row r="2174" ht="12" customHeight="1"/>
    <row r="2175" ht="12" customHeight="1"/>
    <row r="2176" ht="12" customHeight="1"/>
    <row r="2177" ht="12" customHeight="1"/>
    <row r="2178" ht="12" customHeight="1"/>
    <row r="2179" ht="12" customHeight="1"/>
    <row r="2180" ht="12" customHeight="1"/>
    <row r="2181" ht="12" customHeight="1"/>
    <row r="2182" ht="12" customHeight="1"/>
    <row r="2183" ht="12" customHeight="1"/>
    <row r="2184" ht="12" customHeight="1"/>
    <row r="2185" ht="12" customHeight="1"/>
    <row r="2186" ht="12" customHeight="1"/>
    <row r="2187" ht="12" customHeight="1"/>
    <row r="2188" ht="12" customHeight="1"/>
    <row r="2189" ht="12" customHeight="1"/>
    <row r="2190" ht="12" customHeight="1"/>
    <row r="2191" ht="12" customHeight="1"/>
    <row r="2192" ht="12" customHeight="1"/>
    <row r="2193" ht="12" customHeight="1"/>
    <row r="2194" ht="12" customHeight="1"/>
    <row r="2195" ht="12" customHeight="1"/>
    <row r="2196" ht="12" customHeight="1"/>
    <row r="2197" ht="12" customHeight="1"/>
    <row r="2198" ht="12" customHeight="1"/>
    <row r="2199" ht="12" customHeight="1"/>
    <row r="2200" ht="12" customHeight="1"/>
    <row r="2201" ht="12" customHeight="1"/>
    <row r="2202" ht="12" customHeight="1"/>
    <row r="2203" ht="12" customHeight="1"/>
    <row r="2204" ht="12" customHeight="1"/>
    <row r="2205" ht="12" customHeight="1"/>
    <row r="2206" ht="12" customHeight="1"/>
    <row r="2207" ht="12" customHeight="1"/>
    <row r="2208" ht="12" customHeight="1"/>
    <row r="2209" ht="12" customHeight="1"/>
    <row r="2210" ht="12" customHeight="1"/>
    <row r="2211" ht="12" customHeight="1"/>
    <row r="2212" ht="12" customHeight="1"/>
    <row r="2213" ht="12" customHeight="1"/>
    <row r="2214" ht="12" customHeight="1"/>
    <row r="2215" ht="12" customHeight="1"/>
    <row r="2216" ht="12" customHeight="1"/>
    <row r="2217" ht="12" customHeight="1"/>
    <row r="2218" ht="12" customHeight="1"/>
    <row r="2219" ht="12" customHeight="1"/>
    <row r="2220" ht="12" customHeight="1"/>
    <row r="2221" ht="12" customHeight="1"/>
    <row r="2222" ht="12" customHeight="1"/>
    <row r="2223" ht="12" customHeight="1"/>
    <row r="2224" ht="12" customHeight="1"/>
    <row r="2225" ht="12" customHeight="1"/>
    <row r="2226" ht="12" customHeight="1"/>
    <row r="2227" ht="12" customHeight="1"/>
    <row r="2228" ht="12" customHeight="1"/>
    <row r="2229" ht="12" customHeight="1"/>
    <row r="2230" ht="12" customHeight="1"/>
    <row r="2231" ht="12" customHeight="1"/>
    <row r="2232" ht="12" customHeight="1"/>
    <row r="2233" ht="12" customHeight="1"/>
    <row r="2234" ht="12" customHeight="1"/>
    <row r="2235" ht="12" customHeight="1"/>
    <row r="2236" ht="12" customHeight="1"/>
    <row r="2237" ht="12" customHeight="1"/>
    <row r="2238" ht="12" customHeight="1"/>
    <row r="2239" ht="12" customHeight="1"/>
    <row r="2240" ht="12" customHeight="1"/>
    <row r="2241" ht="12" customHeight="1"/>
    <row r="2242" ht="12" customHeight="1"/>
    <row r="2243" ht="12" customHeight="1"/>
    <row r="2244" ht="12" customHeight="1"/>
    <row r="2245" ht="12" customHeight="1"/>
    <row r="2246" ht="12" customHeight="1"/>
    <row r="2247" ht="12" customHeight="1"/>
    <row r="2248" ht="12" customHeight="1"/>
    <row r="2249" ht="12" customHeight="1"/>
    <row r="2250" ht="12" customHeight="1"/>
    <row r="2251" ht="12" customHeight="1"/>
    <row r="2252" ht="12" customHeight="1"/>
    <row r="2253" ht="12" customHeight="1"/>
    <row r="2254" ht="12" customHeight="1"/>
    <row r="2255" ht="12" customHeight="1"/>
    <row r="2256" ht="12" customHeight="1"/>
    <row r="2257" ht="12" customHeight="1"/>
    <row r="2258" ht="12" customHeight="1"/>
    <row r="2259" ht="12" customHeight="1"/>
    <row r="2260" ht="12" customHeight="1"/>
    <row r="2261" ht="12" customHeight="1"/>
    <row r="2262" ht="12" customHeight="1"/>
    <row r="2263" ht="12" customHeight="1"/>
    <row r="2264" ht="12" customHeight="1"/>
    <row r="2265" ht="12" customHeight="1"/>
    <row r="2266" ht="12" customHeight="1"/>
    <row r="2267" ht="12" customHeight="1"/>
    <row r="2268" ht="12" customHeight="1"/>
    <row r="2269" ht="12" customHeight="1"/>
    <row r="2270" ht="12" customHeight="1"/>
    <row r="2271" ht="12" customHeight="1"/>
    <row r="2272" ht="12" customHeight="1"/>
    <row r="2273" ht="12" customHeight="1"/>
    <row r="2274" ht="12" customHeight="1"/>
    <row r="2275" ht="12" customHeight="1"/>
    <row r="2276" ht="12" customHeight="1"/>
    <row r="2277" ht="12" customHeight="1"/>
    <row r="2278" ht="12" customHeight="1"/>
    <row r="2279" ht="12" customHeight="1"/>
    <row r="2280" ht="12" customHeight="1"/>
    <row r="2281" ht="12" customHeight="1"/>
    <row r="2282" ht="12" customHeight="1"/>
    <row r="2283" ht="12" customHeight="1"/>
    <row r="2284" ht="12" customHeight="1"/>
    <row r="2285" ht="12" customHeight="1"/>
    <row r="2286" ht="12" customHeight="1"/>
    <row r="2287" ht="12" customHeight="1"/>
    <row r="2288" ht="12" customHeight="1"/>
    <row r="2289" ht="12" customHeight="1"/>
    <row r="2290" ht="12" customHeight="1"/>
    <row r="2291" ht="12" customHeight="1"/>
    <row r="2292" ht="12" customHeight="1"/>
    <row r="2293" ht="12" customHeight="1"/>
    <row r="2294" ht="12" customHeight="1"/>
    <row r="2295" ht="12" customHeight="1"/>
    <row r="2296" ht="12" customHeight="1"/>
    <row r="2297" ht="12" customHeight="1"/>
    <row r="2298" ht="12" customHeight="1"/>
    <row r="2299" ht="12" customHeight="1"/>
    <row r="2300" ht="12" customHeight="1"/>
    <row r="2301" ht="12" customHeight="1"/>
    <row r="2302" ht="12" customHeight="1"/>
    <row r="2303" ht="12" customHeight="1"/>
    <row r="2304" ht="12" customHeight="1"/>
    <row r="2305" ht="12" customHeight="1"/>
    <row r="2306" ht="12" customHeight="1"/>
    <row r="2307" ht="12" customHeight="1"/>
    <row r="2308" ht="12" customHeight="1"/>
    <row r="2309" ht="12" customHeight="1"/>
    <row r="2310" ht="12" customHeight="1"/>
    <row r="2311" ht="12" customHeight="1"/>
    <row r="2312" ht="12" customHeight="1"/>
    <row r="2313" ht="12" customHeight="1"/>
    <row r="2314" ht="12" customHeight="1"/>
    <row r="2315" ht="12" customHeight="1"/>
    <row r="2316" ht="12" customHeight="1"/>
    <row r="2317" ht="12" customHeight="1"/>
    <row r="2318" ht="12" customHeight="1"/>
    <row r="2319" ht="12" customHeight="1"/>
    <row r="2320" ht="12" customHeight="1"/>
    <row r="2321" ht="12" customHeight="1"/>
    <row r="2322" ht="12" customHeight="1"/>
    <row r="2323" ht="12" customHeight="1"/>
    <row r="2324" ht="12" customHeight="1"/>
    <row r="2325" ht="12" customHeight="1"/>
    <row r="2326" ht="12" customHeight="1"/>
    <row r="2327" ht="12" customHeight="1"/>
    <row r="2328" ht="12" customHeight="1"/>
    <row r="2329" ht="12" customHeight="1"/>
    <row r="2330" ht="12" customHeight="1"/>
    <row r="2331" ht="12" customHeight="1"/>
    <row r="2332" ht="12" customHeight="1"/>
    <row r="2333" ht="12" customHeight="1"/>
    <row r="2334" ht="12" customHeight="1"/>
    <row r="2335" ht="12" customHeight="1"/>
    <row r="2336" ht="12" customHeight="1"/>
    <row r="2337" ht="12" customHeight="1"/>
    <row r="2338" ht="12" customHeight="1"/>
    <row r="2339" ht="12" customHeight="1"/>
    <row r="2340" ht="12" customHeight="1"/>
    <row r="2341" ht="12" customHeight="1"/>
    <row r="2342" ht="12" customHeight="1"/>
    <row r="2343" ht="12" customHeight="1"/>
    <row r="2344" ht="12" customHeight="1"/>
    <row r="2345" ht="12" customHeight="1"/>
    <row r="2346" ht="12" customHeight="1"/>
    <row r="2347" ht="12" customHeight="1"/>
    <row r="2348" ht="12" customHeight="1"/>
    <row r="2349" ht="12" customHeight="1"/>
    <row r="2350" ht="12" customHeight="1"/>
    <row r="2351" ht="12" customHeight="1"/>
    <row r="2352" ht="12" customHeight="1"/>
    <row r="2353" ht="12" customHeight="1"/>
    <row r="2354" ht="12" customHeight="1"/>
    <row r="2355" ht="12" customHeight="1"/>
    <row r="2356" ht="12" customHeight="1"/>
    <row r="2357" ht="12" customHeight="1"/>
    <row r="2358" ht="12" customHeight="1"/>
    <row r="2359" ht="12" customHeight="1"/>
    <row r="2360" ht="12" customHeight="1"/>
    <row r="2361" ht="12" customHeight="1"/>
    <row r="2362" ht="12" customHeight="1"/>
    <row r="2363" ht="12" customHeight="1"/>
    <row r="2364" ht="12" customHeight="1"/>
    <row r="2365" ht="12" customHeight="1"/>
    <row r="2366" ht="12" customHeight="1"/>
    <row r="2367" ht="12" customHeight="1"/>
    <row r="2368" ht="12" customHeight="1"/>
    <row r="2369" ht="12" customHeight="1"/>
    <row r="2370" ht="12" customHeight="1"/>
    <row r="2371" ht="12" customHeight="1"/>
    <row r="2372" ht="12" customHeight="1"/>
    <row r="2373" ht="12" customHeight="1"/>
    <row r="2374" ht="12" customHeight="1"/>
    <row r="2375" ht="12" customHeight="1"/>
    <row r="2376" ht="12" customHeight="1"/>
    <row r="2377" ht="12" customHeight="1"/>
    <row r="2378" ht="12" customHeight="1"/>
    <row r="2379" ht="12" customHeight="1"/>
    <row r="2380" ht="12" customHeight="1"/>
    <row r="2381" ht="12" customHeight="1"/>
    <row r="2382" ht="12" customHeight="1"/>
    <row r="2383" ht="12" customHeight="1"/>
    <row r="2384" ht="12" customHeight="1"/>
    <row r="2385" ht="12" customHeight="1"/>
    <row r="2386" ht="12" customHeight="1"/>
    <row r="2387" ht="12" customHeight="1"/>
    <row r="2388" ht="12" customHeight="1"/>
    <row r="2389" ht="12" customHeight="1"/>
    <row r="2390" ht="12" customHeight="1"/>
    <row r="2391" ht="12" customHeight="1"/>
    <row r="2392" ht="12" customHeight="1"/>
    <row r="2393" ht="12" customHeight="1"/>
    <row r="2394" ht="12" customHeight="1"/>
    <row r="2395" ht="12" customHeight="1"/>
    <row r="2396" ht="12" customHeight="1"/>
    <row r="2397" ht="12" customHeight="1"/>
    <row r="2398" ht="12" customHeight="1"/>
    <row r="2399" ht="12" customHeight="1"/>
    <row r="2400" ht="12" customHeight="1"/>
    <row r="2401" ht="12" customHeight="1"/>
    <row r="2402" ht="12" customHeight="1"/>
    <row r="2403" ht="12" customHeight="1"/>
    <row r="2404" ht="12" customHeight="1"/>
    <row r="2405" ht="12" customHeight="1"/>
    <row r="2406" ht="12" customHeight="1"/>
    <row r="2407" ht="12" customHeight="1"/>
    <row r="2408" ht="12" customHeight="1"/>
    <row r="2409" ht="12" customHeight="1"/>
    <row r="2410" ht="12" customHeight="1"/>
    <row r="2411" ht="12" customHeight="1"/>
    <row r="2412" ht="12" customHeight="1"/>
    <row r="2413" ht="12" customHeight="1"/>
    <row r="2414" ht="12" customHeight="1"/>
    <row r="2415" ht="12" customHeight="1"/>
    <row r="2416" ht="12" customHeight="1"/>
    <row r="2417" ht="12" customHeight="1"/>
    <row r="2418" ht="12" customHeight="1"/>
    <row r="2419" ht="12" customHeight="1"/>
    <row r="2420" ht="12" customHeight="1"/>
    <row r="2421" ht="12" customHeight="1"/>
    <row r="2422" ht="12" customHeight="1"/>
    <row r="2423" ht="12" customHeight="1"/>
    <row r="2424" ht="12" customHeight="1"/>
    <row r="2425" ht="12" customHeight="1"/>
    <row r="2426" ht="12" customHeight="1"/>
    <row r="2427" ht="12" customHeight="1"/>
    <row r="2428" ht="12" customHeight="1"/>
    <row r="2429" ht="12" customHeight="1"/>
    <row r="2430" ht="12" customHeight="1"/>
    <row r="2431" ht="12" customHeight="1"/>
    <row r="2432" ht="12" customHeight="1"/>
    <row r="2433" ht="12" customHeight="1"/>
    <row r="2434" ht="12" customHeight="1"/>
    <row r="2435" ht="12" customHeight="1"/>
    <row r="2436" ht="12" customHeight="1"/>
    <row r="2437" ht="12" customHeight="1"/>
    <row r="2438" ht="12" customHeight="1"/>
    <row r="2439" ht="12" customHeight="1"/>
    <row r="2440" ht="12" customHeight="1"/>
    <row r="2441" ht="12" customHeight="1"/>
    <row r="2442" ht="12" customHeight="1"/>
    <row r="2443" ht="12" customHeight="1"/>
    <row r="2444" ht="12" customHeight="1"/>
    <row r="2445" ht="12" customHeight="1"/>
    <row r="2446" ht="12" customHeight="1"/>
    <row r="2447" ht="12" customHeight="1"/>
    <row r="2448" ht="12" customHeight="1"/>
    <row r="2449" ht="12" customHeight="1"/>
    <row r="2450" ht="12" customHeight="1"/>
    <row r="2451" ht="12" customHeight="1"/>
    <row r="2452" ht="12" customHeight="1"/>
    <row r="2453" ht="12" customHeight="1"/>
    <row r="2454" ht="12" customHeight="1"/>
    <row r="2455" ht="12" customHeight="1"/>
    <row r="2456" ht="12" customHeight="1"/>
    <row r="2457" ht="12" customHeight="1"/>
    <row r="2458" ht="12" customHeight="1"/>
    <row r="2459" ht="12" customHeight="1"/>
    <row r="2460" ht="12" customHeight="1"/>
    <row r="2461" ht="12" customHeight="1"/>
    <row r="2462" ht="12" customHeight="1"/>
    <row r="2463" ht="12" customHeight="1"/>
    <row r="2464" ht="12" customHeight="1"/>
    <row r="2465" ht="12" customHeight="1"/>
    <row r="2466" ht="12" customHeight="1"/>
    <row r="2467" ht="12" customHeight="1"/>
    <row r="2468" ht="12" customHeight="1"/>
    <row r="2469" ht="12" customHeight="1"/>
    <row r="2470" ht="12" customHeight="1"/>
    <row r="2471" ht="12" customHeight="1"/>
    <row r="2472" ht="12" customHeight="1"/>
    <row r="2473" ht="12" customHeight="1"/>
    <row r="2474" ht="12" customHeight="1"/>
    <row r="2475" ht="12" customHeight="1"/>
    <row r="2476" ht="12" customHeight="1"/>
    <row r="2477" ht="12" customHeight="1"/>
    <row r="2478" ht="12" customHeight="1"/>
    <row r="2479" ht="12" customHeight="1"/>
    <row r="2480" ht="12" customHeight="1"/>
    <row r="2481" ht="12" customHeight="1"/>
    <row r="2482" ht="12" customHeight="1"/>
    <row r="2483" ht="12" customHeight="1"/>
    <row r="2484" ht="12" customHeight="1"/>
    <row r="2485" ht="12" customHeight="1"/>
    <row r="2486" ht="12" customHeight="1"/>
    <row r="2487" ht="12" customHeight="1"/>
    <row r="2488" ht="12" customHeight="1"/>
    <row r="2489" ht="12" customHeight="1"/>
    <row r="2490" ht="12" customHeight="1"/>
    <row r="2491" ht="12" customHeight="1"/>
    <row r="2492" ht="12" customHeight="1"/>
    <row r="2493" ht="12" customHeight="1"/>
    <row r="2494" ht="12" customHeight="1"/>
    <row r="2495" ht="12" customHeight="1"/>
    <row r="2496" ht="12" customHeight="1"/>
    <row r="2497" ht="12" customHeight="1"/>
    <row r="2498" ht="12" customHeight="1"/>
    <row r="2499" ht="12" customHeight="1"/>
    <row r="2500" ht="12" customHeight="1"/>
    <row r="2501" ht="12" customHeight="1"/>
    <row r="2502" ht="12" customHeight="1"/>
    <row r="2503" ht="12" customHeight="1"/>
    <row r="2504" ht="12" customHeight="1"/>
    <row r="2505" ht="12" customHeight="1"/>
    <row r="2506" ht="12" customHeight="1"/>
    <row r="2507" ht="12" customHeight="1"/>
    <row r="2508" ht="12" customHeight="1"/>
    <row r="2509" ht="12" customHeight="1"/>
    <row r="2510" ht="12" customHeight="1"/>
    <row r="2511" ht="12" customHeight="1"/>
    <row r="2512" ht="12" customHeight="1"/>
    <row r="2513" ht="12" customHeight="1"/>
    <row r="2514" ht="12" customHeight="1"/>
    <row r="2515" ht="12" customHeight="1"/>
    <row r="2516" ht="12" customHeight="1"/>
    <row r="2517" ht="12" customHeight="1"/>
    <row r="2518" ht="12" customHeight="1"/>
    <row r="2519" ht="12" customHeight="1"/>
    <row r="2520" ht="12" customHeight="1"/>
    <row r="2521" ht="12" customHeight="1"/>
    <row r="2522" ht="12" customHeight="1"/>
    <row r="2523" ht="12" customHeight="1"/>
    <row r="2524" ht="12" customHeight="1"/>
    <row r="2525" ht="12" customHeight="1"/>
    <row r="2526" ht="12" customHeight="1"/>
    <row r="2527" ht="12" customHeight="1"/>
    <row r="2528" ht="12" customHeight="1"/>
    <row r="2529" ht="12" customHeight="1"/>
    <row r="2530" ht="12" customHeight="1"/>
    <row r="2531" ht="12" customHeight="1"/>
    <row r="2532" ht="12" customHeight="1"/>
    <row r="2533" ht="12" customHeight="1"/>
    <row r="2534" ht="12" customHeight="1"/>
    <row r="2535" ht="12" customHeight="1"/>
    <row r="2536" ht="12" customHeight="1"/>
    <row r="2537" ht="12" customHeight="1"/>
    <row r="2538" ht="12" customHeight="1"/>
    <row r="2539" ht="12" customHeight="1"/>
    <row r="2540" ht="12" customHeight="1"/>
    <row r="2541" ht="12" customHeight="1"/>
    <row r="2542" ht="12" customHeight="1"/>
    <row r="2543" ht="12" customHeight="1"/>
    <row r="2544" ht="12" customHeight="1"/>
    <row r="2545" ht="12" customHeight="1"/>
    <row r="2546" ht="12" customHeight="1"/>
    <row r="2547" ht="12" customHeight="1"/>
    <row r="2548" ht="12" customHeight="1"/>
    <row r="2549" ht="12" customHeight="1"/>
    <row r="2550" ht="12" customHeight="1"/>
    <row r="2551" ht="12" customHeight="1"/>
    <row r="2552" ht="12" customHeight="1"/>
    <row r="2553" ht="12" customHeight="1"/>
    <row r="2554" ht="12" customHeight="1"/>
    <row r="2555" ht="12" customHeight="1"/>
    <row r="2556" ht="12" customHeight="1"/>
    <row r="2557" ht="12" customHeight="1"/>
    <row r="2558" ht="12" customHeight="1"/>
    <row r="2559" ht="12" customHeight="1"/>
    <row r="2560" ht="12" customHeight="1"/>
    <row r="2561" ht="12" customHeight="1"/>
    <row r="2562" ht="12" customHeight="1"/>
    <row r="2563" ht="12" customHeight="1"/>
    <row r="2564" ht="12" customHeight="1"/>
    <row r="2565" ht="12" customHeight="1"/>
    <row r="2566" ht="12" customHeight="1"/>
    <row r="2567" ht="12" customHeight="1"/>
    <row r="2568" ht="12" customHeight="1"/>
    <row r="2569" ht="12" customHeight="1"/>
    <row r="2570" ht="12" customHeight="1"/>
    <row r="2571" ht="12" customHeight="1"/>
    <row r="2572" ht="12" customHeight="1"/>
    <row r="2573" ht="12" customHeight="1"/>
    <row r="2574" ht="12" customHeight="1"/>
    <row r="2575" ht="12" customHeight="1"/>
    <row r="2576" ht="12" customHeight="1"/>
    <row r="2577" ht="12" customHeight="1"/>
    <row r="2578" ht="12" customHeight="1"/>
    <row r="2579" ht="12" customHeight="1"/>
    <row r="2580" ht="12" customHeight="1"/>
    <row r="2581" ht="12" customHeight="1"/>
    <row r="2582" ht="12" customHeight="1"/>
    <row r="2583" ht="12" customHeight="1"/>
    <row r="2584" ht="12" customHeight="1"/>
    <row r="2585" ht="12" customHeight="1"/>
    <row r="2586" ht="12" customHeight="1"/>
    <row r="2587" ht="12" customHeight="1"/>
    <row r="2588" ht="12" customHeight="1"/>
    <row r="2589" ht="12" customHeight="1"/>
    <row r="2590" ht="12" customHeight="1"/>
    <row r="2591" ht="12" customHeight="1"/>
    <row r="2592" ht="12" customHeight="1"/>
    <row r="2593" ht="12" customHeight="1"/>
    <row r="2594" ht="12" customHeight="1"/>
    <row r="2595" ht="12" customHeight="1"/>
    <row r="2596" ht="12" customHeight="1"/>
    <row r="2597" ht="12" customHeight="1"/>
    <row r="2598" ht="12" customHeight="1"/>
    <row r="2599" ht="12" customHeight="1"/>
    <row r="2600" ht="12" customHeight="1"/>
    <row r="2601" ht="12" customHeight="1"/>
    <row r="2602" ht="12" customHeight="1"/>
    <row r="2603" ht="12" customHeight="1"/>
    <row r="2604" ht="12" customHeight="1"/>
    <row r="2605" ht="12" customHeight="1"/>
    <row r="2606" ht="12" customHeight="1"/>
    <row r="2607" ht="12" customHeight="1"/>
    <row r="2608" ht="12" customHeight="1"/>
    <row r="2609" ht="12" customHeight="1"/>
    <row r="2610" ht="12" customHeight="1"/>
    <row r="2611" ht="12" customHeight="1"/>
    <row r="2612" ht="12" customHeight="1"/>
    <row r="2613" ht="12" customHeight="1"/>
    <row r="2614" ht="12" customHeight="1"/>
    <row r="2615" ht="12" customHeight="1"/>
    <row r="2616" ht="12" customHeight="1"/>
    <row r="2617" ht="12" customHeight="1"/>
    <row r="2618" ht="12" customHeight="1"/>
    <row r="2619" ht="12" customHeight="1"/>
    <row r="2620" ht="12" customHeight="1"/>
    <row r="2621" ht="12" customHeight="1"/>
    <row r="2622" ht="12" customHeight="1"/>
    <row r="2623" ht="12" customHeight="1"/>
    <row r="2624" ht="12" customHeight="1"/>
    <row r="2625" ht="12" customHeight="1"/>
    <row r="2626" ht="12" customHeight="1"/>
    <row r="2627" ht="12" customHeight="1"/>
    <row r="2628" ht="12" customHeight="1"/>
    <row r="2629" ht="12" customHeight="1"/>
    <row r="2630" ht="12" customHeight="1"/>
    <row r="2631" ht="12" customHeight="1"/>
    <row r="2632" ht="12" customHeight="1"/>
    <row r="2633" ht="12" customHeight="1"/>
    <row r="2634" ht="12" customHeight="1"/>
    <row r="2635" ht="12" customHeight="1"/>
    <row r="2636" ht="12" customHeight="1"/>
    <row r="2637" ht="12" customHeight="1"/>
    <row r="2638" ht="12" customHeight="1"/>
    <row r="2639" ht="12" customHeight="1"/>
    <row r="2640" ht="12" customHeight="1"/>
    <row r="2641" ht="12" customHeight="1"/>
    <row r="2642" ht="12" customHeight="1"/>
    <row r="2643" ht="12" customHeight="1"/>
    <row r="2644" ht="12" customHeight="1"/>
    <row r="2645" ht="12" customHeight="1"/>
    <row r="2646" ht="12" customHeight="1"/>
    <row r="2647" ht="12" customHeight="1"/>
    <row r="2648" ht="12" customHeight="1"/>
    <row r="2649" ht="12" customHeight="1"/>
    <row r="2650" ht="12" customHeight="1"/>
    <row r="2651" ht="12" customHeight="1"/>
    <row r="2652" ht="12" customHeight="1"/>
    <row r="2653" ht="12" customHeight="1"/>
    <row r="2654" ht="12" customHeight="1"/>
    <row r="2655" ht="12" customHeight="1"/>
    <row r="2656" ht="12" customHeight="1"/>
    <row r="2657" ht="12" customHeight="1"/>
    <row r="2658" ht="12" customHeight="1"/>
    <row r="2659" ht="12" customHeight="1"/>
    <row r="2660" ht="12" customHeight="1"/>
    <row r="2661" ht="12" customHeight="1"/>
    <row r="2662" ht="12" customHeight="1"/>
    <row r="2663" ht="12" customHeight="1"/>
    <row r="2664" ht="12" customHeight="1"/>
    <row r="2665" ht="12" customHeight="1"/>
    <row r="2666" ht="12" customHeight="1"/>
    <row r="2667" ht="12" customHeight="1"/>
    <row r="2668" ht="12" customHeight="1"/>
    <row r="2669" ht="12" customHeight="1"/>
    <row r="2670" ht="12" customHeight="1"/>
    <row r="2671" ht="12" customHeight="1"/>
    <row r="2672" ht="12" customHeight="1"/>
    <row r="2673" ht="12" customHeight="1"/>
    <row r="2674" ht="12" customHeight="1"/>
    <row r="2675" ht="12" customHeight="1"/>
    <row r="2676" ht="12" customHeight="1"/>
    <row r="2677" ht="12" customHeight="1"/>
    <row r="2678" ht="12" customHeight="1"/>
    <row r="2679" ht="12" customHeight="1"/>
    <row r="2680" ht="12" customHeight="1"/>
    <row r="2681" ht="12" customHeight="1"/>
    <row r="2682" ht="12" customHeight="1"/>
    <row r="2683" ht="12" customHeight="1"/>
    <row r="2684" ht="12" customHeight="1"/>
    <row r="2685" ht="12" customHeight="1"/>
    <row r="2686" ht="12" customHeight="1"/>
    <row r="2687" ht="12" customHeight="1"/>
    <row r="2688" ht="12" customHeight="1"/>
    <row r="2689" ht="12" customHeight="1"/>
    <row r="2690" ht="12" customHeight="1"/>
    <row r="2691" ht="12" customHeight="1"/>
    <row r="2692" ht="12" customHeight="1"/>
    <row r="2693" ht="12" customHeight="1"/>
    <row r="2694" ht="12" customHeight="1"/>
    <row r="2695" ht="12" customHeight="1"/>
    <row r="2696" ht="12" customHeight="1"/>
    <row r="2697" ht="12" customHeight="1"/>
    <row r="2698" ht="12" customHeight="1"/>
    <row r="2699" ht="12" customHeight="1"/>
    <row r="2700" ht="12" customHeight="1"/>
    <row r="2701" ht="12" customHeight="1"/>
    <row r="2702" ht="12" customHeight="1"/>
    <row r="2703" ht="12" customHeight="1"/>
    <row r="2704" ht="12" customHeight="1"/>
    <row r="2705" ht="12" customHeight="1"/>
    <row r="2706" ht="12" customHeight="1"/>
    <row r="2707" ht="12" customHeight="1"/>
    <row r="2708" ht="12" customHeight="1"/>
    <row r="2709" ht="12" customHeight="1"/>
    <row r="2710" ht="12" customHeight="1"/>
    <row r="2711" ht="12" customHeight="1"/>
    <row r="2712" ht="12" customHeight="1"/>
    <row r="2713" ht="12" customHeight="1"/>
    <row r="2714" ht="12" customHeight="1"/>
    <row r="2715" ht="12" customHeight="1"/>
    <row r="2716" ht="12" customHeight="1"/>
    <row r="2717" ht="12" customHeight="1"/>
    <row r="2718" ht="12" customHeight="1"/>
    <row r="2719" ht="12" customHeight="1"/>
    <row r="2720" ht="12" customHeight="1"/>
    <row r="2721" ht="12" customHeight="1"/>
    <row r="2722" ht="12" customHeight="1"/>
    <row r="2723" ht="12" customHeight="1"/>
    <row r="2724" ht="12" customHeight="1"/>
    <row r="2725" ht="12" customHeight="1"/>
    <row r="2726" ht="12" customHeight="1"/>
    <row r="2727" ht="12" customHeight="1"/>
    <row r="2728" ht="12" customHeight="1"/>
    <row r="2729" ht="12" customHeight="1"/>
    <row r="2730" ht="12" customHeight="1"/>
    <row r="2731" ht="12" customHeight="1"/>
    <row r="2732" ht="12" customHeight="1"/>
    <row r="2733" ht="12" customHeight="1"/>
    <row r="2734" ht="12" customHeight="1"/>
    <row r="2735" ht="12" customHeight="1"/>
    <row r="2736" ht="12" customHeight="1"/>
    <row r="2737" ht="12" customHeight="1"/>
    <row r="2738" ht="12" customHeight="1"/>
    <row r="2739" ht="12" customHeight="1"/>
    <row r="2740" ht="12" customHeight="1"/>
    <row r="2741" ht="12" customHeight="1"/>
    <row r="2742" ht="12" customHeight="1"/>
    <row r="2743" ht="12" customHeight="1"/>
    <row r="2744" ht="12" customHeight="1"/>
    <row r="2745" ht="12" customHeight="1"/>
    <row r="2746" ht="12" customHeight="1"/>
    <row r="2747" ht="12" customHeight="1"/>
    <row r="2748" ht="12" customHeight="1"/>
    <row r="2749" ht="12" customHeight="1"/>
    <row r="2750" ht="12" customHeight="1"/>
    <row r="2751" ht="12" customHeight="1"/>
    <row r="2752" ht="12" customHeight="1"/>
    <row r="2753" ht="12" customHeight="1"/>
    <row r="2754" ht="12" customHeight="1"/>
    <row r="2755" ht="12" customHeight="1"/>
    <row r="2756" ht="12" customHeight="1"/>
    <row r="2757" ht="12" customHeight="1"/>
    <row r="2758" ht="12" customHeight="1"/>
    <row r="2759" ht="12" customHeight="1"/>
    <row r="2760" ht="12" customHeight="1"/>
    <row r="2761" ht="12" customHeight="1"/>
    <row r="2762" ht="12" customHeight="1"/>
    <row r="2763" ht="12" customHeight="1"/>
    <row r="2764" ht="12" customHeight="1"/>
    <row r="2765" ht="12" customHeight="1"/>
    <row r="2766" ht="12" customHeight="1"/>
    <row r="2767" ht="12" customHeight="1"/>
    <row r="2768" ht="12" customHeight="1"/>
    <row r="2769" ht="12" customHeight="1"/>
    <row r="2770" ht="12" customHeight="1"/>
    <row r="2771" ht="12" customHeight="1"/>
    <row r="2772" ht="12" customHeight="1"/>
    <row r="2773" ht="12" customHeight="1"/>
    <row r="2774" ht="12" customHeight="1"/>
    <row r="2775" ht="12" customHeight="1"/>
    <row r="2776" ht="12" customHeight="1"/>
    <row r="2777" ht="12" customHeight="1"/>
    <row r="2778" ht="12" customHeight="1"/>
    <row r="2779" ht="12" customHeight="1"/>
    <row r="2780" ht="12" customHeight="1"/>
    <row r="2781" ht="12" customHeight="1"/>
    <row r="2782" ht="12" customHeight="1"/>
    <row r="2783" ht="12" customHeight="1"/>
    <row r="2784" ht="12" customHeight="1"/>
    <row r="2785" ht="12" customHeight="1"/>
    <row r="2786" ht="12" customHeight="1"/>
    <row r="2787" ht="12" customHeight="1"/>
    <row r="2788" ht="12" customHeight="1"/>
    <row r="2789" ht="12" customHeight="1"/>
    <row r="2790" ht="12" customHeight="1"/>
    <row r="2791" ht="12" customHeight="1"/>
    <row r="2792" ht="12" customHeight="1"/>
    <row r="2793" ht="12" customHeight="1"/>
    <row r="2794" ht="12" customHeight="1"/>
    <row r="2795" ht="12" customHeight="1"/>
    <row r="2796" ht="12" customHeight="1"/>
    <row r="2797" ht="12" customHeight="1"/>
    <row r="2798" ht="12" customHeight="1"/>
    <row r="2799" ht="12" customHeight="1"/>
    <row r="2800" ht="12" customHeight="1"/>
    <row r="2801" ht="12" customHeight="1"/>
    <row r="2802" ht="12" customHeight="1"/>
    <row r="2803" ht="12" customHeight="1"/>
    <row r="2804" ht="12" customHeight="1"/>
    <row r="2805" ht="12" customHeight="1"/>
    <row r="2806" ht="12" customHeight="1"/>
    <row r="2807" ht="12" customHeight="1"/>
    <row r="2808" ht="12" customHeight="1"/>
    <row r="2809" ht="12" customHeight="1"/>
    <row r="2810" ht="12" customHeight="1"/>
    <row r="2811" ht="12" customHeight="1"/>
    <row r="2812" ht="12" customHeight="1"/>
    <row r="2813" ht="12" customHeight="1"/>
    <row r="2814" ht="12" customHeight="1"/>
    <row r="2815" ht="12" customHeight="1"/>
    <row r="2816" ht="12" customHeight="1"/>
    <row r="2817" ht="12" customHeight="1"/>
    <row r="2818" ht="12" customHeight="1"/>
    <row r="2819" ht="12" customHeight="1"/>
    <row r="2820" ht="12" customHeight="1"/>
    <row r="2821" ht="12" customHeight="1"/>
    <row r="2822" ht="12" customHeight="1"/>
    <row r="2823" ht="12" customHeight="1"/>
    <row r="2824" ht="12" customHeight="1"/>
    <row r="2825" ht="12" customHeight="1"/>
    <row r="2826" ht="12" customHeight="1"/>
    <row r="2827" ht="12" customHeight="1"/>
    <row r="2828" ht="12" customHeight="1"/>
    <row r="2829" ht="12" customHeight="1"/>
    <row r="2830" ht="12" customHeight="1"/>
    <row r="2831" ht="12" customHeight="1"/>
    <row r="2832" ht="12" customHeight="1"/>
    <row r="2833" ht="12" customHeight="1"/>
    <row r="2834" ht="12" customHeight="1"/>
    <row r="2835" ht="12" customHeight="1"/>
    <row r="2836" ht="12" customHeight="1"/>
    <row r="2837" ht="12" customHeight="1"/>
    <row r="2838" ht="12" customHeight="1"/>
    <row r="2839" ht="12" customHeight="1"/>
    <row r="2840" ht="12" customHeight="1"/>
    <row r="2841" ht="12" customHeight="1"/>
    <row r="2842" ht="12" customHeight="1"/>
    <row r="2843" ht="12" customHeight="1"/>
    <row r="2844" ht="12" customHeight="1"/>
    <row r="2845" ht="12" customHeight="1"/>
    <row r="2846" ht="12" customHeight="1"/>
    <row r="2847" ht="12" customHeight="1"/>
    <row r="2848" ht="12" customHeight="1"/>
    <row r="2849" ht="12" customHeight="1"/>
    <row r="2850" ht="12" customHeight="1"/>
    <row r="2851" ht="12" customHeight="1"/>
    <row r="2852" ht="12" customHeight="1"/>
    <row r="2853" ht="12" customHeight="1"/>
    <row r="2854" ht="12" customHeight="1"/>
    <row r="2855" ht="12" customHeight="1"/>
    <row r="2856" ht="12" customHeight="1"/>
    <row r="2857" ht="12" customHeight="1"/>
    <row r="2858" ht="12" customHeight="1"/>
    <row r="2859" ht="12" customHeight="1"/>
    <row r="2860" ht="12" customHeight="1"/>
    <row r="2861" ht="12" customHeight="1"/>
    <row r="2862" ht="12" customHeight="1"/>
    <row r="2863" ht="12" customHeight="1"/>
    <row r="2864" ht="12" customHeight="1"/>
    <row r="2865" ht="12" customHeight="1"/>
    <row r="2866" ht="12" customHeight="1"/>
    <row r="2867" ht="12" customHeight="1"/>
    <row r="2868" ht="12" customHeight="1"/>
    <row r="2869" ht="12" customHeight="1"/>
    <row r="2870" ht="12" customHeight="1"/>
    <row r="2871" ht="12" customHeight="1"/>
    <row r="2872" ht="12" customHeight="1"/>
    <row r="2873" ht="12" customHeight="1"/>
    <row r="2874" ht="12" customHeight="1"/>
    <row r="2875" ht="12" customHeight="1"/>
    <row r="2876" ht="12" customHeight="1"/>
    <row r="2877" ht="12" customHeight="1"/>
    <row r="2878" ht="12" customHeight="1"/>
    <row r="2879" ht="12" customHeight="1"/>
    <row r="2880" ht="12" customHeight="1"/>
    <row r="2881" ht="12" customHeight="1"/>
    <row r="2882" ht="12" customHeight="1"/>
    <row r="2883" ht="12" customHeight="1"/>
    <row r="2884" ht="12" customHeight="1"/>
    <row r="2885" ht="12" customHeight="1"/>
    <row r="2886" ht="12" customHeight="1"/>
    <row r="2887" ht="12" customHeight="1"/>
    <row r="2888" ht="12" customHeight="1"/>
    <row r="2889" ht="12" customHeight="1"/>
    <row r="2890" ht="12" customHeight="1"/>
    <row r="2891" ht="12" customHeight="1"/>
    <row r="2892" ht="12" customHeight="1"/>
    <row r="2893" ht="12" customHeight="1"/>
    <row r="2894" ht="12" customHeight="1"/>
    <row r="2895" ht="12" customHeight="1"/>
    <row r="2896" ht="12" customHeight="1"/>
    <row r="2897" ht="12" customHeight="1"/>
    <row r="2898" ht="12" customHeight="1"/>
    <row r="2899" ht="12" customHeight="1"/>
    <row r="2900" ht="12" customHeight="1"/>
    <row r="2901" ht="12" customHeight="1"/>
    <row r="2902" ht="12" customHeight="1"/>
    <row r="2903" ht="12" customHeight="1"/>
    <row r="2904" ht="12" customHeight="1"/>
    <row r="2905" ht="12" customHeight="1"/>
    <row r="2906" ht="12" customHeight="1"/>
    <row r="2907" ht="12" customHeight="1"/>
    <row r="2908" ht="12" customHeight="1"/>
    <row r="2909" ht="12" customHeight="1"/>
    <row r="2910" ht="12" customHeight="1"/>
    <row r="2911" ht="12" customHeight="1"/>
    <row r="2912" ht="12" customHeight="1"/>
    <row r="2913" ht="12" customHeight="1"/>
    <row r="2914" ht="12" customHeight="1"/>
    <row r="2915" ht="12" customHeight="1"/>
    <row r="2916" ht="12" customHeight="1"/>
    <row r="2917" ht="12" customHeight="1"/>
    <row r="2918" ht="12" customHeight="1"/>
    <row r="2919" ht="12" customHeight="1"/>
    <row r="2920" ht="12" customHeight="1"/>
    <row r="2921" ht="12" customHeight="1"/>
    <row r="2922" ht="12" customHeight="1"/>
    <row r="2923" ht="12" customHeight="1"/>
    <row r="2924" ht="12" customHeight="1"/>
    <row r="2925" ht="12" customHeight="1"/>
    <row r="2926" ht="12" customHeight="1"/>
    <row r="2927" ht="12" customHeight="1"/>
    <row r="2928" ht="12" customHeight="1"/>
    <row r="2929" ht="12" customHeight="1"/>
    <row r="2930" ht="12" customHeight="1"/>
    <row r="2931" ht="12" customHeight="1"/>
    <row r="2932" ht="12" customHeight="1"/>
    <row r="2933" ht="12" customHeight="1"/>
    <row r="2934" ht="12" customHeight="1"/>
    <row r="2935" ht="12" customHeight="1"/>
    <row r="2936" ht="12" customHeight="1"/>
    <row r="2937" ht="12" customHeight="1"/>
    <row r="2938" ht="12" customHeight="1"/>
    <row r="2939" ht="12" customHeight="1"/>
    <row r="2940" ht="12" customHeight="1"/>
    <row r="2941" ht="12" customHeight="1"/>
    <row r="2942" ht="12" customHeight="1"/>
    <row r="2943" ht="12" customHeight="1"/>
    <row r="2944" ht="12" customHeight="1"/>
    <row r="2945" ht="12" customHeight="1"/>
    <row r="2946" ht="12" customHeight="1"/>
    <row r="2947" ht="12" customHeight="1"/>
  </sheetData>
  <sheetProtection password="CCBC" sheet="1" objects="1" scenarios="1"/>
  <mergeCells count="186">
    <mergeCell ref="D45:D47"/>
    <mergeCell ref="E45:E47"/>
    <mergeCell ref="F45:F47"/>
    <mergeCell ref="F118:F120"/>
    <mergeCell ref="F97:F99"/>
    <mergeCell ref="F85:F87"/>
    <mergeCell ref="F88:F90"/>
    <mergeCell ref="E91:E93"/>
    <mergeCell ref="D97:D99"/>
    <mergeCell ref="D70:D72"/>
    <mergeCell ref="F16:F18"/>
    <mergeCell ref="F19:F21"/>
    <mergeCell ref="F51:F53"/>
    <mergeCell ref="F54:F56"/>
    <mergeCell ref="F22:F24"/>
    <mergeCell ref="F42:F44"/>
    <mergeCell ref="F36:F38"/>
    <mergeCell ref="A22:A24"/>
    <mergeCell ref="B22:B24"/>
    <mergeCell ref="C22:C24"/>
    <mergeCell ref="D22:D24"/>
    <mergeCell ref="E85:E87"/>
    <mergeCell ref="D73:D75"/>
    <mergeCell ref="E79:E81"/>
    <mergeCell ref="E82:E84"/>
    <mergeCell ref="D79:D81"/>
    <mergeCell ref="E76:E78"/>
    <mergeCell ref="E73:E75"/>
    <mergeCell ref="D88:D90"/>
    <mergeCell ref="D85:D87"/>
    <mergeCell ref="D19:D21"/>
    <mergeCell ref="E19:E21"/>
    <mergeCell ref="E22:E24"/>
    <mergeCell ref="E88:E90"/>
    <mergeCell ref="D51:D53"/>
    <mergeCell ref="E51:E53"/>
    <mergeCell ref="D54:D56"/>
    <mergeCell ref="E54:E56"/>
    <mergeCell ref="F94:F96"/>
    <mergeCell ref="D94:D96"/>
    <mergeCell ref="E94:E96"/>
    <mergeCell ref="F110:F112"/>
    <mergeCell ref="F107:F109"/>
    <mergeCell ref="E121:E123"/>
    <mergeCell ref="F121:F123"/>
    <mergeCell ref="D124:D126"/>
    <mergeCell ref="E124:E126"/>
    <mergeCell ref="F124:F126"/>
    <mergeCell ref="A124:A126"/>
    <mergeCell ref="B121:B123"/>
    <mergeCell ref="B124:B126"/>
    <mergeCell ref="D121:D123"/>
    <mergeCell ref="A121:A123"/>
    <mergeCell ref="A51:A53"/>
    <mergeCell ref="B51:B53"/>
    <mergeCell ref="A54:A56"/>
    <mergeCell ref="B54:B56"/>
    <mergeCell ref="A57:A59"/>
    <mergeCell ref="D110:D112"/>
    <mergeCell ref="E110:E112"/>
    <mergeCell ref="E97:E99"/>
    <mergeCell ref="B91:B93"/>
    <mergeCell ref="A82:A84"/>
    <mergeCell ref="B82:B84"/>
    <mergeCell ref="C82:C84"/>
    <mergeCell ref="C91:C93"/>
    <mergeCell ref="A91:A93"/>
    <mergeCell ref="A128:B129"/>
    <mergeCell ref="E113:E115"/>
    <mergeCell ref="C110:C112"/>
    <mergeCell ref="C97:C99"/>
    <mergeCell ref="D104:F104"/>
    <mergeCell ref="D107:D109"/>
    <mergeCell ref="E107:E109"/>
    <mergeCell ref="F113:F115"/>
    <mergeCell ref="A118:A120"/>
    <mergeCell ref="B118:B120"/>
    <mergeCell ref="C118:C120"/>
    <mergeCell ref="D118:D120"/>
    <mergeCell ref="E118:E120"/>
    <mergeCell ref="A113:A115"/>
    <mergeCell ref="B113:B115"/>
    <mergeCell ref="C113:C115"/>
    <mergeCell ref="D113:D115"/>
    <mergeCell ref="F91:F93"/>
    <mergeCell ref="B39:B41"/>
    <mergeCell ref="C39:C41"/>
    <mergeCell ref="D91:D93"/>
    <mergeCell ref="E39:E41"/>
    <mergeCell ref="F39:F41"/>
    <mergeCell ref="F67:F69"/>
    <mergeCell ref="D42:D44"/>
    <mergeCell ref="C79:C81"/>
    <mergeCell ref="F82:F84"/>
    <mergeCell ref="A42:A44"/>
    <mergeCell ref="B42:B44"/>
    <mergeCell ref="A73:A75"/>
    <mergeCell ref="B73:B75"/>
    <mergeCell ref="B48:B50"/>
    <mergeCell ref="B57:B59"/>
    <mergeCell ref="B45:B47"/>
    <mergeCell ref="A45:A47"/>
    <mergeCell ref="A67:A69"/>
    <mergeCell ref="B67:B69"/>
    <mergeCell ref="A30:A32"/>
    <mergeCell ref="B30:B32"/>
    <mergeCell ref="A33:A35"/>
    <mergeCell ref="B36:B38"/>
    <mergeCell ref="A36:A38"/>
    <mergeCell ref="C16:C18"/>
    <mergeCell ref="D16:D18"/>
    <mergeCell ref="A27:A29"/>
    <mergeCell ref="B27:B29"/>
    <mergeCell ref="C27:C29"/>
    <mergeCell ref="D27:D29"/>
    <mergeCell ref="A19:A21"/>
    <mergeCell ref="B19:B21"/>
    <mergeCell ref="C19:C21"/>
    <mergeCell ref="B16:B18"/>
    <mergeCell ref="D10:F10"/>
    <mergeCell ref="A13:A15"/>
    <mergeCell ref="B13:B15"/>
    <mergeCell ref="C13:C15"/>
    <mergeCell ref="D13:D15"/>
    <mergeCell ref="E13:E15"/>
    <mergeCell ref="F13:F15"/>
    <mergeCell ref="E16:E18"/>
    <mergeCell ref="A16:A18"/>
    <mergeCell ref="C36:C38"/>
    <mergeCell ref="D67:D69"/>
    <mergeCell ref="D30:D32"/>
    <mergeCell ref="C30:C32"/>
    <mergeCell ref="C42:C44"/>
    <mergeCell ref="D33:D35"/>
    <mergeCell ref="D36:D38"/>
    <mergeCell ref="D39:D41"/>
    <mergeCell ref="E27:E29"/>
    <mergeCell ref="F27:F29"/>
    <mergeCell ref="F30:F32"/>
    <mergeCell ref="E33:E35"/>
    <mergeCell ref="F33:F35"/>
    <mergeCell ref="E30:E32"/>
    <mergeCell ref="F70:F72"/>
    <mergeCell ref="E42:E44"/>
    <mergeCell ref="F76:F78"/>
    <mergeCell ref="D64:F64"/>
    <mergeCell ref="E67:E69"/>
    <mergeCell ref="E48:E50"/>
    <mergeCell ref="F48:F50"/>
    <mergeCell ref="F57:F59"/>
    <mergeCell ref="D57:D59"/>
    <mergeCell ref="E70:E72"/>
    <mergeCell ref="E36:E38"/>
    <mergeCell ref="E57:E59"/>
    <mergeCell ref="D82:D84"/>
    <mergeCell ref="C76:C78"/>
    <mergeCell ref="D76:D78"/>
    <mergeCell ref="C73:C75"/>
    <mergeCell ref="C67:C69"/>
    <mergeCell ref="C70:C72"/>
    <mergeCell ref="C48:C50"/>
    <mergeCell ref="D48:D50"/>
    <mergeCell ref="A85:A87"/>
    <mergeCell ref="A88:A90"/>
    <mergeCell ref="B88:B90"/>
    <mergeCell ref="B85:B87"/>
    <mergeCell ref="C94:C96"/>
    <mergeCell ref="A97:A99"/>
    <mergeCell ref="B97:B99"/>
    <mergeCell ref="A110:A112"/>
    <mergeCell ref="B110:B112"/>
    <mergeCell ref="C107:C109"/>
    <mergeCell ref="A107:A109"/>
    <mergeCell ref="B107:B109"/>
    <mergeCell ref="A94:A96"/>
    <mergeCell ref="B94:B96"/>
    <mergeCell ref="C88:C90"/>
    <mergeCell ref="A79:A81"/>
    <mergeCell ref="B79:B81"/>
    <mergeCell ref="B33:B35"/>
    <mergeCell ref="B70:B72"/>
    <mergeCell ref="A39:A41"/>
    <mergeCell ref="A76:A78"/>
    <mergeCell ref="B76:B78"/>
    <mergeCell ref="A48:A50"/>
    <mergeCell ref="A70:A72"/>
  </mergeCells>
  <conditionalFormatting sqref="D121:F126 D27:F50 D85:F87 F88:F96 F76:F78 F82:F84 D88:E99 D67:E84 D13:E21 D22:F24 D51:E59 D107:F115 D118:E120">
    <cfRule type="expression" priority="1" dxfId="0" stopIfTrue="1">
      <formula>$C$2=TRUE</formula>
    </cfRule>
  </conditionalFormatting>
  <printOptions/>
  <pageMargins left="0.3937007874015748" right="0.3937007874015748" top="0.3937007874015748" bottom="0.3937007874015748" header="0.6299212598425197" footer="0.11811023622047245"/>
  <pageSetup horizontalDpi="600" verticalDpi="600" orientation="landscape" paperSize="9" scale="72" r:id="rId3"/>
  <rowBreaks count="2" manualBreakCount="2">
    <brk id="60" max="6" man="1"/>
    <brk id="100" max="6" man="1"/>
  </rowBreaks>
  <ignoredErrors>
    <ignoredError sqref="A121" formula="1"/>
  </ignoredErrors>
  <drawing r:id="rId2"/>
  <legacyDrawing r:id="rId1"/>
</worksheet>
</file>

<file path=xl/worksheets/sheet23.xml><?xml version="1.0" encoding="utf-8"?>
<worksheet xmlns="http://schemas.openxmlformats.org/spreadsheetml/2006/main" xmlns:r="http://schemas.openxmlformats.org/officeDocument/2006/relationships">
  <sheetPr codeName="Blad23">
    <pageSetUpPr fitToPage="1"/>
  </sheetPr>
  <dimension ref="A1:R156"/>
  <sheetViews>
    <sheetView showGridLines="0" showRowColHeaders="0" showZeros="0" showOutlineSymbols="0" view="pageBreakPreview" zoomScale="75" zoomScaleSheetLayoutView="75" workbookViewId="0" topLeftCell="A1">
      <selection activeCell="B73" sqref="B73"/>
    </sheetView>
  </sheetViews>
  <sheetFormatPr defaultColWidth="9.140625" defaultRowHeight="12.75"/>
  <cols>
    <col min="1" max="1" width="33.28125" style="560" customWidth="1"/>
    <col min="2" max="3" width="13.7109375" style="560" customWidth="1"/>
    <col min="4" max="5" width="9.140625" style="560" customWidth="1"/>
    <col min="6" max="6" width="52.8515625" style="836" bestFit="1" customWidth="1"/>
    <col min="7" max="7" width="24.00390625" style="836" bestFit="1" customWidth="1"/>
    <col min="8" max="10" width="10.28125" style="836" bestFit="1" customWidth="1"/>
    <col min="11" max="11" width="9.140625" style="836" customWidth="1"/>
    <col min="12" max="16384" width="9.140625" style="560" customWidth="1"/>
  </cols>
  <sheetData>
    <row r="1" spans="1:12" s="456" customFormat="1" ht="15.75" customHeight="1">
      <c r="A1" s="41"/>
      <c r="B1" s="42"/>
      <c r="C1" s="43"/>
      <c r="D1" s="42"/>
      <c r="E1" s="42"/>
      <c r="F1" s="45"/>
      <c r="G1" s="45"/>
      <c r="H1" s="26"/>
      <c r="I1" s="90"/>
      <c r="J1" s="454"/>
      <c r="K1" s="454"/>
      <c r="L1" s="454"/>
    </row>
    <row r="2" spans="1:12" s="499" customFormat="1" ht="15.75" customHeight="1">
      <c r="A2" s="595" t="str">
        <f>CONCATENATE("Nacalculatieformulier ",Voorblad!D3)</f>
        <v>Nacalculatieformulier 2005</v>
      </c>
      <c r="B2" s="593"/>
      <c r="C2" s="596" t="b">
        <f>Voorblad!D30</f>
        <v>1</v>
      </c>
      <c r="D2" s="595"/>
      <c r="E2" s="592">
        <f>vragen!F102+1</f>
        <v>36</v>
      </c>
      <c r="F2" s="587"/>
      <c r="G2" s="587"/>
      <c r="H2" s="587"/>
      <c r="I2" s="500"/>
      <c r="J2" s="500"/>
      <c r="K2" s="500"/>
      <c r="L2" s="500"/>
    </row>
    <row r="3" spans="1:12" s="499" customFormat="1" ht="15.75" customHeight="1">
      <c r="A3" s="587"/>
      <c r="B3" s="91"/>
      <c r="C3" s="588"/>
      <c r="D3" s="587"/>
      <c r="E3" s="589"/>
      <c r="F3" s="587"/>
      <c r="G3" s="587"/>
      <c r="H3" s="587"/>
      <c r="I3" s="500"/>
      <c r="J3" s="500"/>
      <c r="K3" s="500"/>
      <c r="L3" s="500"/>
    </row>
    <row r="4" ht="12">
      <c r="A4" s="560" t="s">
        <v>722</v>
      </c>
    </row>
    <row r="5" spans="6:10" ht="12.75">
      <c r="F5" s="1187"/>
      <c r="G5" s="1187"/>
      <c r="H5" s="1187"/>
      <c r="I5" s="1187"/>
      <c r="J5" s="1187"/>
    </row>
    <row r="6" spans="2:10" ht="12.75">
      <c r="B6" s="1656" t="str">
        <f>CONCATENATE("nacalculatie ",Voorblad!D3)</f>
        <v>nacalculatie 2005</v>
      </c>
      <c r="C6" s="1657"/>
      <c r="F6" s="1187"/>
      <c r="G6" s="1187"/>
      <c r="H6" s="1187"/>
      <c r="I6" s="1187"/>
      <c r="J6" s="1187"/>
    </row>
    <row r="7" spans="2:10" ht="12.75">
      <c r="B7" s="1658" t="str">
        <f>CONCATENATE("prijspeil ult. ",Voorblad!D3-1)</f>
        <v>prijspeil ult. 2004</v>
      </c>
      <c r="C7" s="1659"/>
      <c r="F7" s="1187"/>
      <c r="G7" s="1187"/>
      <c r="H7" s="1187"/>
      <c r="I7" s="1187"/>
      <c r="J7" s="1187"/>
    </row>
    <row r="8" spans="1:10" ht="12.75">
      <c r="A8" s="845" t="s">
        <v>339</v>
      </c>
      <c r="B8" s="846" t="s">
        <v>723</v>
      </c>
      <c r="C8" s="846" t="s">
        <v>724</v>
      </c>
      <c r="F8" s="1189"/>
      <c r="G8" s="1190"/>
      <c r="H8" s="1190"/>
      <c r="I8" s="1190"/>
      <c r="J8" s="1190"/>
    </row>
    <row r="9" spans="1:10" ht="12.75">
      <c r="A9" s="836"/>
      <c r="B9" s="836"/>
      <c r="C9" s="836"/>
      <c r="F9" s="1187"/>
      <c r="G9" s="1187"/>
      <c r="H9" s="1187"/>
      <c r="I9" s="1187"/>
      <c r="J9" s="1187"/>
    </row>
    <row r="10" spans="6:10" ht="12.75">
      <c r="F10" s="1187"/>
      <c r="G10" s="1187"/>
      <c r="H10" s="1187"/>
      <c r="I10" s="1187"/>
      <c r="J10" s="1187"/>
    </row>
    <row r="11" spans="1:10" ht="12.75">
      <c r="A11" s="827" t="s">
        <v>725</v>
      </c>
      <c r="B11" s="1392">
        <v>24.98</v>
      </c>
      <c r="C11" s="1392">
        <v>6.84</v>
      </c>
      <c r="E11"/>
      <c r="F11" s="1187"/>
      <c r="G11" s="1191"/>
      <c r="H11" s="1191"/>
      <c r="I11" s="1191"/>
      <c r="J11" s="1191"/>
    </row>
    <row r="12" spans="1:10" ht="12.75">
      <c r="A12" s="827" t="s">
        <v>726</v>
      </c>
      <c r="B12" s="1392">
        <v>10.39</v>
      </c>
      <c r="C12" s="1392">
        <v>2.84</v>
      </c>
      <c r="E12"/>
      <c r="F12" s="1187"/>
      <c r="G12" s="1191"/>
      <c r="H12" s="1191"/>
      <c r="I12" s="1191"/>
      <c r="J12" s="1191"/>
    </row>
    <row r="13" spans="1:10" ht="12.75">
      <c r="A13" s="827" t="s">
        <v>727</v>
      </c>
      <c r="B13" s="1392">
        <v>181634</v>
      </c>
      <c r="C13" s="1392">
        <v>6631</v>
      </c>
      <c r="E13"/>
      <c r="F13" s="1187"/>
      <c r="G13" s="1192"/>
      <c r="H13" s="1192"/>
      <c r="I13" s="1191"/>
      <c r="J13" s="1191"/>
    </row>
    <row r="14" spans="1:10" ht="12.75">
      <c r="A14" s="827" t="s">
        <v>728</v>
      </c>
      <c r="B14" s="1392">
        <v>6711</v>
      </c>
      <c r="C14" s="1392">
        <v>139</v>
      </c>
      <c r="E14"/>
      <c r="F14" s="1187"/>
      <c r="G14" s="1192"/>
      <c r="H14" s="1192"/>
      <c r="I14" s="1191"/>
      <c r="J14" s="1191"/>
    </row>
    <row r="15" spans="1:10" ht="12.75">
      <c r="A15" s="827" t="s">
        <v>729</v>
      </c>
      <c r="B15" s="1393">
        <v>49</v>
      </c>
      <c r="C15" s="1393">
        <v>0</v>
      </c>
      <c r="E15"/>
      <c r="F15" s="1187"/>
      <c r="G15" s="1192"/>
      <c r="H15" s="1192"/>
      <c r="I15" s="1191"/>
      <c r="J15" s="1191"/>
    </row>
    <row r="16" spans="1:10" ht="12.75">
      <c r="A16" s="827" t="s">
        <v>730</v>
      </c>
      <c r="B16" s="1393">
        <v>99</v>
      </c>
      <c r="C16" s="1393">
        <v>0</v>
      </c>
      <c r="E16"/>
      <c r="F16" s="1187"/>
      <c r="G16" s="1192"/>
      <c r="H16" s="1192"/>
      <c r="I16" s="1191"/>
      <c r="J16" s="1191"/>
    </row>
    <row r="17" spans="1:10" ht="12.75">
      <c r="A17" s="827" t="s">
        <v>731</v>
      </c>
      <c r="B17" s="1393">
        <v>148</v>
      </c>
      <c r="C17" s="1393">
        <v>0</v>
      </c>
      <c r="E17"/>
      <c r="F17" s="1187"/>
      <c r="G17" s="1192"/>
      <c r="H17" s="1192"/>
      <c r="I17" s="1191"/>
      <c r="J17" s="1191"/>
    </row>
    <row r="18" spans="1:10" ht="12.75">
      <c r="A18" s="827" t="s">
        <v>732</v>
      </c>
      <c r="B18" s="1393">
        <v>197</v>
      </c>
      <c r="C18" s="1393">
        <v>0</v>
      </c>
      <c r="E18"/>
      <c r="F18" s="1187"/>
      <c r="G18" s="1192"/>
      <c r="H18" s="1192"/>
      <c r="I18" s="1191"/>
      <c r="J18" s="1191"/>
    </row>
    <row r="19" spans="1:10" ht="12.75">
      <c r="A19" s="827" t="s">
        <v>733</v>
      </c>
      <c r="B19" s="1392">
        <v>120784</v>
      </c>
      <c r="C19" s="1392">
        <v>39213</v>
      </c>
      <c r="E19"/>
      <c r="F19" s="1187"/>
      <c r="G19" s="1192"/>
      <c r="H19" s="1192"/>
      <c r="I19" s="1191"/>
      <c r="J19" s="1191"/>
    </row>
    <row r="20" spans="1:10" ht="12.75">
      <c r="A20" s="827" t="s">
        <v>734</v>
      </c>
      <c r="B20" s="1392">
        <v>73954</v>
      </c>
      <c r="C20" s="1392">
        <v>1673</v>
      </c>
      <c r="E20"/>
      <c r="F20" s="1187"/>
      <c r="G20" s="1192"/>
      <c r="H20" s="1192"/>
      <c r="I20" s="1191"/>
      <c r="J20" s="1191"/>
    </row>
    <row r="21" spans="1:10" ht="12.75">
      <c r="A21" s="827" t="s">
        <v>735</v>
      </c>
      <c r="B21" s="1392">
        <v>43931</v>
      </c>
      <c r="C21" s="1392">
        <v>4141</v>
      </c>
      <c r="E21"/>
      <c r="F21" s="1187"/>
      <c r="G21" s="1192"/>
      <c r="H21" s="1192"/>
      <c r="I21" s="1191"/>
      <c r="J21" s="1191"/>
    </row>
    <row r="22" spans="1:10" ht="12.75">
      <c r="A22" s="827" t="s">
        <v>736</v>
      </c>
      <c r="B22" s="1392">
        <v>0</v>
      </c>
      <c r="C22" s="1392">
        <v>0</v>
      </c>
      <c r="E22"/>
      <c r="F22" s="1187"/>
      <c r="G22" s="1192"/>
      <c r="H22" s="1192"/>
      <c r="I22" s="1191"/>
      <c r="J22" s="1191"/>
    </row>
    <row r="23" spans="1:10" ht="12.75">
      <c r="A23" s="827" t="s">
        <v>737</v>
      </c>
      <c r="B23" s="1392">
        <v>9264</v>
      </c>
      <c r="C23" s="1392">
        <v>16765</v>
      </c>
      <c r="E23"/>
      <c r="F23" s="1187"/>
      <c r="G23" s="1192"/>
      <c r="H23" s="1192"/>
      <c r="I23" s="1191"/>
      <c r="J23" s="1191"/>
    </row>
    <row r="24" spans="1:10" ht="12.75">
      <c r="A24" s="827" t="s">
        <v>719</v>
      </c>
      <c r="B24" s="1392">
        <v>2739.31</v>
      </c>
      <c r="C24" s="1392">
        <v>4227.23</v>
      </c>
      <c r="E24"/>
      <c r="F24" s="1187"/>
      <c r="G24" s="1191"/>
      <c r="H24" s="1191"/>
      <c r="I24" s="1191"/>
      <c r="J24" s="1191"/>
    </row>
    <row r="25" spans="1:10" ht="12.75">
      <c r="A25" s="827" t="s">
        <v>738</v>
      </c>
      <c r="B25" s="1392">
        <v>0</v>
      </c>
      <c r="C25" s="1392">
        <v>4114.92</v>
      </c>
      <c r="E25"/>
      <c r="F25" s="1187"/>
      <c r="G25" s="1191"/>
      <c r="H25" s="1191"/>
      <c r="I25" s="1191"/>
      <c r="J25" s="1191"/>
    </row>
    <row r="26" spans="1:12" ht="12.75">
      <c r="A26" s="827" t="s">
        <v>739</v>
      </c>
      <c r="B26" s="1392">
        <v>0</v>
      </c>
      <c r="C26" s="1392">
        <v>839.19</v>
      </c>
      <c r="E26"/>
      <c r="F26" s="1187"/>
      <c r="G26" s="1191"/>
      <c r="H26" s="1191"/>
      <c r="I26" s="1191"/>
      <c r="J26" s="1191"/>
      <c r="K26" s="1030"/>
      <c r="L26" s="848"/>
    </row>
    <row r="27" spans="1:12" ht="12.75">
      <c r="A27" s="827" t="s">
        <v>740</v>
      </c>
      <c r="B27" s="1392">
        <v>0</v>
      </c>
      <c r="C27" s="1392">
        <v>35086.14</v>
      </c>
      <c r="E27"/>
      <c r="F27" s="1187"/>
      <c r="G27" s="1193"/>
      <c r="H27" s="1191"/>
      <c r="I27" s="1191"/>
      <c r="J27" s="1191"/>
      <c r="K27" s="1030"/>
      <c r="L27" s="848"/>
    </row>
    <row r="28" spans="1:12" ht="12.75">
      <c r="A28" s="827" t="s">
        <v>741</v>
      </c>
      <c r="B28" s="1392">
        <v>0</v>
      </c>
      <c r="C28" s="1392">
        <v>3794.09</v>
      </c>
      <c r="E28"/>
      <c r="F28" s="1187"/>
      <c r="G28" s="1193"/>
      <c r="H28" s="1191"/>
      <c r="I28" s="1191"/>
      <c r="J28" s="1191"/>
      <c r="K28" s="1030"/>
      <c r="L28" s="848"/>
    </row>
    <row r="29" spans="1:12" ht="12.75">
      <c r="A29" s="827" t="s">
        <v>742</v>
      </c>
      <c r="B29" s="1392">
        <v>24421.57</v>
      </c>
      <c r="C29" s="1392">
        <v>15723.07</v>
      </c>
      <c r="E29"/>
      <c r="F29" s="1187"/>
      <c r="G29" s="1191"/>
      <c r="H29" s="1191"/>
      <c r="I29" s="1191"/>
      <c r="J29" s="1191"/>
      <c r="K29" s="1030"/>
      <c r="L29" s="848"/>
    </row>
    <row r="30" spans="1:12" ht="12.75">
      <c r="A30" s="827" t="s">
        <v>743</v>
      </c>
      <c r="B30" s="1392">
        <v>0</v>
      </c>
      <c r="C30" s="1392">
        <v>14346</v>
      </c>
      <c r="E30"/>
      <c r="F30" s="1187"/>
      <c r="G30" s="1191"/>
      <c r="H30" s="1191"/>
      <c r="I30" s="1191"/>
      <c r="J30" s="1191"/>
      <c r="K30" s="1030"/>
      <c r="L30" s="848"/>
    </row>
    <row r="31" spans="1:12" ht="12.75">
      <c r="A31" s="827" t="s">
        <v>744</v>
      </c>
      <c r="B31" s="1392">
        <v>0</v>
      </c>
      <c r="C31" s="1392">
        <v>12268</v>
      </c>
      <c r="E31"/>
      <c r="F31" s="1187"/>
      <c r="G31" s="1191"/>
      <c r="H31" s="1191"/>
      <c r="I31" s="1191"/>
      <c r="J31" s="1191"/>
      <c r="K31" s="1030"/>
      <c r="L31" s="848"/>
    </row>
    <row r="32" spans="1:12" ht="12.75">
      <c r="A32" s="827" t="s">
        <v>745</v>
      </c>
      <c r="B32" s="1392">
        <v>0</v>
      </c>
      <c r="C32" s="1392">
        <v>20489</v>
      </c>
      <c r="E32"/>
      <c r="F32" s="1187"/>
      <c r="G32" s="1191"/>
      <c r="H32" s="1191"/>
      <c r="I32" s="1191"/>
      <c r="J32" s="1191"/>
      <c r="K32" s="1030"/>
      <c r="L32" s="848"/>
    </row>
    <row r="33" spans="1:12" ht="12.75">
      <c r="A33" s="827" t="s">
        <v>746</v>
      </c>
      <c r="B33" s="1392">
        <v>0</v>
      </c>
      <c r="C33" s="1392">
        <v>9815</v>
      </c>
      <c r="E33"/>
      <c r="F33" s="1187"/>
      <c r="G33" s="1191"/>
      <c r="H33" s="1191"/>
      <c r="I33" s="1191"/>
      <c r="J33" s="1191"/>
      <c r="K33" s="1030"/>
      <c r="L33" s="848"/>
    </row>
    <row r="34" spans="1:18" ht="12.75">
      <c r="A34" s="827" t="s">
        <v>750</v>
      </c>
      <c r="B34" s="1392">
        <v>0</v>
      </c>
      <c r="C34" s="1392">
        <v>15458.64</v>
      </c>
      <c r="E34"/>
      <c r="F34" s="1187"/>
      <c r="G34" s="1191"/>
      <c r="H34" s="1191"/>
      <c r="I34" s="1191"/>
      <c r="J34" s="1191"/>
      <c r="K34" s="1029"/>
      <c r="L34" s="1133"/>
      <c r="M34" s="870"/>
      <c r="N34" s="870"/>
      <c r="O34" s="870"/>
      <c r="P34" s="870"/>
      <c r="Q34" s="870"/>
      <c r="R34" s="870"/>
    </row>
    <row r="35" spans="1:18" ht="12.75">
      <c r="A35" s="827" t="s">
        <v>440</v>
      </c>
      <c r="B35" s="1392">
        <v>0</v>
      </c>
      <c r="C35" s="1392">
        <v>11979.9</v>
      </c>
      <c r="E35"/>
      <c r="F35" s="1187"/>
      <c r="G35" s="1191"/>
      <c r="H35" s="1191"/>
      <c r="I35" s="1191"/>
      <c r="J35" s="1191"/>
      <c r="K35" s="1029"/>
      <c r="L35" s="1133"/>
      <c r="M35" s="870"/>
      <c r="N35" s="870"/>
      <c r="O35" s="870"/>
      <c r="P35" s="870"/>
      <c r="Q35" s="870"/>
      <c r="R35" s="870"/>
    </row>
    <row r="36" spans="1:18" ht="12.75">
      <c r="A36" s="827" t="s">
        <v>441</v>
      </c>
      <c r="B36" s="1392">
        <v>0</v>
      </c>
      <c r="C36" s="1392">
        <v>9664.46</v>
      </c>
      <c r="E36"/>
      <c r="F36" s="1187"/>
      <c r="G36" s="1191"/>
      <c r="H36" s="1191"/>
      <c r="I36" s="1191"/>
      <c r="J36" s="1191"/>
      <c r="K36" s="1029"/>
      <c r="L36" s="1133"/>
      <c r="M36" s="870"/>
      <c r="N36" s="870"/>
      <c r="O36" s="870"/>
      <c r="P36" s="870"/>
      <c r="Q36" s="870"/>
      <c r="R36" s="870"/>
    </row>
    <row r="37" spans="1:18" ht="12.75">
      <c r="A37" s="827" t="s">
        <v>751</v>
      </c>
      <c r="B37" s="1392">
        <v>9736</v>
      </c>
      <c r="C37" s="1392">
        <v>5392</v>
      </c>
      <c r="E37"/>
      <c r="F37" s="1187"/>
      <c r="G37" s="1191"/>
      <c r="H37" s="1191"/>
      <c r="I37" s="1191"/>
      <c r="J37" s="1191"/>
      <c r="K37" s="1165"/>
      <c r="L37" s="1132"/>
      <c r="M37" s="1133"/>
      <c r="N37" s="1133"/>
      <c r="O37" s="1133"/>
      <c r="P37" s="1133"/>
      <c r="Q37" s="870"/>
      <c r="R37" s="870"/>
    </row>
    <row r="38" spans="1:18" ht="12.75">
      <c r="A38" s="827" t="s">
        <v>752</v>
      </c>
      <c r="B38" s="1392">
        <v>651.77</v>
      </c>
      <c r="C38" s="1392">
        <v>67.99</v>
      </c>
      <c r="E38"/>
      <c r="F38" s="1187"/>
      <c r="G38" s="1191"/>
      <c r="H38" s="1191"/>
      <c r="I38" s="1191"/>
      <c r="J38" s="1191"/>
      <c r="K38" s="1165"/>
      <c r="L38" s="1132"/>
      <c r="M38" s="1133"/>
      <c r="N38" s="1133"/>
      <c r="O38" s="1133"/>
      <c r="P38" s="1133"/>
      <c r="Q38" s="870"/>
      <c r="R38" s="870"/>
    </row>
    <row r="39" spans="1:18" ht="12.75">
      <c r="A39" s="827" t="s">
        <v>753</v>
      </c>
      <c r="B39" s="1392">
        <v>0</v>
      </c>
      <c r="C39" s="1392">
        <v>0</v>
      </c>
      <c r="E39"/>
      <c r="F39" s="1187"/>
      <c r="G39" s="1193"/>
      <c r="H39" s="1191"/>
      <c r="I39" s="1191"/>
      <c r="J39" s="1191"/>
      <c r="K39" s="1029"/>
      <c r="L39" s="1133"/>
      <c r="M39" s="870"/>
      <c r="N39" s="870"/>
      <c r="O39" s="870"/>
      <c r="P39" s="870"/>
      <c r="Q39" s="870"/>
      <c r="R39" s="870"/>
    </row>
    <row r="40" spans="1:18" ht="12.75">
      <c r="A40" s="827" t="s">
        <v>754</v>
      </c>
      <c r="B40" s="1392">
        <v>0</v>
      </c>
      <c r="C40" s="1392">
        <v>4805.31</v>
      </c>
      <c r="E40"/>
      <c r="F40" s="1187"/>
      <c r="G40" s="1193"/>
      <c r="H40" s="1191"/>
      <c r="I40" s="1191"/>
      <c r="J40" s="1191"/>
      <c r="K40" s="1029"/>
      <c r="L40" s="1133"/>
      <c r="M40" s="870"/>
      <c r="N40" s="870"/>
      <c r="O40" s="870"/>
      <c r="P40" s="870"/>
      <c r="Q40" s="870"/>
      <c r="R40" s="870"/>
    </row>
    <row r="41" spans="1:18" ht="12.75">
      <c r="A41" s="827" t="s">
        <v>755</v>
      </c>
      <c r="B41" s="1392">
        <v>0</v>
      </c>
      <c r="C41" s="1392">
        <v>2967.47</v>
      </c>
      <c r="E41"/>
      <c r="F41" s="1187"/>
      <c r="G41" s="1193"/>
      <c r="H41" s="1191"/>
      <c r="I41" s="1191"/>
      <c r="J41" s="1191"/>
      <c r="K41" s="1165"/>
      <c r="L41" s="1132"/>
      <c r="M41" s="1133"/>
      <c r="N41" s="870"/>
      <c r="O41" s="1133"/>
      <c r="P41" s="1133"/>
      <c r="Q41" s="870"/>
      <c r="R41" s="870"/>
    </row>
    <row r="42" spans="1:18" ht="12.75">
      <c r="A42" s="1364" t="s">
        <v>303</v>
      </c>
      <c r="B42" s="1392">
        <v>323.96</v>
      </c>
      <c r="C42" s="1392">
        <v>53.87</v>
      </c>
      <c r="E42"/>
      <c r="F42" s="1187"/>
      <c r="G42" s="1191"/>
      <c r="H42" s="1191"/>
      <c r="I42" s="1191"/>
      <c r="J42" s="1191"/>
      <c r="K42" s="1165"/>
      <c r="L42" s="1132"/>
      <c r="M42" s="1133"/>
      <c r="N42" s="870"/>
      <c r="O42" s="1133"/>
      <c r="P42" s="1133"/>
      <c r="Q42" s="870"/>
      <c r="R42" s="870"/>
    </row>
    <row r="43" spans="1:18" ht="12.75">
      <c r="A43" s="1364" t="s">
        <v>304</v>
      </c>
      <c r="B43" s="1392">
        <v>1037.72</v>
      </c>
      <c r="C43" s="1392">
        <v>171.34</v>
      </c>
      <c r="E43"/>
      <c r="F43" s="1187"/>
      <c r="G43" s="1191"/>
      <c r="H43" s="1191"/>
      <c r="I43" s="1191"/>
      <c r="J43" s="1191"/>
      <c r="K43" s="1029"/>
      <c r="L43" s="1133"/>
      <c r="M43" s="870"/>
      <c r="N43" s="870"/>
      <c r="O43" s="870"/>
      <c r="P43" s="870"/>
      <c r="Q43" s="870"/>
      <c r="R43" s="870"/>
    </row>
    <row r="44" spans="1:12" ht="12.75">
      <c r="A44" s="1364" t="s">
        <v>305</v>
      </c>
      <c r="B44" s="1392">
        <v>1777.93</v>
      </c>
      <c r="C44" s="1392">
        <v>293.45</v>
      </c>
      <c r="E44"/>
      <c r="F44" s="1187"/>
      <c r="G44" s="1191"/>
      <c r="H44" s="1191"/>
      <c r="I44" s="1191"/>
      <c r="J44" s="1191"/>
      <c r="K44" s="1030"/>
      <c r="L44" s="848"/>
    </row>
    <row r="45" spans="1:12" ht="12.75">
      <c r="A45" s="1364" t="s">
        <v>306</v>
      </c>
      <c r="B45" s="1392">
        <v>2986.75</v>
      </c>
      <c r="C45" s="1392">
        <v>492.51</v>
      </c>
      <c r="E45"/>
      <c r="F45" s="1187"/>
      <c r="G45" s="1191"/>
      <c r="H45" s="1191"/>
      <c r="I45" s="1191"/>
      <c r="J45" s="1191"/>
      <c r="K45" s="1030"/>
      <c r="L45" s="848"/>
    </row>
    <row r="46" spans="1:12" ht="12.75">
      <c r="A46" s="1364" t="s">
        <v>307</v>
      </c>
      <c r="B46" s="1392">
        <v>157.56</v>
      </c>
      <c r="C46" s="1392">
        <v>26.16</v>
      </c>
      <c r="E46"/>
      <c r="F46" s="1187"/>
      <c r="G46" s="1191"/>
      <c r="H46" s="1191"/>
      <c r="I46" s="1191"/>
      <c r="J46" s="1191"/>
      <c r="K46" s="1030"/>
      <c r="L46" s="848"/>
    </row>
    <row r="47" spans="1:12" ht="12.75">
      <c r="A47" s="1364" t="s">
        <v>308</v>
      </c>
      <c r="B47" s="1392">
        <v>269.45</v>
      </c>
      <c r="C47" s="1392">
        <v>39.51</v>
      </c>
      <c r="E47"/>
      <c r="F47" s="1187"/>
      <c r="G47" s="1191"/>
      <c r="H47" s="1191"/>
      <c r="I47" s="1191"/>
      <c r="J47" s="1191"/>
      <c r="K47" s="1030"/>
      <c r="L47" s="848"/>
    </row>
    <row r="48" spans="1:12" ht="12.75">
      <c r="A48" s="1364" t="s">
        <v>309</v>
      </c>
      <c r="B48" s="1392">
        <v>548.55</v>
      </c>
      <c r="C48" s="1392">
        <v>90.29</v>
      </c>
      <c r="E48"/>
      <c r="F48" s="1187"/>
      <c r="G48" s="1191"/>
      <c r="H48" s="1191"/>
      <c r="I48" s="1191"/>
      <c r="J48" s="1191"/>
      <c r="K48" s="1030"/>
      <c r="L48" s="848"/>
    </row>
    <row r="49" spans="1:12" ht="12.75">
      <c r="A49" s="1364" t="s">
        <v>310</v>
      </c>
      <c r="B49" s="1392">
        <v>1941</v>
      </c>
      <c r="C49" s="1392">
        <v>320.65</v>
      </c>
      <c r="E49"/>
      <c r="F49" s="1187"/>
      <c r="G49" s="1191"/>
      <c r="H49" s="1191"/>
      <c r="I49" s="1191"/>
      <c r="J49" s="1191"/>
      <c r="K49" s="1030"/>
      <c r="L49" s="848"/>
    </row>
    <row r="50" spans="1:12" ht="12.75">
      <c r="A50" s="1364" t="s">
        <v>311</v>
      </c>
      <c r="B50" s="1392">
        <v>1941</v>
      </c>
      <c r="C50" s="1392">
        <v>4432</v>
      </c>
      <c r="E50"/>
      <c r="F50" s="1187"/>
      <c r="G50" s="1191"/>
      <c r="H50" s="1191"/>
      <c r="I50" s="1191"/>
      <c r="J50" s="1191"/>
      <c r="K50" s="1030"/>
      <c r="L50" s="848"/>
    </row>
    <row r="51" spans="1:12" ht="12.75">
      <c r="A51" s="1364" t="s">
        <v>312</v>
      </c>
      <c r="B51" s="1392">
        <v>0</v>
      </c>
      <c r="C51" s="1392">
        <v>3150</v>
      </c>
      <c r="E51"/>
      <c r="F51" s="1187"/>
      <c r="G51" s="1191"/>
      <c r="H51" s="1191"/>
      <c r="I51" s="1191"/>
      <c r="J51" s="1191"/>
      <c r="K51" s="1030"/>
      <c r="L51" s="848"/>
    </row>
    <row r="52" spans="1:12" ht="12.75">
      <c r="A52" s="827" t="s">
        <v>756</v>
      </c>
      <c r="B52" s="1392">
        <v>408.71</v>
      </c>
      <c r="C52" s="1392">
        <v>264.8</v>
      </c>
      <c r="E52"/>
      <c r="F52" s="1187"/>
      <c r="G52" s="1191"/>
      <c r="H52" s="1191"/>
      <c r="I52" s="1191"/>
      <c r="J52" s="1191"/>
      <c r="K52" s="1030"/>
      <c r="L52" s="848"/>
    </row>
    <row r="53" spans="1:12" ht="12.75">
      <c r="A53" s="827" t="s">
        <v>757</v>
      </c>
      <c r="B53" s="1392">
        <v>1046.79</v>
      </c>
      <c r="C53" s="1392">
        <v>67.02</v>
      </c>
      <c r="E53"/>
      <c r="F53" s="1187"/>
      <c r="G53" s="1191"/>
      <c r="H53" s="1191"/>
      <c r="I53" s="1191"/>
      <c r="J53" s="1191"/>
      <c r="K53" s="1030"/>
      <c r="L53" s="848"/>
    </row>
    <row r="54" spans="1:12" ht="12.75">
      <c r="A54" s="827" t="s">
        <v>758</v>
      </c>
      <c r="B54" s="1392">
        <v>35.48</v>
      </c>
      <c r="C54" s="1392">
        <v>19.4</v>
      </c>
      <c r="E54"/>
      <c r="F54" s="1187"/>
      <c r="G54" s="1191"/>
      <c r="H54" s="1191"/>
      <c r="I54" s="1191"/>
      <c r="J54" s="1191"/>
      <c r="K54" s="1030"/>
      <c r="L54" s="848"/>
    </row>
    <row r="55" spans="1:12" ht="12.75">
      <c r="A55" s="827" t="s">
        <v>759</v>
      </c>
      <c r="B55" s="1392">
        <v>2325.44</v>
      </c>
      <c r="C55" s="1392">
        <v>1082.17</v>
      </c>
      <c r="E55"/>
      <c r="F55" s="1187"/>
      <c r="G55" s="1191"/>
      <c r="H55" s="1191"/>
      <c r="I55" s="1191"/>
      <c r="J55" s="1191"/>
      <c r="K55" s="1030"/>
      <c r="L55" s="848"/>
    </row>
    <row r="56" spans="1:12" ht="12.75">
      <c r="A56" s="827" t="s">
        <v>760</v>
      </c>
      <c r="B56" s="1392">
        <v>586.94</v>
      </c>
      <c r="C56" s="1392">
        <v>106.95</v>
      </c>
      <c r="E56"/>
      <c r="F56" s="1187"/>
      <c r="G56" s="1191"/>
      <c r="H56" s="1191"/>
      <c r="I56" s="1191"/>
      <c r="J56" s="1191"/>
      <c r="K56" s="1030"/>
      <c r="L56" s="848"/>
    </row>
    <row r="57" spans="1:12" ht="12.75">
      <c r="A57" s="827" t="s">
        <v>761</v>
      </c>
      <c r="B57" s="1392">
        <v>174.32</v>
      </c>
      <c r="C57" s="1392">
        <v>136.55</v>
      </c>
      <c r="E57"/>
      <c r="F57" s="1187"/>
      <c r="G57" s="1191"/>
      <c r="H57" s="1191"/>
      <c r="I57" s="1191"/>
      <c r="J57" s="1191"/>
      <c r="K57" s="1030"/>
      <c r="L57" s="848"/>
    </row>
    <row r="58" spans="1:12" ht="12.75">
      <c r="A58" s="827" t="s">
        <v>762</v>
      </c>
      <c r="B58" s="1392">
        <v>17.8</v>
      </c>
      <c r="C58" s="1392">
        <v>79.87</v>
      </c>
      <c r="E58"/>
      <c r="F58" s="1187"/>
      <c r="G58" s="1191"/>
      <c r="H58" s="1191"/>
      <c r="I58" s="1191"/>
      <c r="J58" s="1191"/>
      <c r="K58" s="1030"/>
      <c r="L58" s="848"/>
    </row>
    <row r="59" spans="1:12" ht="12.75">
      <c r="A59" s="827" t="s">
        <v>763</v>
      </c>
      <c r="B59" s="1392">
        <v>174.32</v>
      </c>
      <c r="C59" s="1392">
        <v>196.53</v>
      </c>
      <c r="E59"/>
      <c r="F59" s="1187"/>
      <c r="G59" s="1191"/>
      <c r="H59" s="1191"/>
      <c r="I59" s="1191"/>
      <c r="J59" s="1191"/>
      <c r="K59" s="1030"/>
      <c r="L59" s="848"/>
    </row>
    <row r="60" spans="1:12" ht="12.75">
      <c r="A60" s="827" t="s">
        <v>764</v>
      </c>
      <c r="B60" s="1392">
        <v>17.8</v>
      </c>
      <c r="C60" s="1392">
        <v>100.3</v>
      </c>
      <c r="E60"/>
      <c r="F60" s="1187"/>
      <c r="G60" s="1191"/>
      <c r="H60" s="1191"/>
      <c r="I60" s="1191"/>
      <c r="J60" s="1191"/>
      <c r="K60" s="1030"/>
      <c r="L60" s="848"/>
    </row>
    <row r="61" spans="1:12" ht="12.75">
      <c r="A61" s="827" t="s">
        <v>765</v>
      </c>
      <c r="B61" s="1392">
        <v>106.07</v>
      </c>
      <c r="C61" s="1392">
        <v>111.02</v>
      </c>
      <c r="E61"/>
      <c r="F61" s="1187"/>
      <c r="G61" s="1191"/>
      <c r="H61" s="1191"/>
      <c r="I61" s="1191"/>
      <c r="J61" s="1191"/>
      <c r="K61" s="1030"/>
      <c r="L61" s="848"/>
    </row>
    <row r="62" spans="1:12" ht="12.75">
      <c r="A62" s="827" t="s">
        <v>766</v>
      </c>
      <c r="B62" s="1392">
        <v>106.07</v>
      </c>
      <c r="C62" s="1392">
        <v>172.28</v>
      </c>
      <c r="E62"/>
      <c r="F62" s="1187"/>
      <c r="G62" s="1191"/>
      <c r="H62" s="1191"/>
      <c r="I62" s="1191"/>
      <c r="J62" s="1191"/>
      <c r="K62" s="1030"/>
      <c r="L62" s="848"/>
    </row>
    <row r="63" spans="1:12" ht="12.75">
      <c r="A63" s="827" t="s">
        <v>767</v>
      </c>
      <c r="B63" s="1392">
        <v>248.7</v>
      </c>
      <c r="C63" s="1392">
        <v>111.02</v>
      </c>
      <c r="E63"/>
      <c r="F63" s="1187"/>
      <c r="G63" s="1191"/>
      <c r="H63" s="1191"/>
      <c r="I63" s="1191"/>
      <c r="J63" s="1191"/>
      <c r="K63" s="1030"/>
      <c r="L63" s="848"/>
    </row>
    <row r="64" spans="1:12" ht="12.75">
      <c r="A64" s="827" t="s">
        <v>768</v>
      </c>
      <c r="B64" s="1392">
        <v>248.7</v>
      </c>
      <c r="C64" s="1392">
        <v>172.28</v>
      </c>
      <c r="E64"/>
      <c r="F64" s="1187"/>
      <c r="G64" s="1191"/>
      <c r="H64" s="1191"/>
      <c r="I64" s="1191"/>
      <c r="J64" s="1191"/>
      <c r="K64" s="1030"/>
      <c r="L64" s="848"/>
    </row>
    <row r="65" spans="1:12" ht="12.75">
      <c r="A65" s="827" t="s">
        <v>769</v>
      </c>
      <c r="B65" s="1392">
        <v>17.8</v>
      </c>
      <c r="C65" s="1392">
        <v>89.63</v>
      </c>
      <c r="E65"/>
      <c r="F65" s="1187"/>
      <c r="G65" s="1193"/>
      <c r="H65" s="1191"/>
      <c r="I65" s="1191"/>
      <c r="J65" s="1191"/>
      <c r="K65" s="1030"/>
      <c r="L65" s="848"/>
    </row>
    <row r="66" spans="1:11" ht="12.75">
      <c r="A66" s="827" t="s">
        <v>770</v>
      </c>
      <c r="B66" s="1392">
        <v>17.8</v>
      </c>
      <c r="C66" s="1392">
        <v>110.04</v>
      </c>
      <c r="E66"/>
      <c r="F66" s="1187"/>
      <c r="G66" s="1193"/>
      <c r="H66" s="1191"/>
      <c r="I66" s="1191"/>
      <c r="J66" s="1191"/>
      <c r="K66" s="1030"/>
    </row>
    <row r="67" spans="1:10" ht="12.75">
      <c r="A67" s="827" t="s">
        <v>771</v>
      </c>
      <c r="B67" s="1392">
        <v>63.75</v>
      </c>
      <c r="C67" s="1392">
        <v>9.93</v>
      </c>
      <c r="E67"/>
      <c r="F67" s="1187"/>
      <c r="G67" s="1191"/>
      <c r="H67" s="1191"/>
      <c r="I67" s="1191"/>
      <c r="J67" s="1191"/>
    </row>
    <row r="68" spans="1:10" ht="12.75">
      <c r="A68" s="827" t="s">
        <v>817</v>
      </c>
      <c r="B68" s="1394">
        <v>1.028</v>
      </c>
      <c r="C68" s="1394">
        <v>0.243</v>
      </c>
      <c r="E68"/>
      <c r="F68" s="1187"/>
      <c r="G68" s="1191"/>
      <c r="H68" s="1191"/>
      <c r="I68" s="1191"/>
      <c r="J68" s="1191"/>
    </row>
    <row r="69" spans="1:10" ht="12.75">
      <c r="A69" s="827" t="s">
        <v>812</v>
      </c>
      <c r="B69" s="1393">
        <v>176.3</v>
      </c>
      <c r="C69" s="1393">
        <v>41.67</v>
      </c>
      <c r="D69" s="870"/>
      <c r="E69"/>
      <c r="F69" s="1187"/>
      <c r="G69" s="1194"/>
      <c r="H69" s="1194"/>
      <c r="I69" s="1191"/>
      <c r="J69" s="1191"/>
    </row>
    <row r="70" spans="1:10" ht="12.75">
      <c r="A70" s="827" t="s">
        <v>813</v>
      </c>
      <c r="B70" s="1393">
        <v>95.81</v>
      </c>
      <c r="C70" s="1393">
        <v>22.65</v>
      </c>
      <c r="D70" s="870"/>
      <c r="E70"/>
      <c r="F70" s="1187"/>
      <c r="G70" s="1194"/>
      <c r="H70" s="1194"/>
      <c r="I70" s="1191"/>
      <c r="J70" s="1191"/>
    </row>
    <row r="71" spans="1:10" ht="12.75">
      <c r="A71" s="827" t="s">
        <v>814</v>
      </c>
      <c r="B71" s="1393">
        <v>221.02</v>
      </c>
      <c r="C71" s="1393">
        <v>52.25</v>
      </c>
      <c r="D71" s="870"/>
      <c r="E71"/>
      <c r="F71" s="1187"/>
      <c r="G71" s="1194"/>
      <c r="H71" s="1194"/>
      <c r="I71" s="1191"/>
      <c r="J71" s="1191"/>
    </row>
    <row r="72" spans="1:10" ht="12.75">
      <c r="A72" s="827" t="s">
        <v>815</v>
      </c>
      <c r="B72" s="1393">
        <v>440.5</v>
      </c>
      <c r="C72" s="1393">
        <v>104.13</v>
      </c>
      <c r="D72" s="870"/>
      <c r="E72"/>
      <c r="F72" s="1187"/>
      <c r="G72" s="1194"/>
      <c r="H72" s="1194"/>
      <c r="I72" s="1191"/>
      <c r="J72" s="1191"/>
    </row>
    <row r="73" spans="1:10" ht="12.75">
      <c r="A73" s="827" t="s">
        <v>816</v>
      </c>
      <c r="B73" s="1393">
        <v>797.73</v>
      </c>
      <c r="C73" s="1393">
        <v>188.57</v>
      </c>
      <c r="D73" s="870"/>
      <c r="E73"/>
      <c r="F73" s="1187"/>
      <c r="G73" s="1194"/>
      <c r="H73" s="1194"/>
      <c r="I73" s="1191"/>
      <c r="J73" s="1191"/>
    </row>
    <row r="74" spans="1:10" ht="12.75">
      <c r="A74" s="827" t="s">
        <v>697</v>
      </c>
      <c r="B74" s="1392">
        <v>411.94</v>
      </c>
      <c r="C74" s="1392">
        <v>483.36</v>
      </c>
      <c r="E74"/>
      <c r="F74" s="1187"/>
      <c r="G74" s="1191"/>
      <c r="H74" s="1191"/>
      <c r="I74" s="1191"/>
      <c r="J74" s="1191"/>
    </row>
    <row r="75" spans="1:10" ht="12.75">
      <c r="A75" s="827" t="s">
        <v>700</v>
      </c>
      <c r="B75" s="1392">
        <v>427.84</v>
      </c>
      <c r="C75" s="1392">
        <v>531.88</v>
      </c>
      <c r="E75"/>
      <c r="F75" s="1187"/>
      <c r="G75" s="1191"/>
      <c r="H75" s="1191"/>
      <c r="I75" s="1191"/>
      <c r="J75" s="1191"/>
    </row>
    <row r="76" spans="1:12" ht="12.75">
      <c r="A76" s="827" t="s">
        <v>701</v>
      </c>
      <c r="B76" s="1392">
        <v>38.55</v>
      </c>
      <c r="C76" s="1392">
        <v>8.81</v>
      </c>
      <c r="E76"/>
      <c r="F76" s="1187"/>
      <c r="G76" s="1191"/>
      <c r="H76" s="1191"/>
      <c r="I76" s="1191"/>
      <c r="J76" s="1191"/>
      <c r="K76" s="1030"/>
      <c r="L76" s="848"/>
    </row>
    <row r="77" spans="1:12" ht="12.75">
      <c r="A77" s="827" t="s">
        <v>702</v>
      </c>
      <c r="B77" s="1392">
        <v>39.82</v>
      </c>
      <c r="C77" s="1392">
        <v>9.02</v>
      </c>
      <c r="E77"/>
      <c r="F77" s="1187"/>
      <c r="G77" s="1191"/>
      <c r="H77" s="1191"/>
      <c r="I77" s="1191"/>
      <c r="J77" s="1191"/>
      <c r="L77" s="848"/>
    </row>
    <row r="78" spans="1:12" ht="12.75">
      <c r="A78" s="827" t="s">
        <v>703</v>
      </c>
      <c r="B78" s="1392">
        <v>76.38</v>
      </c>
      <c r="C78" s="1392">
        <v>37.88</v>
      </c>
      <c r="E78"/>
      <c r="F78" s="1187"/>
      <c r="G78" s="1191"/>
      <c r="H78" s="1191"/>
      <c r="I78" s="1191"/>
      <c r="J78" s="1191"/>
      <c r="K78" s="1030"/>
      <c r="L78" s="848"/>
    </row>
    <row r="79" spans="1:12" ht="12.75">
      <c r="A79" s="827" t="s">
        <v>704</v>
      </c>
      <c r="B79" s="1392">
        <v>79.52</v>
      </c>
      <c r="C79" s="1392">
        <v>41.54</v>
      </c>
      <c r="E79"/>
      <c r="F79" s="1187"/>
      <c r="G79" s="1191"/>
      <c r="H79" s="1191"/>
      <c r="I79" s="1191"/>
      <c r="J79" s="1191"/>
      <c r="K79" s="1030"/>
      <c r="L79" s="848"/>
    </row>
    <row r="80" spans="1:12" ht="12.75">
      <c r="A80" s="827" t="s">
        <v>705</v>
      </c>
      <c r="B80" s="1392">
        <v>214.96</v>
      </c>
      <c r="C80" s="1392">
        <v>104.06</v>
      </c>
      <c r="E80"/>
      <c r="F80" s="1187"/>
      <c r="G80" s="1191"/>
      <c r="H80" s="1191"/>
      <c r="I80" s="1191"/>
      <c r="J80" s="1191"/>
      <c r="K80" s="1030"/>
      <c r="L80" s="848"/>
    </row>
    <row r="81" spans="1:12" ht="12.75">
      <c r="A81" s="827" t="s">
        <v>706</v>
      </c>
      <c r="B81" s="1392">
        <v>219.11</v>
      </c>
      <c r="C81" s="1392">
        <v>110.02</v>
      </c>
      <c r="E81"/>
      <c r="F81" s="1187"/>
      <c r="G81" s="1191"/>
      <c r="H81" s="1191"/>
      <c r="I81" s="1191"/>
      <c r="J81" s="1191"/>
      <c r="K81" s="1030"/>
      <c r="L81" s="848"/>
    </row>
    <row r="82" spans="1:12" ht="12.75">
      <c r="A82" s="827" t="s">
        <v>707</v>
      </c>
      <c r="B82" s="1392">
        <v>489.05</v>
      </c>
      <c r="C82" s="1392">
        <v>500.98</v>
      </c>
      <c r="E82"/>
      <c r="F82" s="1187"/>
      <c r="G82" s="1191"/>
      <c r="H82" s="1191"/>
      <c r="I82" s="1191"/>
      <c r="J82" s="1191"/>
      <c r="K82" s="1030"/>
      <c r="L82" s="848"/>
    </row>
    <row r="83" spans="1:12" ht="12.75">
      <c r="A83" s="827" t="s">
        <v>708</v>
      </c>
      <c r="B83" s="1392">
        <v>507.48</v>
      </c>
      <c r="C83" s="1392">
        <v>549.93</v>
      </c>
      <c r="E83"/>
      <c r="F83" s="1187"/>
      <c r="G83" s="1191"/>
      <c r="H83" s="1191"/>
      <c r="I83" s="1191"/>
      <c r="J83" s="1191"/>
      <c r="K83" s="1030"/>
      <c r="L83" s="848"/>
    </row>
    <row r="84" spans="1:12" ht="12.75">
      <c r="A84" s="827" t="s">
        <v>709</v>
      </c>
      <c r="B84" s="1392">
        <v>214.96</v>
      </c>
      <c r="C84" s="1392">
        <v>104.06</v>
      </c>
      <c r="E84"/>
      <c r="F84" s="1187"/>
      <c r="G84" s="1191"/>
      <c r="H84" s="1191"/>
      <c r="I84" s="1191"/>
      <c r="J84" s="1191"/>
      <c r="K84" s="1030"/>
      <c r="L84" s="848"/>
    </row>
    <row r="85" spans="1:12" ht="12.75">
      <c r="A85" s="827" t="s">
        <v>710</v>
      </c>
      <c r="B85" s="1392">
        <v>219.11</v>
      </c>
      <c r="C85" s="1392">
        <v>110.02</v>
      </c>
      <c r="E85"/>
      <c r="F85" s="1187"/>
      <c r="G85" s="1191"/>
      <c r="H85" s="1191"/>
      <c r="I85" s="1191"/>
      <c r="J85" s="1191"/>
      <c r="K85" s="1030"/>
      <c r="L85" s="848"/>
    </row>
    <row r="86" spans="1:12" ht="12.75">
      <c r="A86" s="827" t="s">
        <v>711</v>
      </c>
      <c r="B86" s="1392">
        <v>214.96</v>
      </c>
      <c r="C86" s="1392">
        <v>104.06</v>
      </c>
      <c r="E86"/>
      <c r="F86" s="1187"/>
      <c r="G86" s="1191"/>
      <c r="H86" s="1191"/>
      <c r="I86" s="1191"/>
      <c r="J86" s="1191"/>
      <c r="K86" s="1030"/>
      <c r="L86" s="848"/>
    </row>
    <row r="87" spans="1:12" ht="12.75">
      <c r="A87" s="827" t="s">
        <v>712</v>
      </c>
      <c r="B87" s="1392">
        <v>219.11</v>
      </c>
      <c r="C87" s="1392">
        <v>110.02</v>
      </c>
      <c r="E87"/>
      <c r="F87" s="1187"/>
      <c r="G87" s="1191"/>
      <c r="H87" s="1191"/>
      <c r="I87" s="1191"/>
      <c r="J87" s="1191"/>
      <c r="K87" s="1030"/>
      <c r="L87" s="848"/>
    </row>
    <row r="88" spans="1:12" ht="12.75">
      <c r="A88" s="827" t="s">
        <v>772</v>
      </c>
      <c r="B88" s="1392">
        <v>9.71</v>
      </c>
      <c r="C88" s="1392">
        <v>5.31</v>
      </c>
      <c r="E88"/>
      <c r="F88" s="1187"/>
      <c r="G88" s="1191"/>
      <c r="H88" s="1191"/>
      <c r="I88" s="1191"/>
      <c r="J88" s="1191"/>
      <c r="K88" s="1030"/>
      <c r="L88" s="848"/>
    </row>
    <row r="89" spans="1:12" ht="12.75">
      <c r="A89" s="827" t="s">
        <v>773</v>
      </c>
      <c r="B89" s="1392">
        <v>5.94</v>
      </c>
      <c r="C89" s="1392">
        <v>2.17</v>
      </c>
      <c r="E89"/>
      <c r="F89" s="1187"/>
      <c r="G89" s="1191"/>
      <c r="H89" s="1191"/>
      <c r="I89" s="1191"/>
      <c r="J89" s="1191"/>
      <c r="K89" s="1030"/>
      <c r="L89" s="848"/>
    </row>
    <row r="90" spans="1:12" ht="12.75">
      <c r="A90" s="827" t="s">
        <v>713</v>
      </c>
      <c r="B90" s="1392">
        <v>3.73</v>
      </c>
      <c r="C90" s="1392">
        <v>1.36</v>
      </c>
      <c r="E90"/>
      <c r="F90" s="1187"/>
      <c r="G90" s="1191"/>
      <c r="H90" s="1191"/>
      <c r="I90" s="1191"/>
      <c r="J90" s="1191"/>
      <c r="K90" s="1030"/>
      <c r="L90" s="848"/>
    </row>
    <row r="91" spans="1:12" ht="12.75">
      <c r="A91" s="827" t="s">
        <v>714</v>
      </c>
      <c r="B91" s="1392">
        <v>9.27</v>
      </c>
      <c r="C91" s="1392">
        <v>3.39</v>
      </c>
      <c r="E91"/>
      <c r="F91" s="1187"/>
      <c r="G91" s="1191"/>
      <c r="H91" s="1191"/>
      <c r="I91" s="1191"/>
      <c r="J91" s="1191"/>
      <c r="K91" s="1030"/>
      <c r="L91" s="848"/>
    </row>
    <row r="92" spans="1:10" ht="12.75">
      <c r="A92" s="827" t="s">
        <v>774</v>
      </c>
      <c r="B92" s="1392">
        <v>0.63</v>
      </c>
      <c r="C92" s="1392">
        <v>0.561</v>
      </c>
      <c r="E92"/>
      <c r="F92" s="1187"/>
      <c r="G92" s="1191"/>
      <c r="H92" s="1191"/>
      <c r="I92" s="1191"/>
      <c r="J92" s="1191"/>
    </row>
    <row r="93" spans="1:14" ht="12.75">
      <c r="A93" s="827" t="s">
        <v>775</v>
      </c>
      <c r="B93" s="1392">
        <v>7.03</v>
      </c>
      <c r="C93" s="1392">
        <v>1.97</v>
      </c>
      <c r="E93"/>
      <c r="F93" s="1187"/>
      <c r="G93" s="1191"/>
      <c r="H93" s="1191"/>
      <c r="I93" s="1191"/>
      <c r="J93" s="1191"/>
      <c r="K93" s="1165"/>
      <c r="L93" s="1132"/>
      <c r="M93" s="1132"/>
      <c r="N93" s="1132"/>
    </row>
    <row r="94" spans="1:14" ht="12.75">
      <c r="A94" s="827" t="s">
        <v>776</v>
      </c>
      <c r="B94" s="1392">
        <v>238.13</v>
      </c>
      <c r="C94" s="1392">
        <v>200.43</v>
      </c>
      <c r="E94"/>
      <c r="F94" s="1187"/>
      <c r="G94" s="1191"/>
      <c r="H94" s="1191"/>
      <c r="I94" s="1191"/>
      <c r="J94" s="1191"/>
      <c r="K94" s="797"/>
      <c r="L94"/>
      <c r="M94"/>
      <c r="N94"/>
    </row>
    <row r="95" spans="1:14" ht="12.75">
      <c r="A95" s="827" t="s">
        <v>777</v>
      </c>
      <c r="B95" s="1392">
        <v>202.47</v>
      </c>
      <c r="C95" s="1392">
        <v>632.13</v>
      </c>
      <c r="E95"/>
      <c r="F95" s="1187"/>
      <c r="G95" s="1191"/>
      <c r="H95" s="1191"/>
      <c r="I95" s="1191"/>
      <c r="J95" s="1191"/>
      <c r="K95" s="797"/>
      <c r="L95"/>
      <c r="M95"/>
      <c r="N95"/>
    </row>
    <row r="96" spans="1:14" ht="12.75">
      <c r="A96" s="827" t="s">
        <v>778</v>
      </c>
      <c r="B96" s="1395">
        <v>0.413</v>
      </c>
      <c r="C96" s="1395">
        <v>0.085</v>
      </c>
      <c r="D96" s="870"/>
      <c r="E96"/>
      <c r="F96" s="1187"/>
      <c r="G96" s="1194"/>
      <c r="H96" s="1194"/>
      <c r="I96" s="1194"/>
      <c r="J96" s="1194"/>
      <c r="K96" s="797"/>
      <c r="L96"/>
      <c r="M96"/>
      <c r="N96"/>
    </row>
    <row r="97" spans="1:14" ht="12.75">
      <c r="A97" s="827" t="s">
        <v>779</v>
      </c>
      <c r="B97" s="1395">
        <v>0.464</v>
      </c>
      <c r="C97" s="1395">
        <v>0.108</v>
      </c>
      <c r="D97" s="870"/>
      <c r="E97"/>
      <c r="F97" s="1187"/>
      <c r="G97" s="1194"/>
      <c r="H97" s="1194"/>
      <c r="I97" s="1194"/>
      <c r="J97" s="1194"/>
      <c r="K97" s="797"/>
      <c r="L97"/>
      <c r="M97"/>
      <c r="N97"/>
    </row>
    <row r="98" spans="1:14" ht="12.75">
      <c r="A98" s="827" t="s">
        <v>780</v>
      </c>
      <c r="B98" s="1395">
        <v>0.849</v>
      </c>
      <c r="C98" s="1395">
        <v>0.17</v>
      </c>
      <c r="D98" s="870"/>
      <c r="E98"/>
      <c r="F98" s="1187"/>
      <c r="G98" s="1194"/>
      <c r="H98" s="1194"/>
      <c r="I98" s="1194"/>
      <c r="J98" s="1194"/>
      <c r="K98" s="797"/>
      <c r="L98"/>
      <c r="M98"/>
      <c r="N98"/>
    </row>
    <row r="99" spans="1:14" ht="12.75">
      <c r="A99" s="827" t="s">
        <v>781</v>
      </c>
      <c r="B99" s="1395">
        <v>0.849</v>
      </c>
      <c r="C99" s="1395">
        <v>0.17</v>
      </c>
      <c r="D99" s="870"/>
      <c r="E99"/>
      <c r="F99" s="1187"/>
      <c r="G99" s="1194"/>
      <c r="H99" s="1194"/>
      <c r="I99" s="1194"/>
      <c r="J99" s="1194"/>
      <c r="K99" s="797"/>
      <c r="L99"/>
      <c r="M99"/>
      <c r="N99"/>
    </row>
    <row r="100" spans="2:14" ht="12.75">
      <c r="B100" s="1188"/>
      <c r="C100" s="1188"/>
      <c r="D100" s="870"/>
      <c r="E100" s="1132"/>
      <c r="F100" s="1165"/>
      <c r="G100" s="1195"/>
      <c r="H100" s="1195"/>
      <c r="I100" s="1195"/>
      <c r="J100" s="1195"/>
      <c r="K100" s="797"/>
      <c r="L100"/>
      <c r="M100"/>
      <c r="N100"/>
    </row>
    <row r="101" spans="4:9" ht="12.75">
      <c r="D101" s="870"/>
      <c r="E101" s="1132"/>
      <c r="F101" s="1165"/>
      <c r="G101" s="1165"/>
      <c r="H101" s="1165"/>
      <c r="I101" s="964"/>
    </row>
    <row r="102" spans="4:9" ht="12.75">
      <c r="D102" s="870"/>
      <c r="E102" s="1132"/>
      <c r="F102" s="1165"/>
      <c r="G102" s="1165"/>
      <c r="H102" s="1165"/>
      <c r="I102" s="964"/>
    </row>
    <row r="103" spans="4:9" ht="12.75">
      <c r="D103" s="870"/>
      <c r="E103" s="1132"/>
      <c r="F103" s="1165"/>
      <c r="G103" s="1165"/>
      <c r="H103" s="1165"/>
      <c r="I103" s="964"/>
    </row>
    <row r="104" spans="4:9" ht="12.75">
      <c r="D104" s="870"/>
      <c r="E104" s="1132"/>
      <c r="F104" s="1165"/>
      <c r="G104" s="1165"/>
      <c r="H104" s="1165"/>
      <c r="I104" s="964"/>
    </row>
    <row r="105" spans="4:9" ht="12.75">
      <c r="D105" s="870"/>
      <c r="E105" s="1132"/>
      <c r="F105" s="1165"/>
      <c r="G105" s="1165"/>
      <c r="H105" s="1165"/>
      <c r="I105" s="964"/>
    </row>
    <row r="106" spans="4:9" ht="12.75">
      <c r="D106" s="870"/>
      <c r="E106" s="1132"/>
      <c r="F106" s="1165"/>
      <c r="G106" s="1165"/>
      <c r="H106" s="1165"/>
      <c r="I106" s="964"/>
    </row>
    <row r="107" spans="4:9" ht="12.75">
      <c r="D107" s="870"/>
      <c r="E107" s="1132"/>
      <c r="F107" s="1165"/>
      <c r="G107" s="1165"/>
      <c r="H107" s="1165"/>
      <c r="I107" s="964"/>
    </row>
    <row r="108" spans="4:9" ht="12.75">
      <c r="D108" s="870"/>
      <c r="E108" s="1132"/>
      <c r="F108" s="1165"/>
      <c r="G108" s="1165"/>
      <c r="H108" s="1165"/>
      <c r="I108" s="964"/>
    </row>
    <row r="109" spans="4:9" ht="12.75">
      <c r="D109" s="870"/>
      <c r="E109" s="1132"/>
      <c r="F109" s="1165"/>
      <c r="G109" s="1165"/>
      <c r="H109" s="1165"/>
      <c r="I109" s="964"/>
    </row>
    <row r="110" spans="4:9" ht="12.75">
      <c r="D110" s="870"/>
      <c r="E110" s="1132"/>
      <c r="F110" s="1165"/>
      <c r="G110" s="1165"/>
      <c r="H110" s="1165"/>
      <c r="I110" s="964"/>
    </row>
    <row r="111" spans="4:9" ht="12.75">
      <c r="D111" s="870"/>
      <c r="E111" s="1132"/>
      <c r="F111" s="1165"/>
      <c r="G111" s="1165"/>
      <c r="H111" s="1165"/>
      <c r="I111" s="964"/>
    </row>
    <row r="112" spans="4:9" ht="12.75">
      <c r="D112" s="870"/>
      <c r="E112" s="1132"/>
      <c r="F112" s="1165"/>
      <c r="G112" s="1165"/>
      <c r="H112" s="1165"/>
      <c r="I112" s="964"/>
    </row>
    <row r="113" spans="4:9" ht="12.75">
      <c r="D113" s="870"/>
      <c r="E113" s="1132"/>
      <c r="F113" s="1165"/>
      <c r="G113" s="1165"/>
      <c r="H113" s="1165"/>
      <c r="I113" s="964"/>
    </row>
    <row r="114" spans="4:9" ht="12.75">
      <c r="D114" s="870"/>
      <c r="E114" s="1132"/>
      <c r="F114" s="1165"/>
      <c r="G114" s="1165"/>
      <c r="H114" s="1165"/>
      <c r="I114" s="964"/>
    </row>
    <row r="115" spans="4:9" ht="12.75">
      <c r="D115" s="870"/>
      <c r="E115" s="1132"/>
      <c r="F115" s="1165"/>
      <c r="G115" s="1165"/>
      <c r="H115" s="1165"/>
      <c r="I115" s="964"/>
    </row>
    <row r="116" spans="4:9" ht="12.75">
      <c r="D116" s="870"/>
      <c r="E116" s="870"/>
      <c r="F116" s="964"/>
      <c r="G116" s="1165"/>
      <c r="H116" s="1165"/>
      <c r="I116" s="964"/>
    </row>
    <row r="117" spans="4:9" ht="12.75">
      <c r="D117" s="870"/>
      <c r="E117" s="870"/>
      <c r="F117" s="964"/>
      <c r="G117" s="1165"/>
      <c r="H117" s="1165"/>
      <c r="I117" s="964"/>
    </row>
    <row r="118" spans="4:9" ht="12.75">
      <c r="D118" s="870"/>
      <c r="E118" s="870"/>
      <c r="F118" s="964"/>
      <c r="G118" s="1165"/>
      <c r="H118" s="1165"/>
      <c r="I118" s="964"/>
    </row>
    <row r="119" spans="4:9" ht="12">
      <c r="D119" s="870"/>
      <c r="E119" s="870"/>
      <c r="F119" s="964"/>
      <c r="G119" s="964"/>
      <c r="H119" s="964"/>
      <c r="I119" s="964"/>
    </row>
    <row r="120" spans="4:9" ht="12">
      <c r="D120" s="870"/>
      <c r="E120" s="870"/>
      <c r="F120" s="964"/>
      <c r="G120" s="964"/>
      <c r="H120" s="964"/>
      <c r="I120" s="964"/>
    </row>
    <row r="121" spans="4:9" ht="12">
      <c r="D121" s="870"/>
      <c r="E121" s="870"/>
      <c r="F121" s="964"/>
      <c r="G121" s="964"/>
      <c r="H121" s="964"/>
      <c r="I121" s="964"/>
    </row>
    <row r="122" spans="4:9" ht="12">
      <c r="D122" s="870"/>
      <c r="E122" s="870"/>
      <c r="F122" s="964"/>
      <c r="G122" s="964"/>
      <c r="H122" s="964"/>
      <c r="I122" s="964"/>
    </row>
    <row r="123" spans="4:9" ht="12">
      <c r="D123" s="870"/>
      <c r="E123" s="870"/>
      <c r="F123" s="964"/>
      <c r="G123" s="964"/>
      <c r="H123" s="964"/>
      <c r="I123" s="964"/>
    </row>
    <row r="124" spans="4:9" ht="12">
      <c r="D124" s="870"/>
      <c r="E124" s="870"/>
      <c r="F124" s="964"/>
      <c r="G124" s="964"/>
      <c r="H124" s="964"/>
      <c r="I124" s="964"/>
    </row>
    <row r="125" spans="4:9" ht="12">
      <c r="D125" s="870"/>
      <c r="E125" s="870"/>
      <c r="F125" s="964"/>
      <c r="G125" s="964"/>
      <c r="H125" s="964"/>
      <c r="I125" s="964"/>
    </row>
    <row r="126" spans="4:9" ht="12">
      <c r="D126" s="870"/>
      <c r="E126" s="870"/>
      <c r="F126" s="964"/>
      <c r="G126" s="964"/>
      <c r="H126" s="964"/>
      <c r="I126" s="964"/>
    </row>
    <row r="127" spans="4:9" ht="12">
      <c r="D127" s="870"/>
      <c r="E127" s="870"/>
      <c r="F127" s="964"/>
      <c r="G127" s="964"/>
      <c r="H127" s="964"/>
      <c r="I127" s="964"/>
    </row>
    <row r="128" spans="4:9" ht="12">
      <c r="D128" s="870"/>
      <c r="E128" s="870"/>
      <c r="F128" s="964"/>
      <c r="G128" s="964"/>
      <c r="H128" s="964"/>
      <c r="I128" s="964"/>
    </row>
    <row r="129" spans="4:9" ht="12">
      <c r="D129" s="870"/>
      <c r="E129" s="870"/>
      <c r="F129" s="964"/>
      <c r="G129" s="964"/>
      <c r="H129" s="964"/>
      <c r="I129" s="964"/>
    </row>
    <row r="130" spans="4:9" ht="12">
      <c r="D130" s="870"/>
      <c r="E130" s="870"/>
      <c r="F130" s="964"/>
      <c r="G130" s="964"/>
      <c r="H130" s="964"/>
      <c r="I130" s="964"/>
    </row>
    <row r="131" spans="4:9" ht="12">
      <c r="D131" s="870"/>
      <c r="E131" s="870"/>
      <c r="F131" s="964"/>
      <c r="G131" s="964"/>
      <c r="H131" s="964"/>
      <c r="I131" s="964"/>
    </row>
    <row r="132" spans="4:9" ht="12">
      <c r="D132" s="870"/>
      <c r="E132" s="870"/>
      <c r="F132" s="964"/>
      <c r="G132" s="964"/>
      <c r="H132" s="964"/>
      <c r="I132" s="964"/>
    </row>
    <row r="133" spans="4:9" ht="12">
      <c r="D133" s="870"/>
      <c r="E133" s="870"/>
      <c r="F133" s="964"/>
      <c r="G133" s="964"/>
      <c r="H133" s="964"/>
      <c r="I133" s="964"/>
    </row>
    <row r="134" spans="4:9" ht="12">
      <c r="D134" s="870"/>
      <c r="E134" s="870"/>
      <c r="F134" s="964"/>
      <c r="G134" s="964"/>
      <c r="H134" s="964"/>
      <c r="I134" s="964"/>
    </row>
    <row r="135" spans="4:9" ht="12">
      <c r="D135" s="870"/>
      <c r="E135" s="870"/>
      <c r="F135" s="964"/>
      <c r="G135" s="964"/>
      <c r="H135" s="964"/>
      <c r="I135" s="964"/>
    </row>
    <row r="136" spans="4:9" ht="12">
      <c r="D136" s="870"/>
      <c r="E136" s="870"/>
      <c r="F136" s="964"/>
      <c r="G136" s="964"/>
      <c r="H136" s="964"/>
      <c r="I136" s="964"/>
    </row>
    <row r="137" spans="4:9" ht="12">
      <c r="D137" s="870"/>
      <c r="E137" s="870"/>
      <c r="F137" s="964"/>
      <c r="G137" s="964"/>
      <c r="H137" s="964"/>
      <c r="I137" s="964"/>
    </row>
    <row r="138" spans="4:9" ht="12">
      <c r="D138" s="870"/>
      <c r="E138" s="870"/>
      <c r="F138" s="964"/>
      <c r="G138" s="964"/>
      <c r="H138" s="964"/>
      <c r="I138" s="964"/>
    </row>
    <row r="139" spans="4:9" ht="12">
      <c r="D139" s="870"/>
      <c r="E139" s="870"/>
      <c r="F139" s="964"/>
      <c r="G139" s="964"/>
      <c r="H139" s="964"/>
      <c r="I139" s="964"/>
    </row>
    <row r="140" spans="4:9" ht="12">
      <c r="D140" s="870"/>
      <c r="E140" s="870"/>
      <c r="F140" s="964"/>
      <c r="G140" s="964"/>
      <c r="H140" s="964"/>
      <c r="I140" s="964"/>
    </row>
    <row r="141" spans="4:9" ht="12">
      <c r="D141" s="870"/>
      <c r="E141" s="870"/>
      <c r="F141" s="964"/>
      <c r="G141" s="964"/>
      <c r="H141" s="964"/>
      <c r="I141" s="964"/>
    </row>
    <row r="142" spans="4:9" ht="12">
      <c r="D142" s="870"/>
      <c r="E142" s="870"/>
      <c r="F142" s="964"/>
      <c r="G142" s="964"/>
      <c r="H142" s="964"/>
      <c r="I142" s="964"/>
    </row>
    <row r="143" spans="4:9" ht="12">
      <c r="D143" s="870"/>
      <c r="E143" s="870"/>
      <c r="F143" s="964"/>
      <c r="G143" s="964"/>
      <c r="H143" s="964"/>
      <c r="I143" s="964"/>
    </row>
    <row r="144" spans="4:9" ht="12">
      <c r="D144" s="870"/>
      <c r="E144" s="870"/>
      <c r="F144" s="964"/>
      <c r="G144" s="964"/>
      <c r="H144" s="964"/>
      <c r="I144" s="964"/>
    </row>
    <row r="145" spans="4:9" ht="12">
      <c r="D145" s="870"/>
      <c r="E145" s="870"/>
      <c r="F145" s="964"/>
      <c r="G145" s="964"/>
      <c r="H145" s="964"/>
      <c r="I145" s="964"/>
    </row>
    <row r="146" spans="4:9" ht="12">
      <c r="D146" s="870"/>
      <c r="E146" s="870"/>
      <c r="F146" s="964"/>
      <c r="G146" s="964"/>
      <c r="H146" s="964"/>
      <c r="I146" s="964"/>
    </row>
    <row r="147" spans="4:9" ht="12">
      <c r="D147" s="870"/>
      <c r="E147" s="870"/>
      <c r="F147" s="964"/>
      <c r="G147" s="964"/>
      <c r="H147" s="964"/>
      <c r="I147" s="964"/>
    </row>
    <row r="148" spans="4:9" ht="12">
      <c r="D148" s="870"/>
      <c r="E148" s="870"/>
      <c r="F148" s="964"/>
      <c r="G148" s="964"/>
      <c r="H148" s="964"/>
      <c r="I148" s="964"/>
    </row>
    <row r="149" spans="4:9" ht="12">
      <c r="D149" s="870"/>
      <c r="E149" s="870"/>
      <c r="F149" s="964"/>
      <c r="G149" s="964"/>
      <c r="H149" s="964"/>
      <c r="I149" s="964"/>
    </row>
    <row r="150" spans="4:9" ht="12">
      <c r="D150" s="870"/>
      <c r="E150" s="870"/>
      <c r="F150" s="964"/>
      <c r="G150" s="964"/>
      <c r="H150" s="964"/>
      <c r="I150" s="964"/>
    </row>
    <row r="151" spans="4:9" ht="12">
      <c r="D151" s="870"/>
      <c r="E151" s="870"/>
      <c r="F151" s="964"/>
      <c r="G151" s="964"/>
      <c r="H151" s="964"/>
      <c r="I151" s="964"/>
    </row>
    <row r="152" spans="4:9" ht="12">
      <c r="D152" s="870"/>
      <c r="E152" s="870"/>
      <c r="F152" s="964"/>
      <c r="G152" s="964"/>
      <c r="H152" s="964"/>
      <c r="I152" s="964"/>
    </row>
    <row r="153" spans="4:9" ht="12">
      <c r="D153" s="870"/>
      <c r="E153" s="870"/>
      <c r="F153" s="964"/>
      <c r="G153" s="964"/>
      <c r="H153" s="964"/>
      <c r="I153" s="964"/>
    </row>
    <row r="154" spans="4:9" ht="12">
      <c r="D154" s="870"/>
      <c r="E154" s="870"/>
      <c r="F154" s="964"/>
      <c r="G154" s="964"/>
      <c r="H154" s="964"/>
      <c r="I154" s="964"/>
    </row>
    <row r="155" spans="4:9" ht="12">
      <c r="D155" s="870"/>
      <c r="E155" s="870"/>
      <c r="F155" s="964"/>
      <c r="G155" s="964"/>
      <c r="H155" s="964"/>
      <c r="I155" s="964"/>
    </row>
    <row r="156" spans="4:9" ht="12">
      <c r="D156" s="870"/>
      <c r="E156" s="870"/>
      <c r="F156" s="964"/>
      <c r="G156" s="964"/>
      <c r="H156" s="964"/>
      <c r="I156" s="964"/>
    </row>
  </sheetData>
  <sheetProtection password="CCBC" sheet="1" objects="1" scenarios="1"/>
  <mergeCells count="2">
    <mergeCell ref="B6:C6"/>
    <mergeCell ref="B7:C7"/>
  </mergeCells>
  <printOptions/>
  <pageMargins left="0.75" right="0.75" top="1" bottom="1" header="0.5" footer="0.5"/>
  <pageSetup fitToHeight="1" fitToWidth="1" horizontalDpi="1200" verticalDpi="1200" orientation="portrait" paperSize="9" scale="56" r:id="rId2"/>
  <drawing r:id="rId1"/>
</worksheet>
</file>

<file path=xl/worksheets/sheet3.xml><?xml version="1.0" encoding="utf-8"?>
<worksheet xmlns="http://schemas.openxmlformats.org/spreadsheetml/2006/main" xmlns:r="http://schemas.openxmlformats.org/officeDocument/2006/relationships">
  <sheetPr codeName="Blad22">
    <pageSetUpPr fitToPage="1"/>
  </sheetPr>
  <dimension ref="A1:H109"/>
  <sheetViews>
    <sheetView showGridLines="0" showRowColHeaders="0" showZeros="0" showOutlineSymbols="0" view="pageBreakPreview" zoomScale="75" zoomScaleNormal="86" zoomScaleSheetLayoutView="75" workbookViewId="0" topLeftCell="A1">
      <selection activeCell="A1" sqref="A1"/>
    </sheetView>
  </sheetViews>
  <sheetFormatPr defaultColWidth="9.140625" defaultRowHeight="12.75"/>
  <cols>
    <col min="1" max="1" width="15.7109375" style="538" customWidth="1"/>
    <col min="2" max="2" width="65.421875" style="548" customWidth="1"/>
    <col min="3" max="3" width="15.7109375" style="537" customWidth="1"/>
    <col min="4" max="4" width="21.140625" style="1224" customWidth="1"/>
    <col min="5" max="16384" width="9.140625" style="539" customWidth="1"/>
  </cols>
  <sheetData>
    <row r="1" spans="1:5" s="440" customFormat="1" ht="15.75" customHeight="1">
      <c r="A1" s="434"/>
      <c r="B1" s="537"/>
      <c r="C1" s="1223"/>
      <c r="D1" s="1224"/>
      <c r="E1" s="441"/>
    </row>
    <row r="2" spans="1:5" s="447" customFormat="1" ht="15.75" customHeight="1">
      <c r="A2" s="442" t="str">
        <f>CONCATENATE("Nacalculatieformulier ",Voorblad!D3)</f>
        <v>Nacalculatieformulier 2005</v>
      </c>
      <c r="B2" s="444"/>
      <c r="C2" s="1225"/>
      <c r="D2" s="446" t="s">
        <v>1</v>
      </c>
      <c r="E2" s="493"/>
    </row>
    <row r="3" spans="2:3" ht="12.75">
      <c r="B3" s="539"/>
      <c r="C3" s="1223"/>
    </row>
    <row r="4" spans="1:4" s="458" customFormat="1" ht="12">
      <c r="A4" s="457" t="s">
        <v>2</v>
      </c>
      <c r="B4" s="541"/>
      <c r="C4" s="1226"/>
      <c r="D4" s="705"/>
    </row>
    <row r="5" spans="1:4" s="458" customFormat="1" ht="12">
      <c r="A5" s="1227" t="s">
        <v>55</v>
      </c>
      <c r="B5" s="1228" t="s">
        <v>3</v>
      </c>
      <c r="C5" s="1229" t="s">
        <v>354</v>
      </c>
      <c r="D5" s="1230" t="s">
        <v>4</v>
      </c>
    </row>
    <row r="6" spans="1:4" s="458" customFormat="1" ht="12">
      <c r="A6" s="1359" t="s">
        <v>503</v>
      </c>
      <c r="B6" s="1243" t="s">
        <v>256</v>
      </c>
      <c r="C6" s="1239">
        <v>38756</v>
      </c>
      <c r="D6" s="1232" t="s">
        <v>257</v>
      </c>
    </row>
    <row r="7" spans="1:4" s="458" customFormat="1" ht="12">
      <c r="A7" s="1240">
        <v>1.1</v>
      </c>
      <c r="B7" s="1231" t="s">
        <v>117</v>
      </c>
      <c r="C7" s="1239">
        <v>38764</v>
      </c>
      <c r="D7" s="1232" t="s">
        <v>257</v>
      </c>
    </row>
    <row r="8" spans="1:4" s="458" customFormat="1" ht="12">
      <c r="A8" s="1240" t="s">
        <v>426</v>
      </c>
      <c r="B8" s="1231" t="s">
        <v>428</v>
      </c>
      <c r="C8" s="1239">
        <v>38807</v>
      </c>
      <c r="D8" s="1232" t="s">
        <v>257</v>
      </c>
    </row>
    <row r="9" spans="1:4" s="458" customFormat="1" ht="12">
      <c r="A9" s="1240"/>
      <c r="B9" s="1231"/>
      <c r="C9" s="1239"/>
      <c r="D9" s="1232"/>
    </row>
    <row r="10" spans="1:4" s="458" customFormat="1" ht="12">
      <c r="A10" s="1240"/>
      <c r="B10" s="1231"/>
      <c r="C10" s="1239"/>
      <c r="D10" s="1232"/>
    </row>
    <row r="11" spans="1:4" s="458" customFormat="1" ht="12">
      <c r="A11" s="1241"/>
      <c r="B11" s="1233"/>
      <c r="C11" s="1242"/>
      <c r="D11" s="1234"/>
    </row>
    <row r="12" spans="1:4" s="458" customFormat="1" ht="12" customHeight="1">
      <c r="A12" s="14"/>
      <c r="B12" s="835"/>
      <c r="C12" s="1235"/>
      <c r="D12" s="831"/>
    </row>
    <row r="13" spans="1:4" s="458" customFormat="1" ht="12">
      <c r="A13" s="14"/>
      <c r="B13" s="835"/>
      <c r="C13" s="1235"/>
      <c r="D13" s="1236"/>
    </row>
    <row r="14" spans="1:4" s="458" customFormat="1" ht="12" customHeight="1">
      <c r="A14" s="42"/>
      <c r="B14" s="835"/>
      <c r="C14" s="1235"/>
      <c r="D14" s="606"/>
    </row>
    <row r="15" spans="1:4" s="458" customFormat="1" ht="12">
      <c r="A15" s="42"/>
      <c r="B15" s="835"/>
      <c r="C15" s="1235"/>
      <c r="D15" s="606"/>
    </row>
    <row r="16" spans="1:4" s="458" customFormat="1" ht="12">
      <c r="A16" s="42"/>
      <c r="B16" s="835"/>
      <c r="C16" s="1235"/>
      <c r="D16" s="831"/>
    </row>
    <row r="17" spans="1:8" s="509" customFormat="1" ht="12">
      <c r="A17" s="42"/>
      <c r="B17" s="835"/>
      <c r="C17" s="1235"/>
      <c r="D17" s="831"/>
      <c r="E17" s="458"/>
      <c r="F17" s="545"/>
      <c r="G17" s="545"/>
      <c r="H17" s="545"/>
    </row>
    <row r="18" spans="1:5" s="462" customFormat="1" ht="12">
      <c r="A18" s="458"/>
      <c r="B18" s="458"/>
      <c r="C18" s="461"/>
      <c r="D18" s="831"/>
      <c r="E18" s="458"/>
    </row>
    <row r="19" spans="1:5" s="458" customFormat="1" ht="12">
      <c r="A19" s="14"/>
      <c r="B19" s="830"/>
      <c r="C19" s="1235"/>
      <c r="D19" s="606"/>
      <c r="E19" s="545"/>
    </row>
    <row r="20" spans="1:5" s="509" customFormat="1" ht="12">
      <c r="A20" s="42"/>
      <c r="B20" s="607"/>
      <c r="C20" s="1235"/>
      <c r="D20" s="606"/>
      <c r="E20" s="462"/>
    </row>
    <row r="21" spans="1:5" s="509" customFormat="1" ht="12">
      <c r="A21" s="42"/>
      <c r="B21" s="607"/>
      <c r="C21" s="1235"/>
      <c r="D21" s="606"/>
      <c r="E21" s="458"/>
    </row>
    <row r="22" spans="1:4" s="509" customFormat="1" ht="12">
      <c r="A22" s="42"/>
      <c r="B22" s="607"/>
      <c r="C22" s="1235"/>
      <c r="D22" s="236"/>
    </row>
    <row r="23" spans="1:4" s="509" customFormat="1" ht="12">
      <c r="A23" s="42"/>
      <c r="B23" s="607"/>
      <c r="C23" s="1235"/>
      <c r="D23" s="832"/>
    </row>
    <row r="24" spans="1:4" s="509" customFormat="1" ht="12">
      <c r="A24" s="42"/>
      <c r="B24" s="95"/>
      <c r="C24" s="1235"/>
      <c r="D24" s="606"/>
    </row>
    <row r="25" spans="1:4" s="509" customFormat="1" ht="12">
      <c r="A25" s="42"/>
      <c r="B25" s="607"/>
      <c r="C25" s="1235"/>
      <c r="D25" s="606"/>
    </row>
    <row r="26" spans="1:4" s="509" customFormat="1" ht="12">
      <c r="A26" s="586"/>
      <c r="B26" s="586"/>
      <c r="C26" s="1235"/>
      <c r="D26" s="606"/>
    </row>
    <row r="27" spans="1:4" s="509" customFormat="1" ht="12">
      <c r="A27" s="14"/>
      <c r="B27" s="830"/>
      <c r="C27" s="1235"/>
      <c r="D27" s="1237"/>
    </row>
    <row r="28" spans="1:5" s="462" customFormat="1" ht="12">
      <c r="A28" s="42"/>
      <c r="B28" s="607"/>
      <c r="C28" s="1235"/>
      <c r="D28" s="1238"/>
      <c r="E28" s="509"/>
    </row>
    <row r="29" spans="1:4" s="509" customFormat="1" ht="12">
      <c r="A29" s="586"/>
      <c r="B29" s="607"/>
      <c r="C29" s="1235"/>
      <c r="D29" s="1236"/>
    </row>
    <row r="30" spans="1:4" s="462" customFormat="1" ht="12">
      <c r="A30" s="42"/>
      <c r="B30" s="607"/>
      <c r="C30" s="1235"/>
      <c r="D30" s="1199"/>
    </row>
    <row r="31" spans="1:4" s="509" customFormat="1" ht="12">
      <c r="A31" s="586"/>
      <c r="B31" s="607"/>
      <c r="C31" s="1235"/>
      <c r="D31" s="1199"/>
    </row>
    <row r="32" spans="1:5" s="509" customFormat="1" ht="12">
      <c r="A32" s="586"/>
      <c r="B32" s="607"/>
      <c r="C32" s="1235"/>
      <c r="D32" s="1199"/>
      <c r="E32" s="462"/>
    </row>
    <row r="33" spans="1:5" ht="12.75">
      <c r="A33" s="586"/>
      <c r="B33" s="607"/>
      <c r="C33" s="1235"/>
      <c r="D33" s="1199"/>
      <c r="E33" s="509"/>
    </row>
    <row r="34" spans="1:4" s="509" customFormat="1" ht="12">
      <c r="A34" s="586"/>
      <c r="B34" s="607"/>
      <c r="C34" s="1235"/>
      <c r="D34" s="1199"/>
    </row>
    <row r="35" spans="1:5" s="509" customFormat="1" ht="12.75">
      <c r="A35" s="14"/>
      <c r="B35" s="830"/>
      <c r="C35" s="1235"/>
      <c r="D35" s="1203"/>
      <c r="E35" s="539"/>
    </row>
    <row r="36" spans="1:4" s="509" customFormat="1" ht="12">
      <c r="A36" s="586"/>
      <c r="B36" s="607"/>
      <c r="C36" s="1235"/>
      <c r="D36" s="1199"/>
    </row>
    <row r="37" spans="1:5" s="458" customFormat="1" ht="12">
      <c r="A37" s="586"/>
      <c r="B37" s="607"/>
      <c r="C37" s="1235"/>
      <c r="D37" s="1199"/>
      <c r="E37" s="509"/>
    </row>
    <row r="38" spans="1:5" s="462" customFormat="1" ht="12">
      <c r="A38" s="509"/>
      <c r="B38" s="509"/>
      <c r="C38" s="461"/>
      <c r="D38" s="705"/>
      <c r="E38" s="509"/>
    </row>
    <row r="39" spans="1:4" s="458" customFormat="1" ht="12">
      <c r="A39" s="509"/>
      <c r="B39" s="509"/>
      <c r="C39" s="461"/>
      <c r="D39" s="705"/>
    </row>
    <row r="40" spans="3:5" s="458" customFormat="1" ht="12">
      <c r="C40" s="461"/>
      <c r="D40" s="705"/>
      <c r="E40" s="462"/>
    </row>
    <row r="41" spans="1:4" s="458" customFormat="1" ht="12">
      <c r="A41" s="462"/>
      <c r="B41" s="462"/>
      <c r="C41" s="918"/>
      <c r="D41" s="705"/>
    </row>
    <row r="42" spans="1:4" s="458" customFormat="1" ht="12.75">
      <c r="A42" s="586"/>
      <c r="B42" s="630"/>
      <c r="C42" s="3"/>
      <c r="D42" s="705"/>
    </row>
    <row r="43" spans="1:4" s="458" customFormat="1" ht="12.75">
      <c r="A43" s="47"/>
      <c r="B43" s="630"/>
      <c r="C43" s="3"/>
      <c r="D43" s="705"/>
    </row>
    <row r="44" spans="1:4" s="458" customFormat="1" ht="12.75">
      <c r="A44" s="586"/>
      <c r="B44" s="630"/>
      <c r="C44" s="3"/>
      <c r="D44" s="1238"/>
    </row>
    <row r="45" spans="1:4" s="458" customFormat="1" ht="12.75">
      <c r="A45" s="586"/>
      <c r="B45" s="630"/>
      <c r="C45" s="3"/>
      <c r="D45" s="1238"/>
    </row>
    <row r="46" spans="1:4" s="458" customFormat="1" ht="12.75">
      <c r="A46" s="42"/>
      <c r="B46" s="630"/>
      <c r="C46" s="3"/>
      <c r="D46" s="1238"/>
    </row>
    <row r="47" spans="1:4" s="458" customFormat="1" ht="12">
      <c r="A47" s="41"/>
      <c r="B47" s="835"/>
      <c r="C47" s="1235"/>
      <c r="D47" s="1238"/>
    </row>
    <row r="48" spans="1:4" s="458" customFormat="1" ht="12">
      <c r="A48" s="41"/>
      <c r="B48" s="835"/>
      <c r="C48" s="43"/>
      <c r="D48" s="1238"/>
    </row>
    <row r="49" spans="1:4" s="458" customFormat="1" ht="12">
      <c r="A49" s="41"/>
      <c r="B49" s="835"/>
      <c r="C49" s="43"/>
      <c r="D49" s="1238"/>
    </row>
    <row r="50" spans="1:4" s="458" customFormat="1" ht="12">
      <c r="A50" s="41"/>
      <c r="B50" s="835"/>
      <c r="C50" s="43"/>
      <c r="D50" s="1238"/>
    </row>
    <row r="51" spans="1:4" s="458" customFormat="1" ht="12">
      <c r="A51" s="41"/>
      <c r="B51" s="835"/>
      <c r="C51" s="43"/>
      <c r="D51" s="1238"/>
    </row>
    <row r="52" spans="1:4" s="458" customFormat="1" ht="12">
      <c r="A52" s="41"/>
      <c r="B52" s="835"/>
      <c r="C52" s="43"/>
      <c r="D52" s="1238"/>
    </row>
    <row r="53" spans="1:4" s="458" customFormat="1" ht="12">
      <c r="A53" s="41"/>
      <c r="B53" s="835"/>
      <c r="C53" s="43"/>
      <c r="D53" s="1238"/>
    </row>
    <row r="54" spans="1:4" s="458" customFormat="1" ht="12">
      <c r="A54" s="457"/>
      <c r="B54" s="541"/>
      <c r="C54" s="461"/>
      <c r="D54" s="1238"/>
    </row>
    <row r="55" spans="1:4" s="458" customFormat="1" ht="12">
      <c r="A55" s="457"/>
      <c r="B55" s="541"/>
      <c r="C55" s="461"/>
      <c r="D55" s="1238"/>
    </row>
    <row r="56" spans="1:5" s="483" customFormat="1" ht="12.75">
      <c r="A56" s="457"/>
      <c r="B56" s="541"/>
      <c r="C56" s="461"/>
      <c r="D56" s="1238"/>
      <c r="E56" s="458"/>
    </row>
    <row r="57" spans="1:5" s="483" customFormat="1" ht="12.75">
      <c r="A57" s="457"/>
      <c r="B57" s="541"/>
      <c r="C57" s="461"/>
      <c r="D57" s="1238"/>
      <c r="E57" s="458"/>
    </row>
    <row r="58" spans="1:4" s="483" customFormat="1" ht="12.75">
      <c r="A58" s="457"/>
      <c r="B58" s="541"/>
      <c r="C58" s="461"/>
      <c r="D58" s="1224"/>
    </row>
    <row r="59" spans="1:4" s="483" customFormat="1" ht="12.75">
      <c r="A59" s="457"/>
      <c r="B59" s="541"/>
      <c r="C59" s="461"/>
      <c r="D59" s="1224"/>
    </row>
    <row r="60" spans="1:4" s="483" customFormat="1" ht="12.75">
      <c r="A60" s="457"/>
      <c r="B60" s="541"/>
      <c r="C60" s="461"/>
      <c r="D60" s="1224"/>
    </row>
    <row r="61" spans="1:4" s="483" customFormat="1" ht="12.75">
      <c r="A61" s="434"/>
      <c r="B61" s="547"/>
      <c r="C61" s="537"/>
      <c r="D61" s="1224"/>
    </row>
    <row r="62" spans="1:4" s="483" customFormat="1" ht="12.75">
      <c r="A62" s="434"/>
      <c r="B62" s="547"/>
      <c r="C62" s="537"/>
      <c r="D62" s="1224"/>
    </row>
    <row r="63" spans="1:4" s="483" customFormat="1" ht="12.75">
      <c r="A63" s="434"/>
      <c r="B63" s="547"/>
      <c r="C63" s="537"/>
      <c r="D63" s="1224"/>
    </row>
    <row r="64" spans="1:4" s="483" customFormat="1" ht="12.75">
      <c r="A64" s="434"/>
      <c r="B64" s="547"/>
      <c r="C64" s="537"/>
      <c r="D64" s="1224"/>
    </row>
    <row r="65" spans="1:4" s="483" customFormat="1" ht="12.75">
      <c r="A65" s="434"/>
      <c r="B65" s="547"/>
      <c r="C65" s="537"/>
      <c r="D65" s="1224"/>
    </row>
    <row r="66" spans="1:4" s="483" customFormat="1" ht="12.75">
      <c r="A66" s="434"/>
      <c r="B66" s="547"/>
      <c r="C66" s="537"/>
      <c r="D66" s="1224"/>
    </row>
    <row r="67" spans="1:4" s="483" customFormat="1" ht="12.75">
      <c r="A67" s="434"/>
      <c r="B67" s="547"/>
      <c r="C67" s="537"/>
      <c r="D67" s="1224"/>
    </row>
    <row r="68" spans="1:4" s="483" customFormat="1" ht="12.75">
      <c r="A68" s="434"/>
      <c r="B68" s="547"/>
      <c r="C68" s="537"/>
      <c r="D68" s="1224"/>
    </row>
    <row r="69" spans="1:4" s="483" customFormat="1" ht="12.75">
      <c r="A69" s="434"/>
      <c r="B69" s="547"/>
      <c r="C69" s="537"/>
      <c r="D69" s="1224"/>
    </row>
    <row r="70" spans="1:4" s="483" customFormat="1" ht="12.75">
      <c r="A70" s="434"/>
      <c r="B70" s="547"/>
      <c r="C70" s="537"/>
      <c r="D70" s="1224"/>
    </row>
    <row r="71" spans="1:4" s="483" customFormat="1" ht="12.75">
      <c r="A71" s="434"/>
      <c r="B71" s="547"/>
      <c r="C71" s="537"/>
      <c r="D71" s="1224"/>
    </row>
    <row r="72" spans="1:4" s="483" customFormat="1" ht="12.75">
      <c r="A72" s="434"/>
      <c r="B72" s="547"/>
      <c r="C72" s="537"/>
      <c r="D72" s="1224"/>
    </row>
    <row r="73" spans="1:4" s="483" customFormat="1" ht="12.75">
      <c r="A73" s="434"/>
      <c r="B73" s="547"/>
      <c r="C73" s="537"/>
      <c r="D73" s="1224"/>
    </row>
    <row r="74" spans="1:4" s="483" customFormat="1" ht="12.75">
      <c r="A74" s="434"/>
      <c r="B74" s="547"/>
      <c r="C74" s="537"/>
      <c r="D74" s="1224"/>
    </row>
    <row r="75" spans="1:4" s="483" customFormat="1" ht="12.75">
      <c r="A75" s="434"/>
      <c r="B75" s="547"/>
      <c r="C75" s="537"/>
      <c r="D75" s="1224"/>
    </row>
    <row r="76" spans="1:4" s="483" customFormat="1" ht="12.75">
      <c r="A76" s="434"/>
      <c r="B76" s="547"/>
      <c r="C76" s="537"/>
      <c r="D76" s="1224"/>
    </row>
    <row r="77" spans="1:4" s="483" customFormat="1" ht="12.75">
      <c r="A77" s="434"/>
      <c r="B77" s="547"/>
      <c r="C77" s="537"/>
      <c r="D77" s="1224"/>
    </row>
    <row r="78" spans="1:4" s="483" customFormat="1" ht="12.75">
      <c r="A78" s="434"/>
      <c r="B78" s="547"/>
      <c r="C78" s="537"/>
      <c r="D78" s="1224"/>
    </row>
    <row r="79" spans="1:4" s="483" customFormat="1" ht="12.75">
      <c r="A79" s="434"/>
      <c r="B79" s="547"/>
      <c r="C79" s="537"/>
      <c r="D79" s="1224"/>
    </row>
    <row r="80" spans="1:4" s="483" customFormat="1" ht="12.75">
      <c r="A80" s="434"/>
      <c r="B80" s="547"/>
      <c r="C80" s="537"/>
      <c r="D80" s="1224"/>
    </row>
    <row r="81" spans="1:4" s="483" customFormat="1" ht="12.75">
      <c r="A81" s="434"/>
      <c r="B81" s="547"/>
      <c r="C81" s="537"/>
      <c r="D81" s="1224"/>
    </row>
    <row r="82" spans="1:4" s="483" customFormat="1" ht="12.75">
      <c r="A82" s="434"/>
      <c r="B82" s="547"/>
      <c r="C82" s="537"/>
      <c r="D82" s="1224"/>
    </row>
    <row r="83" spans="1:4" s="483" customFormat="1" ht="12.75">
      <c r="A83" s="434"/>
      <c r="B83" s="547"/>
      <c r="C83" s="537"/>
      <c r="D83" s="1224"/>
    </row>
    <row r="84" spans="1:4" s="483" customFormat="1" ht="12.75">
      <c r="A84" s="434"/>
      <c r="B84" s="547"/>
      <c r="C84" s="537"/>
      <c r="D84" s="1224"/>
    </row>
    <row r="85" spans="1:4" s="483" customFormat="1" ht="12.75">
      <c r="A85" s="434"/>
      <c r="B85" s="547"/>
      <c r="C85" s="537"/>
      <c r="D85" s="1224"/>
    </row>
    <row r="86" spans="1:4" s="483" customFormat="1" ht="12.75">
      <c r="A86" s="434"/>
      <c r="B86" s="547"/>
      <c r="C86" s="537"/>
      <c r="D86" s="1224"/>
    </row>
    <row r="87" spans="1:4" s="483" customFormat="1" ht="12.75">
      <c r="A87" s="434"/>
      <c r="B87" s="547"/>
      <c r="C87" s="537"/>
      <c r="D87" s="1224"/>
    </row>
    <row r="88" spans="1:4" s="483" customFormat="1" ht="12.75">
      <c r="A88" s="434"/>
      <c r="B88" s="547"/>
      <c r="C88" s="537"/>
      <c r="D88" s="1224"/>
    </row>
    <row r="89" spans="1:4" s="483" customFormat="1" ht="12.75">
      <c r="A89" s="434"/>
      <c r="B89" s="547"/>
      <c r="C89" s="537"/>
      <c r="D89" s="1224"/>
    </row>
    <row r="90" spans="1:4" s="483" customFormat="1" ht="12.75">
      <c r="A90" s="434"/>
      <c r="B90" s="547"/>
      <c r="C90" s="537"/>
      <c r="D90" s="1224"/>
    </row>
    <row r="91" spans="1:4" s="483" customFormat="1" ht="12.75">
      <c r="A91" s="434"/>
      <c r="B91" s="547"/>
      <c r="C91" s="537"/>
      <c r="D91" s="1224"/>
    </row>
    <row r="92" spans="1:4" s="483" customFormat="1" ht="12.75">
      <c r="A92" s="434"/>
      <c r="B92" s="547"/>
      <c r="C92" s="537"/>
      <c r="D92" s="1224"/>
    </row>
    <row r="93" spans="1:4" s="483" customFormat="1" ht="12.75">
      <c r="A93" s="434"/>
      <c r="B93" s="547"/>
      <c r="C93" s="537"/>
      <c r="D93" s="1224"/>
    </row>
    <row r="94" spans="1:4" s="483" customFormat="1" ht="12.75">
      <c r="A94" s="434"/>
      <c r="B94" s="547"/>
      <c r="C94" s="537"/>
      <c r="D94" s="1224"/>
    </row>
    <row r="95" spans="1:4" s="483" customFormat="1" ht="12.75">
      <c r="A95" s="434"/>
      <c r="B95" s="547"/>
      <c r="C95" s="537"/>
      <c r="D95" s="1224"/>
    </row>
    <row r="96" spans="1:4" s="483" customFormat="1" ht="12.75">
      <c r="A96" s="434"/>
      <c r="B96" s="547"/>
      <c r="C96" s="537"/>
      <c r="D96" s="1224"/>
    </row>
    <row r="97" spans="1:4" s="483" customFormat="1" ht="12.75">
      <c r="A97" s="434"/>
      <c r="B97" s="547"/>
      <c r="C97" s="537"/>
      <c r="D97" s="1224"/>
    </row>
    <row r="98" spans="1:4" s="483" customFormat="1" ht="12.75">
      <c r="A98" s="434"/>
      <c r="B98" s="547"/>
      <c r="C98" s="537"/>
      <c r="D98" s="1224"/>
    </row>
    <row r="99" spans="1:4" s="483" customFormat="1" ht="12.75">
      <c r="A99" s="434"/>
      <c r="B99" s="547"/>
      <c r="C99" s="537"/>
      <c r="D99" s="1224"/>
    </row>
    <row r="100" spans="1:4" s="483" customFormat="1" ht="12.75">
      <c r="A100" s="434"/>
      <c r="B100" s="547"/>
      <c r="C100" s="537"/>
      <c r="D100" s="1224"/>
    </row>
    <row r="101" spans="1:4" s="483" customFormat="1" ht="12.75">
      <c r="A101" s="434"/>
      <c r="B101" s="547"/>
      <c r="C101" s="537"/>
      <c r="D101" s="1224"/>
    </row>
    <row r="102" spans="1:4" s="483" customFormat="1" ht="12.75">
      <c r="A102" s="434"/>
      <c r="B102" s="547"/>
      <c r="C102" s="537"/>
      <c r="D102" s="1224"/>
    </row>
    <row r="103" spans="1:4" s="483" customFormat="1" ht="12.75">
      <c r="A103" s="434"/>
      <c r="B103" s="547"/>
      <c r="C103" s="537"/>
      <c r="D103" s="1224"/>
    </row>
    <row r="104" spans="1:4" s="483" customFormat="1" ht="12.75">
      <c r="A104" s="434"/>
      <c r="B104" s="547"/>
      <c r="C104" s="537"/>
      <c r="D104" s="1224"/>
    </row>
    <row r="105" spans="1:5" ht="12.75">
      <c r="A105" s="434"/>
      <c r="B105" s="547"/>
      <c r="E105" s="483"/>
    </row>
    <row r="106" spans="1:5" ht="12.75">
      <c r="A106" s="434"/>
      <c r="B106" s="547"/>
      <c r="E106" s="483"/>
    </row>
    <row r="107" spans="1:2" ht="12.75">
      <c r="A107" s="434"/>
      <c r="B107" s="547"/>
    </row>
    <row r="108" spans="1:2" ht="12.75">
      <c r="A108" s="434"/>
      <c r="B108" s="547"/>
    </row>
    <row r="109" spans="1:2" ht="12.75">
      <c r="A109" s="434"/>
      <c r="B109" s="547"/>
    </row>
  </sheetData>
  <sheetProtection password="CCBC" sheet="1" objects="1" scenarios="1" selectLockedCells="1"/>
  <printOptions/>
  <pageMargins left="0.3937007874015748" right="0.3937007874015748" top="0.3937007874015748" bottom="0.3937007874015748" header="0.5118110236220472" footer="0.5118110236220472"/>
  <pageSetup fitToHeight="1" fitToWidth="1"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codeName="Blad3">
    <pageSetUpPr fitToPage="1"/>
  </sheetPr>
  <dimension ref="A1:M108"/>
  <sheetViews>
    <sheetView showGridLines="0" showRowColHeaders="0" showZeros="0" showOutlineSymbols="0" view="pageBreakPreview" zoomScale="75" zoomScaleNormal="86" zoomScaleSheetLayoutView="75" workbookViewId="0" topLeftCell="A1">
      <selection activeCell="A1" sqref="A1"/>
    </sheetView>
  </sheetViews>
  <sheetFormatPr defaultColWidth="9.140625" defaultRowHeight="12.75"/>
  <cols>
    <col min="1" max="1" width="2.7109375" style="538" customWidth="1"/>
    <col min="2" max="2" width="4.28125" style="548" customWidth="1"/>
    <col min="3" max="3" width="50.7109375" style="539" customWidth="1"/>
    <col min="4" max="4" width="4.8515625" style="539" customWidth="1"/>
    <col min="5" max="6" width="2.7109375" style="539" customWidth="1"/>
    <col min="7" max="7" width="4.28125" style="1302" customWidth="1"/>
    <col min="8" max="8" width="50.7109375" style="539" customWidth="1"/>
    <col min="9" max="9" width="4.7109375" style="539" customWidth="1"/>
    <col min="10" max="16384" width="9.140625" style="539" customWidth="1"/>
  </cols>
  <sheetData>
    <row r="1" spans="1:10" s="440" customFormat="1" ht="15.75" customHeight="1">
      <c r="A1" s="434"/>
      <c r="B1" s="537"/>
      <c r="C1" s="483"/>
      <c r="D1" s="437"/>
      <c r="E1" s="437"/>
      <c r="F1" s="434"/>
      <c r="G1" s="1300"/>
      <c r="H1" s="483"/>
      <c r="J1" s="441"/>
    </row>
    <row r="2" spans="1:10" s="447" customFormat="1" ht="15.75" customHeight="1">
      <c r="A2" s="442" t="str">
        <f>CONCATENATE("Nacalculatieformulier ",Voorblad!D3)</f>
        <v>Nacalculatieformulier 2005</v>
      </c>
      <c r="B2" s="444"/>
      <c r="C2" s="445"/>
      <c r="D2" s="445"/>
      <c r="E2" s="445"/>
      <c r="F2" s="445"/>
      <c r="G2" s="1301"/>
      <c r="H2" s="443"/>
      <c r="I2" s="446">
        <v>2</v>
      </c>
      <c r="J2" s="493"/>
    </row>
    <row r="3" spans="2:6" ht="12.75">
      <c r="B3" s="539"/>
      <c r="D3" s="540"/>
      <c r="E3" s="540"/>
      <c r="F3" s="538"/>
    </row>
    <row r="4" spans="1:9" s="458" customFormat="1" ht="12">
      <c r="A4" s="457" t="s">
        <v>486</v>
      </c>
      <c r="B4" s="541"/>
      <c r="D4" s="705" t="s">
        <v>613</v>
      </c>
      <c r="G4" s="463"/>
      <c r="I4" s="705" t="s">
        <v>613</v>
      </c>
    </row>
    <row r="5" spans="1:9" s="458" customFormat="1" ht="12">
      <c r="A5" s="457"/>
      <c r="B5" s="457"/>
      <c r="C5" s="457"/>
      <c r="D5" s="706"/>
      <c r="E5" s="457"/>
      <c r="F5" s="457"/>
      <c r="G5" s="1303"/>
      <c r="H5" s="457"/>
      <c r="I5" s="706"/>
    </row>
    <row r="6" spans="1:9" s="462" customFormat="1" ht="12">
      <c r="A6" s="14" t="str">
        <f>'Prod.1.1.'!A4</f>
        <v>RUBRIEK 1: NACALCULATIE PRODUCTIE</v>
      </c>
      <c r="B6" s="830"/>
      <c r="C6" s="94"/>
      <c r="D6" s="1291">
        <f>'Prod.1.1.'!J2</f>
        <v>7</v>
      </c>
      <c r="G6" s="1304" t="str">
        <f>'Rentecalc.'!A6</f>
        <v>CALCULATIEMODEL RENTEKOSTEN</v>
      </c>
      <c r="H6" s="47"/>
      <c r="I6" s="1291">
        <f>'Rentecalc.'!E2</f>
        <v>23</v>
      </c>
    </row>
    <row r="7" spans="1:9" s="462" customFormat="1" ht="12">
      <c r="A7" s="14"/>
      <c r="B7" s="1281" t="str">
        <f>'Prod.1.1.'!A6</f>
        <v>1.1 </v>
      </c>
      <c r="C7" s="1287" t="str">
        <f>'Prod.1.1.'!B6</f>
        <v>Productieaantallen en realisatie 2005</v>
      </c>
      <c r="D7" s="1291">
        <f>'Prod.1.1.'!J2</f>
        <v>7</v>
      </c>
      <c r="F7" s="450"/>
      <c r="G7" s="833"/>
      <c r="H7" s="1277"/>
      <c r="I7" s="833"/>
    </row>
    <row r="8" spans="1:9" s="462" customFormat="1" ht="12">
      <c r="A8" s="14"/>
      <c r="B8" s="1281" t="str">
        <f>'Prod.1.2'!A6</f>
        <v>1.2 </v>
      </c>
      <c r="C8" s="1287" t="str">
        <f>'Prod.1.2'!B6</f>
        <v>Eerstelijnsvoorzieningen / -functies</v>
      </c>
      <c r="D8" s="1291">
        <f>'Prod.1.2'!J2</f>
        <v>9</v>
      </c>
      <c r="E8" s="458"/>
      <c r="F8" s="450"/>
      <c r="G8" s="1304" t="s">
        <v>632</v>
      </c>
      <c r="H8" s="1276"/>
      <c r="I8" s="1291"/>
    </row>
    <row r="9" spans="1:9" s="458" customFormat="1" ht="12">
      <c r="A9" s="14"/>
      <c r="B9" s="1281" t="str">
        <f>'Prod.1.3'!A4</f>
        <v>1.3 </v>
      </c>
      <c r="C9" s="1287" t="str">
        <f>'Prod.1.3'!B4</f>
        <v>Nacalculatie experiment-DBC´s 2005</v>
      </c>
      <c r="D9" s="1291">
        <f>'Prod.1.3'!M2</f>
        <v>11</v>
      </c>
      <c r="G9" s="1283" t="str">
        <f>'A-G'!A8</f>
        <v>A. </v>
      </c>
      <c r="H9" s="1285" t="str">
        <f>'A-G'!B8</f>
        <v>Boekwaarde investeringen waarvoor vergunning is verleend</v>
      </c>
      <c r="I9" s="1292">
        <f>'A-G'!G2</f>
        <v>24</v>
      </c>
    </row>
    <row r="10" spans="1:9" s="458" customFormat="1" ht="24">
      <c r="A10" s="14"/>
      <c r="B10" s="1281" t="str">
        <f>'Prod.1.4'!A5</f>
        <v>1.4.1 </v>
      </c>
      <c r="C10" s="1287" t="str">
        <f>'Prod.1.4'!B5</f>
        <v>Dure geneesmiddelen </v>
      </c>
      <c r="D10" s="1291">
        <f>'Prod.1.4'!H2</f>
        <v>12</v>
      </c>
      <c r="G10" s="1283" t="str">
        <f>'A-G'!A31</f>
        <v>B.</v>
      </c>
      <c r="H10" s="1285" t="str">
        <f>'A-G'!B31</f>
        <v>Onderhanden bouwprojecten  met WZV vergunning (geen investeringen meldingsregeling)</v>
      </c>
      <c r="I10" s="48"/>
    </row>
    <row r="11" spans="1:9" s="458" customFormat="1" ht="12.75">
      <c r="A11" s="14"/>
      <c r="B11" s="1281" t="str">
        <f>'Prod.1.4'!A40</f>
        <v>1.4.2 </v>
      </c>
      <c r="C11" s="1287" t="s">
        <v>222</v>
      </c>
      <c r="D11" s="1291">
        <f>'Prod.1.4'!H2</f>
        <v>12</v>
      </c>
      <c r="G11" s="48"/>
      <c r="H11" s="1286"/>
      <c r="I11" s="1292">
        <f>'A-G'!G2</f>
        <v>24</v>
      </c>
    </row>
    <row r="12" spans="1:9" s="458" customFormat="1" ht="12" customHeight="1">
      <c r="A12" s="14"/>
      <c r="B12" s="1281" t="str">
        <f>'Prod.1.5'!A4</f>
        <v>1.5.1 </v>
      </c>
      <c r="C12" s="1287" t="str">
        <f>'Prod.1.5'!B4</f>
        <v>Berekening (gewogen) opnamen en verpleegdagen 2005</v>
      </c>
      <c r="D12" s="1291">
        <f>'Prod.1.5'!L2</f>
        <v>13</v>
      </c>
      <c r="G12" s="1283" t="str">
        <f>'A-G'!A53</f>
        <v>C. </v>
      </c>
      <c r="H12" s="1285" t="str">
        <f>'A-G'!B53</f>
        <v>Werkelijke boekwaarde instandhoudingsinvesteringen (inclusief onderhanden werk)</v>
      </c>
      <c r="I12" s="1291">
        <f>'A-G'!G48</f>
        <v>25</v>
      </c>
    </row>
    <row r="13" spans="1:9" s="458" customFormat="1" ht="13.5" customHeight="1">
      <c r="A13" s="42"/>
      <c r="B13" s="1281" t="str">
        <f>'Prod.1.5'!A45</f>
        <v>1.5.2 </v>
      </c>
      <c r="C13" s="1287" t="str">
        <f>'Prod.1.5'!B45</f>
        <v>Berekening (gewogen) eerste polikliniekbezoeken en dagverplegingen 2005</v>
      </c>
      <c r="D13" s="1291">
        <f>'Prod.1.5'!L43</f>
        <v>14</v>
      </c>
      <c r="G13" s="1283" t="str">
        <f>'A-G'!A79</f>
        <v>D  </v>
      </c>
      <c r="H13" s="1285" t="str">
        <f>'A-G'!B79</f>
        <v>Normatieve boekwaarde medische en overige inventarissen</v>
      </c>
      <c r="I13" s="1291">
        <f>'A-G'!G48</f>
        <v>25</v>
      </c>
    </row>
    <row r="14" spans="1:9" s="458" customFormat="1" ht="24">
      <c r="A14" s="42"/>
      <c r="B14" s="1281" t="str">
        <f>'Prod.1.6'!A4</f>
        <v>1.6.1</v>
      </c>
      <c r="C14" s="1287" t="str">
        <f>'Prod.1.6'!B4</f>
        <v>Capaciteitsmutaties</v>
      </c>
      <c r="D14" s="1291">
        <f>'Prod.1.6'!H2</f>
        <v>15</v>
      </c>
      <c r="G14" s="1283" t="str">
        <f>'A-G'!A100</f>
        <v>E. </v>
      </c>
      <c r="H14" s="1285" t="str">
        <f>'A-G'!B100</f>
        <v>Normatieve boekwaarde medische en overige inventarissen artikel 2 WBMV apparatuur</v>
      </c>
      <c r="I14" s="1292">
        <f>'A-G'!G94</f>
        <v>26</v>
      </c>
    </row>
    <row r="15" spans="1:9" s="458" customFormat="1" ht="12">
      <c r="A15" s="42"/>
      <c r="B15" s="1281" t="str">
        <f>'Prod.1.6'!A51</f>
        <v>1.6.2</v>
      </c>
      <c r="C15" s="1287" t="str">
        <f>'Prod.1.6'!B51</f>
        <v> Aanpassing vergoeding loonkosten agio´s</v>
      </c>
      <c r="D15" s="1291">
        <f>'Prod.1.6'!H48</f>
        <v>16</v>
      </c>
      <c r="G15" s="1283" t="str">
        <f>'A-G'!A114</f>
        <v>F.</v>
      </c>
      <c r="H15" s="1285" t="str">
        <f>'A-G'!B114</f>
        <v>Normatief werkkapitaal</v>
      </c>
      <c r="I15" s="1292">
        <f>'A-G'!G94</f>
        <v>26</v>
      </c>
    </row>
    <row r="16" spans="1:13" s="509" customFormat="1" ht="12">
      <c r="A16" s="42"/>
      <c r="B16" s="1281" t="str">
        <f>'Prod.1.6'!A64</f>
        <v>1.6.3</v>
      </c>
      <c r="C16" s="1287" t="str">
        <f>'Prod.1.6'!B64</f>
        <v>Gerealiseerde extra opleidingsplaatsen 2005</v>
      </c>
      <c r="D16" s="1291">
        <f>'Prod.1.6'!H48</f>
        <v>16</v>
      </c>
      <c r="E16" s="458"/>
      <c r="F16" s="458"/>
      <c r="G16" s="1283" t="str">
        <f>'A-G'!A125</f>
        <v>G. </v>
      </c>
      <c r="H16" s="1285" t="str">
        <f>'A-G'!B125</f>
        <v>Nog in tarieven te verrekenen kosten/opbrengsten</v>
      </c>
      <c r="I16" s="1292">
        <f>'A-G'!G123</f>
        <v>27</v>
      </c>
      <c r="J16" s="458"/>
      <c r="K16" s="545"/>
      <c r="L16" s="545"/>
      <c r="M16" s="545"/>
    </row>
    <row r="17" spans="1:10" s="462" customFormat="1" ht="12">
      <c r="A17" s="458"/>
      <c r="B17" s="463"/>
      <c r="C17" s="1288"/>
      <c r="D17" s="463"/>
      <c r="E17" s="509"/>
      <c r="F17" s="458"/>
      <c r="G17" s="1283" t="str">
        <f>H!A7</f>
        <v>H. </v>
      </c>
      <c r="H17" s="1285" t="str">
        <f>H!B7</f>
        <v>Langlopende leningen (incl. langlopende leasecontracten)</v>
      </c>
      <c r="I17" s="1291" t="str">
        <f>CONCATENATE(H!T2,"-",H!S141)</f>
        <v>28-31</v>
      </c>
      <c r="J17" s="458"/>
    </row>
    <row r="18" spans="1:10" s="458" customFormat="1" ht="12">
      <c r="A18" s="14" t="str">
        <f>Opbrengsten!A4</f>
        <v>RUBRIEK 2: WERKELIJKE OPBRENGSTEN </v>
      </c>
      <c r="B18" s="1282"/>
      <c r="C18" s="1289"/>
      <c r="D18" s="1291">
        <f>Opbrengsten!J2</f>
        <v>17</v>
      </c>
      <c r="E18" s="462"/>
      <c r="G18" s="1283" t="str">
        <f>'I-J'!A6</f>
        <v>I. </v>
      </c>
      <c r="H18" s="1285" t="str">
        <f>LEFT('I-J'!B6,14)</f>
        <v>Eigen vermogen</v>
      </c>
      <c r="I18" s="1291">
        <f>'I-J'!E2</f>
        <v>32</v>
      </c>
      <c r="J18" s="545"/>
    </row>
    <row r="19" spans="1:10" s="509" customFormat="1" ht="12">
      <c r="A19" s="42"/>
      <c r="B19" s="1283" t="str">
        <f>Opbrengsten!A8</f>
        <v>2.1</v>
      </c>
      <c r="C19" s="1290" t="str">
        <f>Opbrengsten!B8</f>
        <v>DBC-A opbrengst</v>
      </c>
      <c r="D19" s="1291">
        <f>Opbrengsten!$J$2</f>
        <v>17</v>
      </c>
      <c r="E19" s="458"/>
      <c r="F19" s="543"/>
      <c r="G19" s="1283" t="str">
        <f>'I-J'!A26</f>
        <v>J. </v>
      </c>
      <c r="H19" s="1285" t="str">
        <f>'I-J'!B26</f>
        <v>Rentekosten langlopende leningen</v>
      </c>
      <c r="I19" s="1291">
        <f>'I-J'!E2</f>
        <v>32</v>
      </c>
      <c r="J19" s="462"/>
    </row>
    <row r="20" spans="1:10" s="509" customFormat="1" ht="12">
      <c r="A20" s="42"/>
      <c r="B20" s="1283"/>
      <c r="C20" s="1290" t="str">
        <f>Opbrengsten!B18</f>
        <v>Af:</v>
      </c>
      <c r="D20" s="1291">
        <f>Opbrengsten!$J$2</f>
        <v>17</v>
      </c>
      <c r="G20" s="833"/>
      <c r="H20" s="1279"/>
      <c r="I20" s="833"/>
      <c r="J20" s="458"/>
    </row>
    <row r="21" spans="1:9" s="509" customFormat="1" ht="12">
      <c r="A21" s="42"/>
      <c r="B21" s="1283" t="str">
        <f>Opbrengsten!A22</f>
        <v>2.3</v>
      </c>
      <c r="C21" s="1290" t="str">
        <f>Opbrengsten!B22</f>
        <v>Opbrengst trajecten</v>
      </c>
      <c r="D21" s="1291">
        <f>Opbrengsten!$J$2</f>
        <v>17</v>
      </c>
      <c r="F21" s="450"/>
      <c r="G21" s="1282"/>
      <c r="H21" s="1289"/>
      <c r="I21" s="1293"/>
    </row>
    <row r="22" spans="1:9" s="509" customFormat="1" ht="12">
      <c r="A22" s="42"/>
      <c r="B22" s="1283" t="str">
        <f>Opbrengsten!A29</f>
        <v>2.4</v>
      </c>
      <c r="C22" s="1290" t="str">
        <f>Opbrengsten!B29</f>
        <v>Overige opbrengsten</v>
      </c>
      <c r="D22" s="1291">
        <f>Opbrengsten!$J$2</f>
        <v>17</v>
      </c>
      <c r="F22" s="458"/>
      <c r="G22" s="833" t="str">
        <f>vragen!A4</f>
        <v>VRAGENLIJST NACALCULATIE</v>
      </c>
      <c r="H22" s="1278"/>
      <c r="I22" s="1291" t="str">
        <f>CONCATENATE(vragen!F2,"-",vragen!F102)</f>
        <v>33-35</v>
      </c>
    </row>
    <row r="23" spans="1:9" s="509" customFormat="1" ht="12">
      <c r="A23" s="42"/>
      <c r="B23" s="1284" t="str">
        <f>Opbrengsten!G8</f>
        <v>2.5</v>
      </c>
      <c r="C23" s="1290" t="str">
        <f>Opbrengsten!H8</f>
        <v>Overige vergoedingen ter dekking van het budget</v>
      </c>
      <c r="D23" s="1291">
        <f>Opbrengsten!J2</f>
        <v>17</v>
      </c>
      <c r="F23" s="458"/>
      <c r="G23" s="1305"/>
      <c r="H23" s="1263"/>
      <c r="I23" s="1291"/>
    </row>
    <row r="24" spans="1:9" s="509" customFormat="1" ht="12">
      <c r="A24" s="42"/>
      <c r="B24" s="1283" t="str">
        <f>Opbrengsten!G26</f>
        <v>2.7</v>
      </c>
      <c r="C24" s="1285" t="str">
        <f>Opbrengsten!H26</f>
        <v>Aanvullende inkomsten (niet ter dekking van het budget)</v>
      </c>
      <c r="D24" s="1291">
        <f>Opbrengsten!J2</f>
        <v>17</v>
      </c>
      <c r="F24" s="546"/>
      <c r="G24" s="833"/>
      <c r="H24" s="1296"/>
      <c r="I24" s="1291"/>
    </row>
    <row r="25" spans="1:9" s="509" customFormat="1" ht="12">
      <c r="A25" s="586"/>
      <c r="B25" s="1262"/>
      <c r="C25" s="804"/>
      <c r="D25" s="1291"/>
      <c r="F25" s="546"/>
      <c r="G25" s="833"/>
      <c r="H25" s="1296"/>
      <c r="I25" s="48"/>
    </row>
    <row r="26" spans="1:9" s="509" customFormat="1" ht="12">
      <c r="A26" s="14" t="str">
        <f>Afschrijvingen!A4</f>
        <v>RUBRIEK 3: KAPITAALSLASTEN</v>
      </c>
      <c r="B26" s="1282"/>
      <c r="C26" s="1289"/>
      <c r="D26" s="1291">
        <f>Afschrijvingen!H2</f>
        <v>18</v>
      </c>
      <c r="E26" s="462"/>
      <c r="F26" s="546"/>
      <c r="G26" s="1294"/>
      <c r="H26" s="1297"/>
      <c r="I26" s="1294"/>
    </row>
    <row r="27" spans="1:10" s="462" customFormat="1" ht="12" customHeight="1">
      <c r="A27" s="42"/>
      <c r="B27" s="1283" t="str">
        <f>Afschrijvingen!A6</f>
        <v>3.1</v>
      </c>
      <c r="C27" s="1285" t="str">
        <f>Afschrijvingen!B6</f>
        <v>Nacalculeerbare afschrijvingskosten (normale en verkorte procedures)</v>
      </c>
      <c r="D27" s="1291">
        <f>Afschrijvingen!H2</f>
        <v>18</v>
      </c>
      <c r="E27" s="509"/>
      <c r="F27" s="546"/>
      <c r="G27" s="834" t="s">
        <v>586</v>
      </c>
      <c r="H27" s="804"/>
      <c r="I27" s="1262"/>
      <c r="J27" s="509"/>
    </row>
    <row r="28" spans="1:9" s="509" customFormat="1" ht="12" customHeight="1">
      <c r="A28" s="586"/>
      <c r="B28" s="1283" t="str">
        <f>WZV!A5</f>
        <v>3.2</v>
      </c>
      <c r="C28" s="1285" t="str">
        <f>WZV!B5</f>
        <v>Specificatie in gebruikgenomen nacalculeerbare investeringen</v>
      </c>
      <c r="D28" s="1291">
        <f>WZV!M2</f>
        <v>19</v>
      </c>
      <c r="E28" s="462"/>
      <c r="G28" s="463" t="s">
        <v>39</v>
      </c>
      <c r="H28" s="1298" t="s">
        <v>40</v>
      </c>
      <c r="I28" s="1295">
        <f>'G1'!E2</f>
        <v>36</v>
      </c>
    </row>
    <row r="29" spans="1:9" s="462" customFormat="1" ht="12" customHeight="1">
      <c r="A29" s="586"/>
      <c r="B29" s="1283" t="str">
        <f>Instandhouding!A4</f>
        <v>3.3</v>
      </c>
      <c r="C29" s="1285" t="str">
        <f>Instandhouding!B4</f>
        <v>Instandhoudingsinvesteringen (WZV-meldingsplichtige vaste activa)</v>
      </c>
      <c r="D29" s="1291">
        <f>Instandhouding!I2</f>
        <v>20</v>
      </c>
      <c r="E29" s="509"/>
      <c r="F29" s="542"/>
      <c r="G29" s="463" t="s">
        <v>180</v>
      </c>
      <c r="H29" s="1298" t="s">
        <v>181</v>
      </c>
      <c r="I29" s="1295"/>
    </row>
    <row r="30" spans="1:9" s="509" customFormat="1" ht="24" customHeight="1">
      <c r="A30" s="586"/>
      <c r="B30" s="1283" t="str">
        <f>Instandhouding!A13</f>
        <v>3.4</v>
      </c>
      <c r="C30" s="1285" t="str">
        <f>Instandhouding!B13</f>
        <v>Specificatie investeringen in instandhouding (WZV-meldingsplichtige vaste activa)</v>
      </c>
      <c r="D30" s="1291">
        <f>Instandhouding!I2</f>
        <v>20</v>
      </c>
      <c r="G30" s="1200"/>
      <c r="H30" s="1298"/>
      <c r="I30" s="1199"/>
    </row>
    <row r="31" spans="1:10" s="509" customFormat="1" ht="12.75">
      <c r="A31" s="586"/>
      <c r="B31" s="1283" t="str">
        <f>'Afschr.inventaris'!A4</f>
        <v>3.5</v>
      </c>
      <c r="C31" s="1285" t="str">
        <f>'Afschr.inventaris'!B4</f>
        <v>Afschrijvingskosten medische en overige inventarissen</v>
      </c>
      <c r="D31" s="1291">
        <f>'Afschr.inventaris'!G2</f>
        <v>21</v>
      </c>
      <c r="E31" s="539"/>
      <c r="F31" s="542"/>
      <c r="G31" s="1294"/>
      <c r="H31" s="1202"/>
      <c r="I31" s="1199"/>
      <c r="J31" s="462"/>
    </row>
    <row r="32" spans="1:10" ht="12.75">
      <c r="A32" s="586"/>
      <c r="B32" s="1283"/>
      <c r="C32" s="1285"/>
      <c r="D32" s="1291"/>
      <c r="E32" s="509"/>
      <c r="F32" s="509"/>
      <c r="G32" s="1299"/>
      <c r="H32" s="530"/>
      <c r="I32" s="1199"/>
      <c r="J32" s="509"/>
    </row>
    <row r="33" spans="1:9" s="509" customFormat="1" ht="12.75">
      <c r="A33" s="586"/>
      <c r="B33" s="1283"/>
      <c r="C33" s="1285"/>
      <c r="D33" s="1291"/>
      <c r="F33" s="530"/>
      <c r="G33" s="1306"/>
      <c r="H33" s="1280"/>
      <c r="I33" s="1203"/>
    </row>
    <row r="34" spans="1:10" s="509" customFormat="1" ht="12.75">
      <c r="A34" s="14" t="str">
        <f>Mutaties!A4</f>
        <v>RUBRIEK 4: OVERZICHT MUTATIES</v>
      </c>
      <c r="B34" s="1282"/>
      <c r="C34" s="1289"/>
      <c r="D34" s="1291">
        <f>Mutaties!E2</f>
        <v>22</v>
      </c>
      <c r="F34" s="539"/>
      <c r="G34" s="1307"/>
      <c r="H34" s="1202"/>
      <c r="I34" s="1199"/>
      <c r="J34" s="539"/>
    </row>
    <row r="35" spans="1:9" s="509" customFormat="1" ht="12.75">
      <c r="A35" s="586"/>
      <c r="B35" s="1283" t="str">
        <f>Mutaties!A7</f>
        <v>4.1</v>
      </c>
      <c r="C35" s="1285" t="str">
        <f>Mutaties!B7</f>
        <v>Mutaties aanvaardbare kosten</v>
      </c>
      <c r="D35" s="1291">
        <f>Mutaties!E2</f>
        <v>22</v>
      </c>
      <c r="E35" s="439"/>
      <c r="G35" s="1307"/>
      <c r="H35" s="1202"/>
      <c r="I35" s="1199"/>
    </row>
    <row r="36" spans="1:10" s="458" customFormat="1" ht="12.75">
      <c r="A36" s="586"/>
      <c r="B36" s="1283" t="str">
        <f>Mutaties!A31</f>
        <v>4.2</v>
      </c>
      <c r="C36" s="1285" t="str">
        <f>Mutaties!B31</f>
        <v>Opbrengstverrekening 2005 (ziekenhuis exclusief PAAZ)</v>
      </c>
      <c r="D36" s="1291">
        <f>Mutaties!E2</f>
        <v>22</v>
      </c>
      <c r="E36" s="439"/>
      <c r="F36" s="509"/>
      <c r="G36" s="1307"/>
      <c r="H36" s="1201"/>
      <c r="I36" s="705"/>
      <c r="J36" s="509"/>
    </row>
    <row r="37" spans="1:10" s="462" customFormat="1" ht="12.75">
      <c r="A37" s="509"/>
      <c r="B37" s="509"/>
      <c r="C37" s="1297"/>
      <c r="D37" s="509"/>
      <c r="E37" s="439"/>
      <c r="F37" s="509"/>
      <c r="G37" s="1200"/>
      <c r="J37" s="509"/>
    </row>
    <row r="38" spans="1:9" s="458" customFormat="1" ht="12.75">
      <c r="A38" s="509"/>
      <c r="B38" s="509"/>
      <c r="C38" s="1297"/>
      <c r="D38" s="509"/>
      <c r="E38" s="439"/>
      <c r="G38" s="1308"/>
      <c r="H38" s="1198"/>
      <c r="I38" s="705"/>
    </row>
    <row r="39" spans="5:10" s="458" customFormat="1" ht="12.75">
      <c r="E39" s="439"/>
      <c r="F39" s="542"/>
      <c r="G39" s="1308"/>
      <c r="H39" s="1198"/>
      <c r="I39" s="705"/>
      <c r="J39" s="462"/>
    </row>
    <row r="40" spans="1:9" s="458" customFormat="1" ht="12">
      <c r="A40" s="462"/>
      <c r="B40" s="462"/>
      <c r="C40" s="462"/>
      <c r="D40" s="462"/>
      <c r="F40" s="544"/>
      <c r="G40" s="1298"/>
      <c r="H40" s="1204"/>
      <c r="I40" s="705"/>
    </row>
    <row r="41" spans="1:9" s="458" customFormat="1" ht="12.75">
      <c r="A41" s="586"/>
      <c r="B41" s="630"/>
      <c r="C41" s="630"/>
      <c r="D41" s="630"/>
      <c r="G41" s="1308"/>
      <c r="H41" s="1198"/>
      <c r="I41" s="705"/>
    </row>
    <row r="42" spans="1:9" s="458" customFormat="1" ht="12.75">
      <c r="A42" s="47"/>
      <c r="B42" s="630"/>
      <c r="C42" s="630"/>
      <c r="D42" s="630"/>
      <c r="G42" s="1308"/>
      <c r="H42" s="1198"/>
      <c r="I42" s="705"/>
    </row>
    <row r="43" spans="1:7" s="458" customFormat="1" ht="12.75">
      <c r="A43" s="586"/>
      <c r="B43" s="630"/>
      <c r="C43" s="630"/>
      <c r="D43" s="630"/>
      <c r="G43" s="463"/>
    </row>
    <row r="44" spans="1:7" s="458" customFormat="1" ht="12.75">
      <c r="A44" s="586"/>
      <c r="B44" s="630"/>
      <c r="C44" s="630"/>
      <c r="D44" s="630"/>
      <c r="G44" s="463"/>
    </row>
    <row r="45" spans="1:7" s="458" customFormat="1" ht="12.75">
      <c r="A45" s="42"/>
      <c r="B45" s="630"/>
      <c r="C45" s="630"/>
      <c r="D45" s="630"/>
      <c r="G45" s="463"/>
    </row>
    <row r="46" spans="1:7" s="458" customFormat="1" ht="12">
      <c r="A46" s="41"/>
      <c r="B46" s="835"/>
      <c r="C46" s="42"/>
      <c r="D46" s="607"/>
      <c r="G46" s="463"/>
    </row>
    <row r="47" spans="1:7" s="458" customFormat="1" ht="12">
      <c r="A47" s="41"/>
      <c r="B47" s="835"/>
      <c r="C47" s="42"/>
      <c r="D47" s="42"/>
      <c r="G47" s="463"/>
    </row>
    <row r="48" spans="1:7" s="458" customFormat="1" ht="12">
      <c r="A48" s="41"/>
      <c r="B48" s="835"/>
      <c r="C48" s="42"/>
      <c r="D48" s="42"/>
      <c r="G48" s="463"/>
    </row>
    <row r="49" spans="1:7" s="458" customFormat="1" ht="12">
      <c r="A49" s="41"/>
      <c r="B49" s="835"/>
      <c r="C49" s="42"/>
      <c r="D49" s="42"/>
      <c r="G49" s="463"/>
    </row>
    <row r="50" spans="1:7" s="458" customFormat="1" ht="12">
      <c r="A50" s="41"/>
      <c r="B50" s="835"/>
      <c r="C50" s="42"/>
      <c r="D50" s="42"/>
      <c r="G50" s="463"/>
    </row>
    <row r="51" spans="1:7" s="458" customFormat="1" ht="12">
      <c r="A51" s="41"/>
      <c r="B51" s="835"/>
      <c r="C51" s="42"/>
      <c r="D51" s="42"/>
      <c r="G51" s="463"/>
    </row>
    <row r="52" spans="1:7" s="458" customFormat="1" ht="12">
      <c r="A52" s="41"/>
      <c r="B52" s="835"/>
      <c r="C52" s="42"/>
      <c r="D52" s="42"/>
      <c r="G52" s="463"/>
    </row>
    <row r="53" spans="1:7" s="458" customFormat="1" ht="12">
      <c r="A53" s="457"/>
      <c r="B53" s="541"/>
      <c r="G53" s="463"/>
    </row>
    <row r="54" spans="1:7" s="458" customFormat="1" ht="12.75">
      <c r="A54" s="457"/>
      <c r="B54" s="541"/>
      <c r="E54" s="483"/>
      <c r="G54" s="463"/>
    </row>
    <row r="55" spans="1:10" s="483" customFormat="1" ht="12.75">
      <c r="A55" s="457"/>
      <c r="B55" s="541"/>
      <c r="C55" s="458"/>
      <c r="D55" s="458"/>
      <c r="F55" s="458"/>
      <c r="G55" s="463"/>
      <c r="H55" s="458"/>
      <c r="I55" s="458"/>
      <c r="J55" s="458"/>
    </row>
    <row r="56" spans="1:10" s="483" customFormat="1" ht="12.75">
      <c r="A56" s="457"/>
      <c r="B56" s="541"/>
      <c r="C56" s="458"/>
      <c r="D56" s="458"/>
      <c r="F56" s="458"/>
      <c r="G56" s="463"/>
      <c r="H56" s="458"/>
      <c r="I56" s="458"/>
      <c r="J56" s="458"/>
    </row>
    <row r="57" spans="1:7" s="483" customFormat="1" ht="12.75">
      <c r="A57" s="457"/>
      <c r="B57" s="541"/>
      <c r="C57" s="458"/>
      <c r="D57" s="458"/>
      <c r="G57" s="1300"/>
    </row>
    <row r="58" spans="1:7" s="483" customFormat="1" ht="12.75">
      <c r="A58" s="457"/>
      <c r="B58" s="541"/>
      <c r="C58" s="458"/>
      <c r="D58" s="458"/>
      <c r="G58" s="1300"/>
    </row>
    <row r="59" spans="1:7" s="483" customFormat="1" ht="12.75">
      <c r="A59" s="457"/>
      <c r="B59" s="541"/>
      <c r="C59" s="458"/>
      <c r="D59" s="458"/>
      <c r="G59" s="1300"/>
    </row>
    <row r="60" spans="1:7" s="483" customFormat="1" ht="12.75">
      <c r="A60" s="434"/>
      <c r="B60" s="547"/>
      <c r="G60" s="1300"/>
    </row>
    <row r="61" spans="1:7" s="483" customFormat="1" ht="12.75">
      <c r="A61" s="434"/>
      <c r="B61" s="547"/>
      <c r="G61" s="1300"/>
    </row>
    <row r="62" spans="1:7" s="483" customFormat="1" ht="12.75">
      <c r="A62" s="434"/>
      <c r="B62" s="547"/>
      <c r="G62" s="1300"/>
    </row>
    <row r="63" spans="1:7" s="483" customFormat="1" ht="12.75">
      <c r="A63" s="434"/>
      <c r="B63" s="547"/>
      <c r="G63" s="1300"/>
    </row>
    <row r="64" spans="1:7" s="483" customFormat="1" ht="12.75">
      <c r="A64" s="434"/>
      <c r="B64" s="547"/>
      <c r="G64" s="1300"/>
    </row>
    <row r="65" spans="1:7" s="483" customFormat="1" ht="12.75">
      <c r="A65" s="434"/>
      <c r="B65" s="547"/>
      <c r="G65" s="1300"/>
    </row>
    <row r="66" spans="1:7" s="483" customFormat="1" ht="12.75">
      <c r="A66" s="434"/>
      <c r="B66" s="547"/>
      <c r="G66" s="1300"/>
    </row>
    <row r="67" spans="1:7" s="483" customFormat="1" ht="12.75">
      <c r="A67" s="434"/>
      <c r="B67" s="547"/>
      <c r="G67" s="1300"/>
    </row>
    <row r="68" spans="1:7" s="483" customFormat="1" ht="12.75">
      <c r="A68" s="434"/>
      <c r="B68" s="547"/>
      <c r="G68" s="1300"/>
    </row>
    <row r="69" spans="1:7" s="483" customFormat="1" ht="12.75">
      <c r="A69" s="434"/>
      <c r="B69" s="547"/>
      <c r="G69" s="1300"/>
    </row>
    <row r="70" spans="1:7" s="483" customFormat="1" ht="12.75">
      <c r="A70" s="434"/>
      <c r="B70" s="547"/>
      <c r="G70" s="1300"/>
    </row>
    <row r="71" spans="1:7" s="483" customFormat="1" ht="12.75">
      <c r="A71" s="434"/>
      <c r="B71" s="547"/>
      <c r="G71" s="1300"/>
    </row>
    <row r="72" spans="1:7" s="483" customFormat="1" ht="12.75">
      <c r="A72" s="434"/>
      <c r="B72" s="547"/>
      <c r="G72" s="1300"/>
    </row>
    <row r="73" spans="1:7" s="483" customFormat="1" ht="12.75">
      <c r="A73" s="434"/>
      <c r="B73" s="547"/>
      <c r="G73" s="1300"/>
    </row>
    <row r="74" spans="1:7" s="483" customFormat="1" ht="12.75">
      <c r="A74" s="434"/>
      <c r="B74" s="547"/>
      <c r="G74" s="1300"/>
    </row>
    <row r="75" spans="1:7" s="483" customFormat="1" ht="12.75">
      <c r="A75" s="434"/>
      <c r="B75" s="547"/>
      <c r="G75" s="1300"/>
    </row>
    <row r="76" spans="1:7" s="483" customFormat="1" ht="12.75">
      <c r="A76" s="434"/>
      <c r="B76" s="547"/>
      <c r="G76" s="1300"/>
    </row>
    <row r="77" spans="1:7" s="483" customFormat="1" ht="12.75">
      <c r="A77" s="434"/>
      <c r="B77" s="547"/>
      <c r="G77" s="1300"/>
    </row>
    <row r="78" spans="1:7" s="483" customFormat="1" ht="12.75">
      <c r="A78" s="434"/>
      <c r="B78" s="547"/>
      <c r="G78" s="1300"/>
    </row>
    <row r="79" spans="1:7" s="483" customFormat="1" ht="12.75">
      <c r="A79" s="434"/>
      <c r="B79" s="547"/>
      <c r="G79" s="1300"/>
    </row>
    <row r="80" spans="1:7" s="483" customFormat="1" ht="12.75">
      <c r="A80" s="434"/>
      <c r="B80" s="547"/>
      <c r="G80" s="1300"/>
    </row>
    <row r="81" spans="1:7" s="483" customFormat="1" ht="12.75">
      <c r="A81" s="434"/>
      <c r="B81" s="547"/>
      <c r="G81" s="1300"/>
    </row>
    <row r="82" spans="1:7" s="483" customFormat="1" ht="12.75">
      <c r="A82" s="434"/>
      <c r="B82" s="547"/>
      <c r="G82" s="1300"/>
    </row>
    <row r="83" spans="1:7" s="483" customFormat="1" ht="12.75">
      <c r="A83" s="434"/>
      <c r="B83" s="547"/>
      <c r="G83" s="1300"/>
    </row>
    <row r="84" spans="1:7" s="483" customFormat="1" ht="12.75">
      <c r="A84" s="434"/>
      <c r="B84" s="547"/>
      <c r="G84" s="1300"/>
    </row>
    <row r="85" spans="1:7" s="483" customFormat="1" ht="12.75">
      <c r="A85" s="434"/>
      <c r="B85" s="547"/>
      <c r="G85" s="1300"/>
    </row>
    <row r="86" spans="1:7" s="483" customFormat="1" ht="12.75">
      <c r="A86" s="434"/>
      <c r="B86" s="547"/>
      <c r="G86" s="1300"/>
    </row>
    <row r="87" spans="1:7" s="483" customFormat="1" ht="12.75">
      <c r="A87" s="434"/>
      <c r="B87" s="547"/>
      <c r="G87" s="1300"/>
    </row>
    <row r="88" spans="1:7" s="483" customFormat="1" ht="12.75">
      <c r="A88" s="434"/>
      <c r="B88" s="547"/>
      <c r="G88" s="1300"/>
    </row>
    <row r="89" spans="1:7" s="483" customFormat="1" ht="12.75">
      <c r="A89" s="434"/>
      <c r="B89" s="547"/>
      <c r="G89" s="1300"/>
    </row>
    <row r="90" spans="1:7" s="483" customFormat="1" ht="12.75">
      <c r="A90" s="434"/>
      <c r="B90" s="547"/>
      <c r="G90" s="1300"/>
    </row>
    <row r="91" spans="1:7" s="483" customFormat="1" ht="12.75">
      <c r="A91" s="434"/>
      <c r="B91" s="547"/>
      <c r="G91" s="1300"/>
    </row>
    <row r="92" spans="1:7" s="483" customFormat="1" ht="12.75">
      <c r="A92" s="434"/>
      <c r="B92" s="547"/>
      <c r="G92" s="1300"/>
    </row>
    <row r="93" spans="1:7" s="483" customFormat="1" ht="12.75">
      <c r="A93" s="434"/>
      <c r="B93" s="547"/>
      <c r="G93" s="1300"/>
    </row>
    <row r="94" spans="1:7" s="483" customFormat="1" ht="12.75">
      <c r="A94" s="434"/>
      <c r="B94" s="547"/>
      <c r="G94" s="1300"/>
    </row>
    <row r="95" spans="1:7" s="483" customFormat="1" ht="12.75">
      <c r="A95" s="434"/>
      <c r="B95" s="547"/>
      <c r="G95" s="1300"/>
    </row>
    <row r="96" spans="1:7" s="483" customFormat="1" ht="12.75">
      <c r="A96" s="434"/>
      <c r="B96" s="547"/>
      <c r="G96" s="1300"/>
    </row>
    <row r="97" spans="1:7" s="483" customFormat="1" ht="12.75">
      <c r="A97" s="434"/>
      <c r="B97" s="547"/>
      <c r="G97" s="1300"/>
    </row>
    <row r="98" spans="1:7" s="483" customFormat="1" ht="12.75">
      <c r="A98" s="434"/>
      <c r="B98" s="547"/>
      <c r="G98" s="1300"/>
    </row>
    <row r="99" spans="1:7" s="483" customFormat="1" ht="12.75">
      <c r="A99" s="434"/>
      <c r="B99" s="547"/>
      <c r="G99" s="1300"/>
    </row>
    <row r="100" spans="1:7" s="483" customFormat="1" ht="12.75">
      <c r="A100" s="434"/>
      <c r="B100" s="547"/>
      <c r="G100" s="1300"/>
    </row>
    <row r="101" spans="1:7" s="483" customFormat="1" ht="12.75">
      <c r="A101" s="434"/>
      <c r="B101" s="547"/>
      <c r="G101" s="1300"/>
    </row>
    <row r="102" spans="1:7" s="483" customFormat="1" ht="12.75">
      <c r="A102" s="434"/>
      <c r="B102" s="547"/>
      <c r="G102" s="1300"/>
    </row>
    <row r="103" spans="1:7" s="483" customFormat="1" ht="12.75">
      <c r="A103" s="434"/>
      <c r="B103" s="547"/>
      <c r="E103" s="539"/>
      <c r="G103" s="1300"/>
    </row>
    <row r="104" spans="1:10" ht="12.75">
      <c r="A104" s="434"/>
      <c r="B104" s="547"/>
      <c r="C104" s="483"/>
      <c r="D104" s="483"/>
      <c r="F104" s="483"/>
      <c r="G104" s="1300"/>
      <c r="H104" s="483"/>
      <c r="I104" s="483"/>
      <c r="J104" s="483"/>
    </row>
    <row r="105" spans="1:10" ht="12.75">
      <c r="A105" s="434"/>
      <c r="B105" s="547"/>
      <c r="C105" s="483"/>
      <c r="D105" s="483"/>
      <c r="F105" s="483"/>
      <c r="G105" s="1300"/>
      <c r="H105" s="483"/>
      <c r="I105" s="483"/>
      <c r="J105" s="483"/>
    </row>
    <row r="106" spans="1:4" ht="12.75">
      <c r="A106" s="434"/>
      <c r="B106" s="547"/>
      <c r="C106" s="483"/>
      <c r="D106" s="483"/>
    </row>
    <row r="107" spans="1:4" ht="12.75">
      <c r="A107" s="434"/>
      <c r="B107" s="547"/>
      <c r="C107" s="483"/>
      <c r="D107" s="483"/>
    </row>
    <row r="108" spans="1:4" ht="12.75">
      <c r="A108" s="434"/>
      <c r="B108" s="547"/>
      <c r="C108" s="483"/>
      <c r="D108" s="483"/>
    </row>
  </sheetData>
  <sheetProtection password="CCBC" sheet="1" objects="1" scenarios="1"/>
  <printOptions/>
  <pageMargins left="0.3937007874015748" right="0.3937007874015748" top="0.3937007874015748" bottom="0.3937007874015748" header="0.5118110236220472" footer="0.5118110236220472"/>
  <pageSetup fitToHeight="1" fitToWidth="1"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sheetPr codeName="Blad4"/>
  <dimension ref="A1:IV81"/>
  <sheetViews>
    <sheetView showGridLines="0" showRowColHeaders="0" showZeros="0" showOutlineSymbols="0" view="pageBreakPreview" zoomScale="75" zoomScaleNormal="86" zoomScaleSheetLayoutView="75" workbookViewId="0" topLeftCell="A1">
      <selection activeCell="A1" sqref="A1"/>
    </sheetView>
  </sheetViews>
  <sheetFormatPr defaultColWidth="9.140625" defaultRowHeight="12.75"/>
  <cols>
    <col min="1" max="1" width="5.7109375" style="549" customWidth="1"/>
    <col min="2" max="2" width="100.140625" style="509" customWidth="1"/>
    <col min="3" max="3" width="21.421875" style="509" customWidth="1"/>
    <col min="4" max="4" width="7.7109375" style="509" customWidth="1"/>
    <col min="5" max="5" width="5.7109375" style="509" customWidth="1"/>
    <col min="6" max="16384" width="9.140625" style="509" customWidth="1"/>
  </cols>
  <sheetData>
    <row r="1" spans="1:5" s="456" customFormat="1" ht="15.75" customHeight="1">
      <c r="A1" s="457"/>
      <c r="B1" s="458"/>
      <c r="C1" s="468"/>
      <c r="E1" s="458"/>
    </row>
    <row r="2" spans="1:5" s="499" customFormat="1" ht="15" customHeight="1">
      <c r="A2" s="442" t="str">
        <f>CONCATENATE("Nacalculatieformulier ",Voorblad!D3)</f>
        <v>Nacalculatieformulier 2005</v>
      </c>
      <c r="B2" s="531"/>
      <c r="C2" s="562"/>
      <c r="D2" s="562"/>
      <c r="E2" s="592">
        <f>Inhoud!$I$2+1</f>
        <v>3</v>
      </c>
    </row>
    <row r="3" ht="12" customHeight="1">
      <c r="D3" s="545"/>
    </row>
    <row r="4" spans="1:5" s="458" customFormat="1" ht="12" customHeight="1">
      <c r="A4" s="41" t="s">
        <v>468</v>
      </c>
      <c r="B4" s="42"/>
      <c r="C4" s="42"/>
      <c r="D4" s="42"/>
      <c r="E4" s="42"/>
    </row>
    <row r="5" spans="1:5" s="458" customFormat="1" ht="12" customHeight="1">
      <c r="A5" s="41"/>
      <c r="B5" s="42"/>
      <c r="C5" s="42"/>
      <c r="D5" s="42"/>
      <c r="E5" s="42"/>
    </row>
    <row r="6" spans="1:5" s="458" customFormat="1" ht="12" customHeight="1">
      <c r="A6" s="47" t="s">
        <v>587</v>
      </c>
      <c r="C6" s="42"/>
      <c r="D6" s="42"/>
      <c r="E6" s="42"/>
    </row>
    <row r="7" spans="1:5" s="458" customFormat="1" ht="36" customHeight="1">
      <c r="A7" s="1473" t="str">
        <f>CONCATENATE("Het electronische formulier is beveiligd met een wachtwoord. Dit betekent dat in het formulier geen veranderingen kunnen worden aangebracht. ","Als toch de wens of de noodzaak bestaat om van het formulier af te wijken, dan kunt u dit verwerken onder de overige mutaties op regel ",Mutaties!A22,".")</f>
        <v>Het electronische formulier is beveiligd met een wachtwoord. Dit betekent dat in het formulier geen veranderingen kunnen worden aangebracht. Als toch de wens of de noodzaak bestaat om van het formulier af te wijken, dan kunt u dit verwerken onder de overige mutaties op regel 2214.</v>
      </c>
      <c r="B7" s="1468"/>
      <c r="C7" s="1468"/>
      <c r="D7" s="1468"/>
      <c r="E7" s="1468"/>
    </row>
    <row r="8" spans="1:5" s="458" customFormat="1" ht="12" customHeight="1">
      <c r="A8" s="1472" t="s">
        <v>182</v>
      </c>
      <c r="B8" s="1472"/>
      <c r="C8" s="569"/>
      <c r="D8" s="569"/>
      <c r="E8" s="569"/>
    </row>
    <row r="9" spans="1:5" s="458" customFormat="1" ht="48" customHeight="1">
      <c r="A9" s="1474" t="s">
        <v>102</v>
      </c>
      <c r="B9" s="1474"/>
      <c r="C9" s="1474"/>
      <c r="D9" s="1474"/>
      <c r="E9" s="1474"/>
    </row>
    <row r="10" spans="1:5" s="458" customFormat="1" ht="12" customHeight="1">
      <c r="A10" s="1468" t="s">
        <v>505</v>
      </c>
      <c r="B10" s="1468"/>
      <c r="C10" s="1468"/>
      <c r="D10" s="1468"/>
      <c r="E10" s="1468"/>
    </row>
    <row r="11" spans="1:5" s="458" customFormat="1" ht="12" customHeight="1">
      <c r="A11" s="1468" t="s">
        <v>504</v>
      </c>
      <c r="B11" s="1468"/>
      <c r="C11" s="1468"/>
      <c r="D11" s="1468"/>
      <c r="E11" s="1468"/>
    </row>
    <row r="12" spans="1:5" s="458" customFormat="1" ht="12" customHeight="1">
      <c r="A12" s="1468"/>
      <c r="B12" s="1468"/>
      <c r="C12" s="1468"/>
      <c r="D12" s="1468"/>
      <c r="E12" s="1468"/>
    </row>
    <row r="13" spans="1:5" s="458" customFormat="1" ht="12" customHeight="1">
      <c r="A13" s="1472" t="s">
        <v>189</v>
      </c>
      <c r="B13" s="1472"/>
      <c r="C13" s="804"/>
      <c r="D13" s="804"/>
      <c r="E13" s="804"/>
    </row>
    <row r="14" spans="1:5" s="458" customFormat="1" ht="24" customHeight="1">
      <c r="A14" s="1468" t="s">
        <v>83</v>
      </c>
      <c r="B14" s="1468"/>
      <c r="C14" s="1468"/>
      <c r="D14" s="1468"/>
      <c r="E14" s="1468"/>
    </row>
    <row r="15" spans="1:5" s="458" customFormat="1" ht="12" customHeight="1">
      <c r="A15" s="41" t="s">
        <v>433</v>
      </c>
      <c r="B15" s="41"/>
      <c r="C15" s="95"/>
      <c r="D15" s="42"/>
      <c r="E15" s="95"/>
    </row>
    <row r="16" spans="1:5" s="458" customFormat="1" ht="48" customHeight="1">
      <c r="A16" s="1470" t="s">
        <v>506</v>
      </c>
      <c r="B16" s="1478"/>
      <c r="C16" s="1478"/>
      <c r="D16" s="1478"/>
      <c r="E16" s="1478"/>
    </row>
    <row r="17" spans="1:5" s="458" customFormat="1" ht="36" customHeight="1">
      <c r="A17" s="1470" t="s">
        <v>639</v>
      </c>
      <c r="B17" s="1470"/>
      <c r="C17" s="1470"/>
      <c r="D17" s="1470"/>
      <c r="E17" s="1470"/>
    </row>
    <row r="18" spans="1:5" s="458" customFormat="1" ht="60" customHeight="1">
      <c r="A18" s="1468" t="str">
        <f>CONCATENATE("Bij onderdeel 2.1 dient u voor de DBC-A opbrengsten de opbrengsten van de kostencomponent van de DBC's inclusief het verrekenpercentage op te geven."," Tevens dient u de honorariumopbrengsten van de medisch specialisten in loondienst ter dekking van het A-segment op te geven. ","Indien in ",Voorblad!D3," toeslagen zijn afgegeven in verband met de verrekening van bedragen (voorschot-bedragen / eindafrekening) in het kader van een lokaal initiatief ","voor de honorering van medisch-specialistische hulp  dienen deze bedragen buiten de opbrengsten ter dekking van het budget te worden gehouden."," U wordt bij onderdeel 2.2 verzocht aan te geven welke bedragen zijn verrekend in ",Voorblad!D3,".")</f>
        <v>Bij onderdeel 2.1 dient u voor de DBC-A opbrengsten de opbrengsten van de kostencomponent van de DBC's inclusief het verrekenpercentage op te geven. Tevens dient u de honorariumopbrengsten van de medisch specialisten in loondienst ter dekking van het A-segment op te geven. Indien in 2005 toeslagen zijn afgegeven in verband met de verrekening van bedragen (voorschot-bedragen / eindafrekening) in het kader van een lokaal initiatief voor de honorering van medisch-specialistische hulp  dienen deze bedragen buiten de opbrengsten ter dekking van het budget te worden gehouden. U wordt bij onderdeel 2.2 verzocht aan te geven welke bedragen zijn verrekend in 2005.</v>
      </c>
      <c r="B18" s="1477"/>
      <c r="C18" s="1477"/>
      <c r="D18" s="1477"/>
      <c r="E18" s="1477"/>
    </row>
    <row r="19" spans="1:5" s="458" customFormat="1" ht="24" customHeight="1">
      <c r="A19" s="1468" t="s">
        <v>64</v>
      </c>
      <c r="B19" s="1468"/>
      <c r="C19" s="1468"/>
      <c r="D19" s="1468"/>
      <c r="E19" s="1468"/>
    </row>
    <row r="20" spans="1:5" s="458" customFormat="1" ht="13.5" customHeight="1">
      <c r="A20" s="41" t="s">
        <v>183</v>
      </c>
      <c r="B20" s="1264"/>
      <c r="C20" s="1264"/>
      <c r="D20" s="1264"/>
      <c r="E20" s="1264"/>
    </row>
    <row r="21" spans="1:256" s="463" customFormat="1" ht="96" customHeight="1">
      <c r="A21" s="1470" t="s">
        <v>313</v>
      </c>
      <c r="B21" s="1470"/>
      <c r="C21" s="1470"/>
      <c r="D21" s="1470"/>
      <c r="E21" s="1470"/>
      <c r="F21" s="1465"/>
      <c r="G21" s="1466"/>
      <c r="H21" s="1466"/>
      <c r="I21" s="1466"/>
      <c r="J21" s="1466"/>
      <c r="K21" s="1465"/>
      <c r="L21" s="1466"/>
      <c r="M21" s="1466"/>
      <c r="N21" s="1466"/>
      <c r="O21" s="1466"/>
      <c r="P21" s="1465"/>
      <c r="Q21" s="1466"/>
      <c r="R21" s="1466"/>
      <c r="S21" s="1466"/>
      <c r="T21" s="1466"/>
      <c r="U21" s="1465"/>
      <c r="V21" s="1466"/>
      <c r="W21" s="1466"/>
      <c r="X21" s="1466"/>
      <c r="Y21" s="1466"/>
      <c r="Z21" s="1465"/>
      <c r="AA21" s="1466"/>
      <c r="AB21" s="1466"/>
      <c r="AC21" s="1466"/>
      <c r="AD21" s="1466"/>
      <c r="AE21" s="1465"/>
      <c r="AF21" s="1466"/>
      <c r="AG21" s="1466"/>
      <c r="AH21" s="1466"/>
      <c r="AI21" s="1466"/>
      <c r="AJ21" s="1465"/>
      <c r="AK21" s="1466"/>
      <c r="AL21" s="1466"/>
      <c r="AM21" s="1466"/>
      <c r="AN21" s="1466"/>
      <c r="AO21" s="1465"/>
      <c r="AP21" s="1466"/>
      <c r="AQ21" s="1466"/>
      <c r="AR21" s="1466"/>
      <c r="AS21" s="1466"/>
      <c r="AT21" s="1465"/>
      <c r="AU21" s="1466"/>
      <c r="AV21" s="1466"/>
      <c r="AW21" s="1466"/>
      <c r="AX21" s="1466"/>
      <c r="AY21" s="1465"/>
      <c r="AZ21" s="1466"/>
      <c r="BA21" s="1466"/>
      <c r="BB21" s="1466"/>
      <c r="BC21" s="1466"/>
      <c r="BD21" s="1465"/>
      <c r="BE21" s="1466"/>
      <c r="BF21" s="1466"/>
      <c r="BG21" s="1466"/>
      <c r="BH21" s="1466"/>
      <c r="BI21" s="1465"/>
      <c r="BJ21" s="1466"/>
      <c r="BK21" s="1466"/>
      <c r="BL21" s="1466"/>
      <c r="BM21" s="1466"/>
      <c r="BN21" s="1465"/>
      <c r="BO21" s="1466"/>
      <c r="BP21" s="1466"/>
      <c r="BQ21" s="1466"/>
      <c r="BR21" s="1466"/>
      <c r="BS21" s="1465"/>
      <c r="BT21" s="1466"/>
      <c r="BU21" s="1466"/>
      <c r="BV21" s="1466"/>
      <c r="BW21" s="1466"/>
      <c r="BX21" s="1465"/>
      <c r="BY21" s="1466"/>
      <c r="BZ21" s="1466"/>
      <c r="CA21" s="1466"/>
      <c r="CB21" s="1466"/>
      <c r="CC21" s="1465"/>
      <c r="CD21" s="1466"/>
      <c r="CE21" s="1466"/>
      <c r="CF21" s="1466"/>
      <c r="CG21" s="1466"/>
      <c r="CH21" s="1465"/>
      <c r="CI21" s="1466"/>
      <c r="CJ21" s="1466"/>
      <c r="CK21" s="1466"/>
      <c r="CL21" s="1466"/>
      <c r="CM21" s="1465"/>
      <c r="CN21" s="1466"/>
      <c r="CO21" s="1466"/>
      <c r="CP21" s="1466"/>
      <c r="CQ21" s="1466"/>
      <c r="CR21" s="1465"/>
      <c r="CS21" s="1466"/>
      <c r="CT21" s="1466"/>
      <c r="CU21" s="1466"/>
      <c r="CV21" s="1466"/>
      <c r="CW21" s="1465"/>
      <c r="CX21" s="1466"/>
      <c r="CY21" s="1466"/>
      <c r="CZ21" s="1466"/>
      <c r="DA21" s="1466"/>
      <c r="DB21" s="1465"/>
      <c r="DC21" s="1466"/>
      <c r="DD21" s="1466"/>
      <c r="DE21" s="1466"/>
      <c r="DF21" s="1466"/>
      <c r="DG21" s="1465"/>
      <c r="DH21" s="1466"/>
      <c r="DI21" s="1466"/>
      <c r="DJ21" s="1466"/>
      <c r="DK21" s="1466"/>
      <c r="DL21" s="1465"/>
      <c r="DM21" s="1466"/>
      <c r="DN21" s="1466"/>
      <c r="DO21" s="1466"/>
      <c r="DP21" s="1466"/>
      <c r="DQ21" s="1465"/>
      <c r="DR21" s="1466"/>
      <c r="DS21" s="1466"/>
      <c r="DT21" s="1466"/>
      <c r="DU21" s="1466"/>
      <c r="DV21" s="1465"/>
      <c r="DW21" s="1466"/>
      <c r="DX21" s="1466"/>
      <c r="DY21" s="1466"/>
      <c r="DZ21" s="1466"/>
      <c r="EA21" s="1465"/>
      <c r="EB21" s="1466"/>
      <c r="EC21" s="1466"/>
      <c r="ED21" s="1466"/>
      <c r="EE21" s="1466"/>
      <c r="EF21" s="1465"/>
      <c r="EG21" s="1466"/>
      <c r="EH21" s="1466"/>
      <c r="EI21" s="1466"/>
      <c r="EJ21" s="1466"/>
      <c r="EK21" s="1465"/>
      <c r="EL21" s="1466"/>
      <c r="EM21" s="1466"/>
      <c r="EN21" s="1466"/>
      <c r="EO21" s="1466"/>
      <c r="EP21" s="1465"/>
      <c r="EQ21" s="1466"/>
      <c r="ER21" s="1466"/>
      <c r="ES21" s="1466"/>
      <c r="ET21" s="1466"/>
      <c r="EU21" s="1465"/>
      <c r="EV21" s="1466"/>
      <c r="EW21" s="1466"/>
      <c r="EX21" s="1466"/>
      <c r="EY21" s="1466"/>
      <c r="EZ21" s="1465"/>
      <c r="FA21" s="1466"/>
      <c r="FB21" s="1466"/>
      <c r="FC21" s="1466"/>
      <c r="FD21" s="1466"/>
      <c r="FE21" s="1465"/>
      <c r="FF21" s="1466"/>
      <c r="FG21" s="1466"/>
      <c r="FH21" s="1466"/>
      <c r="FI21" s="1466"/>
      <c r="FJ21" s="1465"/>
      <c r="FK21" s="1466"/>
      <c r="FL21" s="1466"/>
      <c r="FM21" s="1466"/>
      <c r="FN21" s="1466"/>
      <c r="FO21" s="1465"/>
      <c r="FP21" s="1466"/>
      <c r="FQ21" s="1466"/>
      <c r="FR21" s="1466"/>
      <c r="FS21" s="1466"/>
      <c r="FT21" s="1465"/>
      <c r="FU21" s="1466"/>
      <c r="FV21" s="1466"/>
      <c r="FW21" s="1466"/>
      <c r="FX21" s="1466"/>
      <c r="FY21" s="1465"/>
      <c r="FZ21" s="1466"/>
      <c r="GA21" s="1466"/>
      <c r="GB21" s="1466"/>
      <c r="GC21" s="1466"/>
      <c r="GD21" s="1465"/>
      <c r="GE21" s="1466"/>
      <c r="GF21" s="1466"/>
      <c r="GG21" s="1466"/>
      <c r="GH21" s="1466"/>
      <c r="GI21" s="1465"/>
      <c r="GJ21" s="1466"/>
      <c r="GK21" s="1466"/>
      <c r="GL21" s="1466"/>
      <c r="GM21" s="1466"/>
      <c r="GN21" s="1465"/>
      <c r="GO21" s="1466"/>
      <c r="GP21" s="1466"/>
      <c r="GQ21" s="1466"/>
      <c r="GR21" s="1466"/>
      <c r="GS21" s="1465"/>
      <c r="GT21" s="1466"/>
      <c r="GU21" s="1466"/>
      <c r="GV21" s="1466"/>
      <c r="GW21" s="1466"/>
      <c r="GX21" s="1465"/>
      <c r="GY21" s="1466"/>
      <c r="GZ21" s="1466"/>
      <c r="HA21" s="1466"/>
      <c r="HB21" s="1466"/>
      <c r="HC21" s="1465"/>
      <c r="HD21" s="1466"/>
      <c r="HE21" s="1466"/>
      <c r="HF21" s="1466"/>
      <c r="HG21" s="1466"/>
      <c r="HH21" s="1465"/>
      <c r="HI21" s="1466"/>
      <c r="HJ21" s="1466"/>
      <c r="HK21" s="1466"/>
      <c r="HL21" s="1466"/>
      <c r="HM21" s="1465"/>
      <c r="HN21" s="1466"/>
      <c r="HO21" s="1466"/>
      <c r="HP21" s="1466"/>
      <c r="HQ21" s="1466"/>
      <c r="HR21" s="1465"/>
      <c r="HS21" s="1466"/>
      <c r="HT21" s="1466"/>
      <c r="HU21" s="1466"/>
      <c r="HV21" s="1466"/>
      <c r="HW21" s="1465"/>
      <c r="HX21" s="1466"/>
      <c r="HY21" s="1466"/>
      <c r="HZ21" s="1466"/>
      <c r="IA21" s="1466"/>
      <c r="IB21" s="1465"/>
      <c r="IC21" s="1466"/>
      <c r="ID21" s="1466"/>
      <c r="IE21" s="1466"/>
      <c r="IF21" s="1466"/>
      <c r="IG21" s="1465"/>
      <c r="IH21" s="1466"/>
      <c r="II21" s="1466"/>
      <c r="IJ21" s="1466"/>
      <c r="IK21" s="1466"/>
      <c r="IL21" s="1465"/>
      <c r="IM21" s="1466"/>
      <c r="IN21" s="1466"/>
      <c r="IO21" s="1466"/>
      <c r="IP21" s="1466"/>
      <c r="IQ21" s="1465"/>
      <c r="IR21" s="1466"/>
      <c r="IS21" s="1466"/>
      <c r="IT21" s="1466"/>
      <c r="IU21" s="1466"/>
      <c r="IV21" s="1222"/>
    </row>
    <row r="22" spans="1:256" s="463" customFormat="1" ht="12" customHeight="1">
      <c r="A22" s="1470" t="s">
        <v>184</v>
      </c>
      <c r="B22" s="1470"/>
      <c r="C22" s="1470"/>
      <c r="D22" s="1470"/>
      <c r="E22" s="1470"/>
      <c r="F22" s="1222"/>
      <c r="G22" s="1256"/>
      <c r="H22" s="1256"/>
      <c r="I22" s="1256"/>
      <c r="J22" s="1256"/>
      <c r="K22" s="1222"/>
      <c r="L22" s="1256"/>
      <c r="M22" s="1256"/>
      <c r="N22" s="1256"/>
      <c r="O22" s="1256"/>
      <c r="P22" s="1222"/>
      <c r="Q22" s="1256"/>
      <c r="R22" s="1256"/>
      <c r="S22" s="1256"/>
      <c r="T22" s="1256"/>
      <c r="U22" s="1222"/>
      <c r="V22" s="1256"/>
      <c r="W22" s="1256"/>
      <c r="X22" s="1256"/>
      <c r="Y22" s="1256"/>
      <c r="Z22" s="1222"/>
      <c r="AA22" s="1256"/>
      <c r="AB22" s="1256"/>
      <c r="AC22" s="1256"/>
      <c r="AD22" s="1256"/>
      <c r="AE22" s="1222"/>
      <c r="AF22" s="1256"/>
      <c r="AG22" s="1256"/>
      <c r="AH22" s="1256"/>
      <c r="AI22" s="1256"/>
      <c r="AJ22" s="1222"/>
      <c r="AK22" s="1256"/>
      <c r="AL22" s="1256"/>
      <c r="AM22" s="1256"/>
      <c r="AN22" s="1256"/>
      <c r="AO22" s="1222"/>
      <c r="AP22" s="1256"/>
      <c r="AQ22" s="1256"/>
      <c r="AR22" s="1256"/>
      <c r="AS22" s="1256"/>
      <c r="AT22" s="1222"/>
      <c r="AU22" s="1256"/>
      <c r="AV22" s="1256"/>
      <c r="AW22" s="1256"/>
      <c r="AX22" s="1256"/>
      <c r="AY22" s="1222"/>
      <c r="AZ22" s="1256"/>
      <c r="BA22" s="1256"/>
      <c r="BB22" s="1256"/>
      <c r="BC22" s="1256"/>
      <c r="BD22" s="1222"/>
      <c r="BE22" s="1256"/>
      <c r="BF22" s="1256"/>
      <c r="BG22" s="1256"/>
      <c r="BH22" s="1256"/>
      <c r="BI22" s="1222"/>
      <c r="BJ22" s="1256"/>
      <c r="BK22" s="1256"/>
      <c r="BL22" s="1256"/>
      <c r="BM22" s="1256"/>
      <c r="BN22" s="1222"/>
      <c r="BO22" s="1256"/>
      <c r="BP22" s="1256"/>
      <c r="BQ22" s="1256"/>
      <c r="BR22" s="1256"/>
      <c r="BS22" s="1222"/>
      <c r="BT22" s="1256"/>
      <c r="BU22" s="1256"/>
      <c r="BV22" s="1256"/>
      <c r="BW22" s="1256"/>
      <c r="BX22" s="1222"/>
      <c r="BY22" s="1256"/>
      <c r="BZ22" s="1256"/>
      <c r="CA22" s="1256"/>
      <c r="CB22" s="1256"/>
      <c r="CC22" s="1222"/>
      <c r="CD22" s="1256"/>
      <c r="CE22" s="1256"/>
      <c r="CF22" s="1256"/>
      <c r="CG22" s="1256"/>
      <c r="CH22" s="1222"/>
      <c r="CI22" s="1256"/>
      <c r="CJ22" s="1256"/>
      <c r="CK22" s="1256"/>
      <c r="CL22" s="1256"/>
      <c r="CM22" s="1222"/>
      <c r="CN22" s="1256"/>
      <c r="CO22" s="1256"/>
      <c r="CP22" s="1256"/>
      <c r="CQ22" s="1256"/>
      <c r="CR22" s="1222"/>
      <c r="CS22" s="1256"/>
      <c r="CT22" s="1256"/>
      <c r="CU22" s="1256"/>
      <c r="CV22" s="1256"/>
      <c r="CW22" s="1222"/>
      <c r="CX22" s="1256"/>
      <c r="CY22" s="1256"/>
      <c r="CZ22" s="1256"/>
      <c r="DA22" s="1256"/>
      <c r="DB22" s="1222"/>
      <c r="DC22" s="1256"/>
      <c r="DD22" s="1256"/>
      <c r="DE22" s="1256"/>
      <c r="DF22" s="1256"/>
      <c r="DG22" s="1222"/>
      <c r="DH22" s="1256"/>
      <c r="DI22" s="1256"/>
      <c r="DJ22" s="1256"/>
      <c r="DK22" s="1256"/>
      <c r="DL22" s="1222"/>
      <c r="DM22" s="1256"/>
      <c r="DN22" s="1256"/>
      <c r="DO22" s="1256"/>
      <c r="DP22" s="1256"/>
      <c r="DQ22" s="1222"/>
      <c r="DR22" s="1256"/>
      <c r="DS22" s="1256"/>
      <c r="DT22" s="1256"/>
      <c r="DU22" s="1256"/>
      <c r="DV22" s="1222"/>
      <c r="DW22" s="1256"/>
      <c r="DX22" s="1256"/>
      <c r="DY22" s="1256"/>
      <c r="DZ22" s="1256"/>
      <c r="EA22" s="1222"/>
      <c r="EB22" s="1256"/>
      <c r="EC22" s="1256"/>
      <c r="ED22" s="1256"/>
      <c r="EE22" s="1256"/>
      <c r="EF22" s="1222"/>
      <c r="EG22" s="1256"/>
      <c r="EH22" s="1256"/>
      <c r="EI22" s="1256"/>
      <c r="EJ22" s="1256"/>
      <c r="EK22" s="1222"/>
      <c r="EL22" s="1256"/>
      <c r="EM22" s="1256"/>
      <c r="EN22" s="1256"/>
      <c r="EO22" s="1256"/>
      <c r="EP22" s="1222"/>
      <c r="EQ22" s="1256"/>
      <c r="ER22" s="1256"/>
      <c r="ES22" s="1256"/>
      <c r="ET22" s="1256"/>
      <c r="EU22" s="1222"/>
      <c r="EV22" s="1256"/>
      <c r="EW22" s="1256"/>
      <c r="EX22" s="1256"/>
      <c r="EY22" s="1256"/>
      <c r="EZ22" s="1222"/>
      <c r="FA22" s="1256"/>
      <c r="FB22" s="1256"/>
      <c r="FC22" s="1256"/>
      <c r="FD22" s="1256"/>
      <c r="FE22" s="1222"/>
      <c r="FF22" s="1256"/>
      <c r="FG22" s="1256"/>
      <c r="FH22" s="1256"/>
      <c r="FI22" s="1256"/>
      <c r="FJ22" s="1222"/>
      <c r="FK22" s="1256"/>
      <c r="FL22" s="1256"/>
      <c r="FM22" s="1256"/>
      <c r="FN22" s="1256"/>
      <c r="FO22" s="1222"/>
      <c r="FP22" s="1256"/>
      <c r="FQ22" s="1256"/>
      <c r="FR22" s="1256"/>
      <c r="FS22" s="1256"/>
      <c r="FT22" s="1222"/>
      <c r="FU22" s="1256"/>
      <c r="FV22" s="1256"/>
      <c r="FW22" s="1256"/>
      <c r="FX22" s="1256"/>
      <c r="FY22" s="1222"/>
      <c r="FZ22" s="1256"/>
      <c r="GA22" s="1256"/>
      <c r="GB22" s="1256"/>
      <c r="GC22" s="1256"/>
      <c r="GD22" s="1222"/>
      <c r="GE22" s="1256"/>
      <c r="GF22" s="1256"/>
      <c r="GG22" s="1256"/>
      <c r="GH22" s="1256"/>
      <c r="GI22" s="1222"/>
      <c r="GJ22" s="1256"/>
      <c r="GK22" s="1256"/>
      <c r="GL22" s="1256"/>
      <c r="GM22" s="1256"/>
      <c r="GN22" s="1222"/>
      <c r="GO22" s="1256"/>
      <c r="GP22" s="1256"/>
      <c r="GQ22" s="1256"/>
      <c r="GR22" s="1256"/>
      <c r="GS22" s="1222"/>
      <c r="GT22" s="1256"/>
      <c r="GU22" s="1256"/>
      <c r="GV22" s="1256"/>
      <c r="GW22" s="1256"/>
      <c r="GX22" s="1222"/>
      <c r="GY22" s="1256"/>
      <c r="GZ22" s="1256"/>
      <c r="HA22" s="1256"/>
      <c r="HB22" s="1256"/>
      <c r="HC22" s="1222"/>
      <c r="HD22" s="1256"/>
      <c r="HE22" s="1256"/>
      <c r="HF22" s="1256"/>
      <c r="HG22" s="1256"/>
      <c r="HH22" s="1222"/>
      <c r="HI22" s="1256"/>
      <c r="HJ22" s="1256"/>
      <c r="HK22" s="1256"/>
      <c r="HL22" s="1256"/>
      <c r="HM22" s="1222"/>
      <c r="HN22" s="1256"/>
      <c r="HO22" s="1256"/>
      <c r="HP22" s="1256"/>
      <c r="HQ22" s="1256"/>
      <c r="HR22" s="1222"/>
      <c r="HS22" s="1256"/>
      <c r="HT22" s="1256"/>
      <c r="HU22" s="1256"/>
      <c r="HV22" s="1256"/>
      <c r="HW22" s="1222"/>
      <c r="HX22" s="1256"/>
      <c r="HY22" s="1256"/>
      <c r="HZ22" s="1256"/>
      <c r="IA22" s="1256"/>
      <c r="IB22" s="1222"/>
      <c r="IC22" s="1256"/>
      <c r="ID22" s="1256"/>
      <c r="IE22" s="1256"/>
      <c r="IF22" s="1256"/>
      <c r="IG22" s="1222"/>
      <c r="IH22" s="1256"/>
      <c r="II22" s="1256"/>
      <c r="IJ22" s="1256"/>
      <c r="IK22" s="1256"/>
      <c r="IL22" s="1222"/>
      <c r="IM22" s="1256"/>
      <c r="IN22" s="1256"/>
      <c r="IO22" s="1256"/>
      <c r="IP22" s="1256"/>
      <c r="IQ22" s="1222"/>
      <c r="IR22" s="1256"/>
      <c r="IS22" s="1256"/>
      <c r="IT22" s="1256"/>
      <c r="IU22" s="1256"/>
      <c r="IV22" s="1222"/>
    </row>
    <row r="23" spans="1:4" s="456" customFormat="1" ht="15" customHeight="1">
      <c r="A23" s="457"/>
      <c r="B23" s="458"/>
      <c r="C23" s="468"/>
      <c r="D23" s="458"/>
    </row>
    <row r="24" spans="1:5" s="499" customFormat="1" ht="15.75" customHeight="1">
      <c r="A24" s="442" t="str">
        <f>CONCATENATE("Nacalculatieformulier ",Voorblad!D3)</f>
        <v>Nacalculatieformulier 2005</v>
      </c>
      <c r="B24" s="531"/>
      <c r="C24" s="562"/>
      <c r="D24" s="578"/>
      <c r="E24" s="592">
        <f>E2+1</f>
        <v>4</v>
      </c>
    </row>
    <row r="25" spans="1:5" s="499" customFormat="1" ht="12" customHeight="1">
      <c r="A25" s="590"/>
      <c r="B25" s="500"/>
      <c r="C25" s="579"/>
      <c r="D25" s="579"/>
      <c r="E25" s="589"/>
    </row>
    <row r="26" spans="1:5" s="458" customFormat="1" ht="12" customHeight="1">
      <c r="A26" s="1471" t="s">
        <v>84</v>
      </c>
      <c r="B26" s="1471"/>
      <c r="C26" s="804"/>
      <c r="D26" s="804"/>
      <c r="E26" s="804"/>
    </row>
    <row r="27" spans="1:5" s="458" customFormat="1" ht="72" customHeight="1">
      <c r="A27" s="1470" t="str">
        <f>"Het betreft hier opbrengsten die vallen onder de beleidsregel ""aanvullende inkomsten zorginstellingen."&amp;" Hierin is vastgelegd dat inkomsten van bepaalde activiteiten niet met de aanvaardbare kosten behoeven te worden verrekend, maar dat deze onder bepaalde voorwaarden kunnen worden behouden."&amp;" Deze opbrengsten dienen in het rekeningschema "&amp;Voorblad!D3&amp;" verantwoord te worden in rekeninggroep 83."&amp;" Onder de aanvullende inkomsten valt tevens onderlinge dienstverlening tussen instellingen; hierop is de beleidsregel onderlinge dienstverlening van toepassing."&amp;" 
Slechts ter bepaling van de reserve aanvaardbare kosten kunnen deze opbrengsten met de exploitatiekosten worden verrekend. "&amp;"Ook als u de opbrengsten als negatieve kosten in de exploitatie-rekening hebt verwerkt, wordt u verzocht een specificatie te geven. "</f>
        <v>Het betreft hier opbrengsten die vallen onder de beleidsregel "aanvullende inkomsten zorginstellingen. Hierin is vastgelegd dat inkomsten van bepaalde activiteiten niet met de aanvaardbare kosten behoeven te worden verrekend, maar dat deze onder bepaalde voorwaarden kunnen worden behouden. Deze opbrengsten dienen in het rekeningschema 2005 verantwoord te worden in rekeninggroep 83. Onder de aanvullende inkomsten valt tevens onderlinge dienstverlening tussen instellingen; hierop is de beleidsregel onderlinge dienstverlening van toepassing. 
Slechts ter bepaling van de reserve aanvaardbare kosten kunnen deze opbrengsten met de exploitatiekosten worden verrekend. Ook als u de opbrengsten als negatieve kosten in de exploitatie-rekening hebt verwerkt, wordt u verzocht een specificatie te geven. </v>
      </c>
      <c r="B27" s="1470"/>
      <c r="C27" s="1470"/>
      <c r="D27" s="1470"/>
      <c r="E27" s="1470"/>
    </row>
    <row r="28" spans="1:5" s="458" customFormat="1" ht="12" customHeight="1">
      <c r="A28" s="1472" t="s">
        <v>85</v>
      </c>
      <c r="B28" s="1472"/>
      <c r="C28" s="1472"/>
      <c r="D28" s="1472"/>
      <c r="E28" s="1472"/>
    </row>
    <row r="29" spans="1:5" s="458" customFormat="1" ht="60" customHeight="1">
      <c r="A29" s="1467" t="str">
        <f>"U dient een samenvatting te geven van de nacalculeerbare afschrijvingskosten met betrekking tot materiële vaste activa, immateriële vaste activa en huur en leasing van gebouwen / installaties."&amp;" Op de regel huur en lease kunt u het afschrijvingsbestanddeel van de (goedgekeurde) huurbedragen invullen."&amp;" De afschrijvingen op medische en overige inventarissen, de afschrijvingen op vaste activa, vallend onder de beleidsregel ""meldingsprocedure WZV"" en de afschrijvingen dubieuze debiteuren, dienen hier buiten beschouwing te blijven. "&amp;"Het betreft hier uitsluitend investeringen op basis van de normale en de zogenoemde verkorte procedures. "</f>
        <v>U dient een samenvatting te geven van de nacalculeerbare afschrijvingskosten met betrekking tot materiële vaste activa, immateriële vaste activa en huur en leasing van gebouwen / installaties. Op de regel huur en lease kunt u het afschrijvingsbestanddeel van de (goedgekeurde) huurbedragen invullen. De afschrijvingen op medische en overige inventarissen, de afschrijvingen op vaste activa, vallend onder de beleidsregel "meldingsprocedure WZV" en de afschrijvingen dubieuze debiteuren, dienen hier buiten beschouwing te blijven. Het betreft hier uitsluitend investeringen op basis van de normale en de zogenoemde verkorte procedures. </v>
      </c>
      <c r="B29" s="1467"/>
      <c r="C29" s="1467"/>
      <c r="D29" s="1467"/>
      <c r="E29" s="1467"/>
    </row>
    <row r="30" spans="1:5" s="458" customFormat="1" ht="12" customHeight="1">
      <c r="A30" s="618" t="s">
        <v>190</v>
      </c>
      <c r="B30" s="1261"/>
      <c r="C30" s="1261"/>
      <c r="D30" s="1261"/>
      <c r="E30" s="1261"/>
    </row>
    <row r="31" spans="1:5" s="458" customFormat="1" ht="48" customHeight="1">
      <c r="A31" s="1467" t="str">
        <f>"Voor een onderbouwing van de afschrijvingsbedragen over investeringen die in "&amp;Voorblad!D3&amp;" in gebruik zijn genomen, dient u op de volgende pagina's de investeringen per vergunning te specificeren (pagina 19 en 20)."&amp;" U wordt verzocht om per project een kopie van de betreffende vergunning met het nacalculatieformulier mee te zenden. Dit geldt ook voor de goedgekeurde huurbedragen."</f>
        <v>Voor een onderbouwing van de afschrijvingsbedragen over investeringen die in 2005 in gebruik zijn genomen, dient u op de volgende pagina's de investeringen per vergunning te specificeren (pagina 19 en 20). U wordt verzocht om per project een kopie van de betreffende vergunning met het nacalculatieformulier mee te zenden. Dit geldt ook voor de goedgekeurde huurbedragen.</v>
      </c>
      <c r="B31" s="1467"/>
      <c r="C31" s="1467"/>
      <c r="D31" s="1467"/>
      <c r="E31" s="1467"/>
    </row>
    <row r="32" spans="1:5" s="462" customFormat="1" ht="72" customHeight="1">
      <c r="A32" s="1467" t="str">
        <f>"Hier dient u investeringen waarvoor een normale WZV-procedure is doorlopen en ingebruikname in "&amp;(Voorblad!D3)&amp;" heeft plaatsgevonden te specificeren."&amp;" Met betrekking tot de rentekosten tijdens de bouw wordt nog opgemerkt dat overeenkomstig de beleidsregel rentenormering de rentekosten tijdens de bouw tot 2002 onderdeel uitmaken van de investeringskosten,"&amp;" waarover dient te worden afgeschreven."&amp;" In de verleende WZV-vergunning van normale procedures tot 2002 maken de rentekosten tijdens de bouw ook onderdeel uit van de totale investeringskosten waarvoor toestemming is verleend."&amp;" De investeringen op grond  van verkorte procedures kunt u tevens verantwoorden op deze pagina´s. "&amp;"Voor de investeringen op grond  van verkorte procedures dient de rente tijdens de bouw niet te worden geactiveerd, maar rechtstreeks ten laste van het exploitatieresultaat te worden gebracht."</f>
        <v>Hier dient u investeringen waarvoor een normale WZV-procedure is doorlopen en ingebruikname in 2005 heeft plaatsgevonden te specificeren. Met betrekking tot de rentekosten tijdens de bouw wordt nog opgemerkt dat overeenkomstig de beleidsregel rentenormering de rentekosten tijdens de bouw tot 2002 onderdeel uitmaken van de investeringskosten, waarover dient te worden afgeschreven. In de verleende WZV-vergunning van normale procedures tot 2002 maken de rentekosten tijdens de bouw ook onderdeel uit van de totale investeringskosten waarvoor toestemming is verleend. De investeringen op grond  van verkorte procedures kunt u tevens verantwoorden op deze pagina´s. Voor de investeringen op grond  van verkorte procedures dient de rente tijdens de bouw niet te worden geactiveerd, maar rechtstreeks ten laste van het exploitatieresultaat te worden gebracht.</v>
      </c>
      <c r="B32" s="1469"/>
      <c r="C32" s="1469"/>
      <c r="D32" s="1469"/>
      <c r="E32" s="1469"/>
    </row>
    <row r="33" spans="1:5" s="458" customFormat="1" ht="13.5" customHeight="1">
      <c r="A33" s="1475" t="s">
        <v>191</v>
      </c>
      <c r="B33" s="1475"/>
      <c r="C33" s="1475"/>
      <c r="D33" s="1475"/>
      <c r="E33" s="1475"/>
    </row>
    <row r="34" spans="1:5" s="458" customFormat="1" ht="48" customHeight="1">
      <c r="A34" s="1468" t="str">
        <f>CONCATENATE("De instandhoudingsinvesteringen die in ",Voorblad!D3," in gebruik zijn genomen dienen te worden gespecificeerd. Hierbij wordt onderscheid gemaakt in investeringen ten laste van de jaarlijkse instandhoudingen en investeringen ten laste van trekkingsrechten."," Hierbij merken wij op dat investeringen altijd eerst ten laste van de jaarlijkse instandhouding worden gebracht. ","Wanneer de ruimte voor jaarlijkse instandhouding volledig is benut kan de resterende investering ten laste van de ruimte voor trekkingsrechten worden gebracht.")</f>
        <v>De instandhoudingsinvesteringen die in 2005 in gebruik zijn genomen dienen te worden gespecificeerd. Hierbij wordt onderscheid gemaakt in investeringen ten laste van de jaarlijkse instandhoudingen en investeringen ten laste van trekkingsrechten. Hierbij merken wij op dat investeringen altijd eerst ten laste van de jaarlijkse instandhouding worden gebracht. Wanneer de ruimte voor jaarlijkse instandhouding volledig is benut kan de resterende investering ten laste van de ruimte voor trekkingsrechten worden gebracht.</v>
      </c>
      <c r="B34" s="1468"/>
      <c r="C34" s="1468"/>
      <c r="D34" s="1468"/>
      <c r="E34" s="1468"/>
    </row>
    <row r="35" spans="1:5" s="458" customFormat="1" ht="13.5" customHeight="1">
      <c r="A35" s="474" t="s">
        <v>107</v>
      </c>
      <c r="B35" s="582"/>
      <c r="C35" s="583"/>
      <c r="D35" s="583"/>
      <c r="E35" s="583"/>
    </row>
    <row r="36" spans="1:5" s="458" customFormat="1" ht="60" customHeight="1">
      <c r="A36" s="1468" t="str">
        <f>"Op pagina 22 kunt u het kortingspercentage "&amp;Voorblad!D3&amp;" van de beleidsregel investeringen berekenen."&amp;" De kortingspercentages voor WZV goedgekeurde investeringen t/m "&amp;Voorblad!D3-1&amp;" zijn al eerder vastgesteld. "&amp;"U kunt deze in het schema overnemen."&amp;" Tevens kunnen budgetaanpassingen in verband met WZV-goedkeuringen voor medische en overige inventarissen (onderdeel 1) en voor artikel 2 WBMV functies (onderdeel 3) worden gespecificeerd."&amp;" Aanpassingen van de aanvaardbare kosten op grond van goedkeuringen ex WZV worden alleen verwerkt voor zover deze vergezeld gaan van de goedkeuringsbeslissing en een specificatie van de (afschrijvings)kosten."</f>
        <v>Op pagina 22 kunt u het kortingspercentage 2005 van de beleidsregel investeringen berekenen. De kortingspercentages voor WZV goedgekeurde investeringen t/m 2004 zijn al eerder vastgesteld. U kunt deze in het schema overnemen. Tevens kunnen budgetaanpassingen in verband met WZV-goedkeuringen voor medische en overige inventarissen (onderdeel 1) en voor artikel 2 WBMV functies (onderdeel 3) worden gespecificeerd. Aanpassingen van de aanvaardbare kosten op grond van goedkeuringen ex WZV worden alleen verwerkt voor zover deze vergezeld gaan van de goedkeuringsbeslissing en een specificatie van de (afschrijvings)kosten.</v>
      </c>
      <c r="B36" s="1468"/>
      <c r="C36" s="1468"/>
      <c r="D36" s="1468"/>
      <c r="E36" s="1468"/>
    </row>
    <row r="37" spans="1:4" s="456" customFormat="1" ht="12" customHeight="1">
      <c r="A37" s="457"/>
      <c r="B37" s="458"/>
      <c r="C37" s="468"/>
      <c r="D37" s="458"/>
    </row>
    <row r="38" spans="1:5" s="499" customFormat="1" ht="15.75" customHeight="1">
      <c r="A38" s="442" t="str">
        <f>CONCATENATE("Nacalculatieformulier ",Voorblad!D3)</f>
        <v>Nacalculatieformulier 2005</v>
      </c>
      <c r="B38" s="531"/>
      <c r="C38" s="562"/>
      <c r="D38" s="578"/>
      <c r="E38" s="592">
        <f>E24+1</f>
        <v>5</v>
      </c>
    </row>
    <row r="39" spans="1:5" s="499" customFormat="1" ht="12" customHeight="1">
      <c r="A39" s="566"/>
      <c r="B39" s="500"/>
      <c r="C39" s="579"/>
      <c r="D39" s="579"/>
      <c r="E39" s="580"/>
    </row>
    <row r="40" spans="1:5" s="499" customFormat="1" ht="12" customHeight="1">
      <c r="A40" s="41"/>
      <c r="B40" s="41" t="str">
        <f>'Rentecalc.'!A6</f>
        <v>CALCULATIEMODEL RENTEKOSTEN</v>
      </c>
      <c r="C40" s="588"/>
      <c r="D40" s="588"/>
      <c r="E40" s="589"/>
    </row>
    <row r="41" spans="1:5" s="499" customFormat="1" ht="24" customHeight="1">
      <c r="A41" s="1476" t="s">
        <v>607</v>
      </c>
      <c r="B41" s="1415"/>
      <c r="C41" s="1415"/>
      <c r="D41" s="1415"/>
      <c r="E41" s="1415"/>
    </row>
    <row r="42" spans="1:5" s="499" customFormat="1" ht="12" customHeight="1">
      <c r="A42" s="41" t="str">
        <f>'A-G'!A8</f>
        <v>A. </v>
      </c>
      <c r="B42" s="41" t="str">
        <f>'A-G'!B8</f>
        <v>Boekwaarde investeringen waarvoor vergunning is verleend</v>
      </c>
      <c r="C42" s="586"/>
      <c r="D42" s="586"/>
      <c r="E42" s="586"/>
    </row>
    <row r="43" spans="1:5" s="499" customFormat="1" ht="60" customHeight="1">
      <c r="A43" s="1470" t="str">
        <f>CONCATENATE("Op regel ",'A-G'!A9," dient u de samenstelling van de boekwaarde per 31 december  ",Voorblad!D3-1," volgens de jaarrekening op te nemen. Deze gegevens zijn exclusief de kosten voor onderhanden projecten van normale WZV-procedures. Op regel ",'A-G'!A11," t/m ",'A-G'!A22," vermeldt u in de eerste kolom de aanschafwaarde van (des)investeringen die in ",Voorblad!D3," in gebruik zijn genomen c.q. buiten gebruik zijn gesteld. In de tweede kolom dient u de maandelijkse nacalculeerbare afschrijvingskosten te vermelden."," Bij desinvesteringen vermeldt u in deze kolom ook de bedragen die tot dan toe in totaal op deze investeringen zijn afgeschreven.")</f>
        <v>Op regel 2401 dient u de samenstelling van de boekwaarde per 31 december  2004 volgens de jaarrekening op te nemen. Deze gegevens zijn exclusief de kosten voor onderhanden projecten van normale WZV-procedures. Op regel 2403 t/m 2414 vermeldt u in de eerste kolom de aanschafwaarde van (des)investeringen die in 2005 in gebruik zijn genomen c.q. buiten gebruik zijn gesteld. In de tweede kolom dient u de maandelijkse nacalculeerbare afschrijvingskosten te vermelden. Bij desinvesteringen vermeldt u in deze kolom ook de bedragen die tot dan toe in totaal op deze investeringen zijn afgeschreven.</v>
      </c>
      <c r="B43" s="1468"/>
      <c r="C43" s="1468"/>
      <c r="D43" s="1468"/>
      <c r="E43" s="1468"/>
    </row>
    <row r="44" spans="1:5" s="499" customFormat="1" ht="12" customHeight="1">
      <c r="A44" s="41" t="str">
        <f>'A-G'!A31</f>
        <v>B.</v>
      </c>
      <c r="B44" s="41" t="str">
        <f>'A-G'!B31</f>
        <v>Onderhanden bouwprojecten  met WZV vergunning (geen investeringen meldingsregeling)</v>
      </c>
      <c r="C44" s="591"/>
      <c r="D44" s="591"/>
      <c r="E44" s="42"/>
    </row>
    <row r="45" spans="1:5" s="499" customFormat="1" ht="48" customHeight="1">
      <c r="A45" s="1468" t="str">
        <f>CONCATENATE("Op regel ",'A-G'!A32," dient u in de eerste kolom de kosten voor onderhanden projecten van WZV-vergunningen per 31 december ",Voorblad!D3-1," volgens de jaarrekening op te nemen. U kunt de bedragen vermelden in de maand waarin het uitgevoerde werk is gefactureerd."," In de factor wordt rekening gehouden met een betalingstermijn van 1 maand. In de tweede kolom vult u de onderhanden WZV-investeringen in die in ",Voorblad!D3," in gebruik zijn genomen. ")</f>
        <v>Op regel 2418 dient u in de eerste kolom de kosten voor onderhanden projecten van WZV-vergunningen per 31 december 2004 volgens de jaarrekening op te nemen. U kunt de bedragen vermelden in de maand waarin het uitgevoerde werk is gefactureerd. In de factor wordt rekening gehouden met een betalingstermijn van 1 maand. In de tweede kolom vult u de onderhanden WZV-investeringen in die in 2005 in gebruik zijn genomen. </v>
      </c>
      <c r="B45" s="1468"/>
      <c r="C45" s="1468"/>
      <c r="D45" s="1468"/>
      <c r="E45" s="1468"/>
    </row>
    <row r="46" spans="1:5" ht="12">
      <c r="A46" s="41" t="str">
        <f>'A-G'!A53</f>
        <v>C. </v>
      </c>
      <c r="B46" s="41" t="str">
        <f>'A-G'!B53</f>
        <v>Werkelijke boekwaarde instandhoudingsinvesteringen (inclusief onderhanden werk)</v>
      </c>
      <c r="C46" s="591"/>
      <c r="D46" s="591"/>
      <c r="E46" s="42"/>
    </row>
    <row r="47" spans="1:5" ht="60" customHeight="1">
      <c r="A47" s="1473" t="str">
        <f>CONCATENATE("Op regel ",'A-G'!A54," dient u de samenstelling van de boekwaarde per 31 december ",Voorblad!D3-1," volgens de jaarrekening op te nemen. Voor instandhoudingsinvesteringen in uitvoering zijn twee varianten mogelijk."," U kunt er voor kiezen de investeringskosten aan het eind van het jaar direct te activeren en de afschrijving daarop in ",Voorblad!D3," te starten. U kunt er ook voor kiezen de investeringskosten te boeken op onderhanden werk. Alleen als u kiest voor de laatste variant dienen de regels ",'A-G'!A56," en ",'A-G'!A70," te worden ingevuld. Evenals in overzicht B wordt ook hier in de toegepaste factoren rekening gehouden met een betalingstermijn van 1 maand.")</f>
        <v>Op regel 2501 dient u de samenstelling van de boekwaarde per 31 december 2004 volgens de jaarrekening op te nemen. Voor instandhoudingsinvesteringen in uitvoering zijn twee varianten mogelijk. U kunt er voor kiezen de investeringskosten aan het eind van het jaar direct te activeren en de afschrijving daarop in 2005 te starten. U kunt er ook voor kiezen de investeringskosten te boeken op onderhanden werk. Alleen als u kiest voor de laatste variant dienen de regels 2503 en 2517 te worden ingevuld. Evenals in overzicht B wordt ook hier in de toegepaste factoren rekening gehouden met een betalingstermijn van 1 maand.</v>
      </c>
      <c r="B47" s="1468"/>
      <c r="C47" s="1468"/>
      <c r="D47" s="1468"/>
      <c r="E47" s="1468"/>
    </row>
    <row r="48" spans="1:5" s="458" customFormat="1" ht="12">
      <c r="A48" s="585"/>
      <c r="B48" s="585"/>
      <c r="C48" s="585"/>
      <c r="D48" s="585"/>
      <c r="E48" s="42"/>
    </row>
    <row r="49" spans="1:5" s="458" customFormat="1" ht="15.75" customHeight="1">
      <c r="A49" s="41" t="s">
        <v>60</v>
      </c>
      <c r="B49" s="41" t="str">
        <f>'A-G'!B79</f>
        <v>Normatieve boekwaarde medische en overige inventarissen</v>
      </c>
      <c r="C49" s="579"/>
      <c r="D49" s="579"/>
      <c r="E49" s="589"/>
    </row>
    <row r="50" spans="1:5" s="458" customFormat="1" ht="36" customHeight="1">
      <c r="A50" s="1468" t="str">
        <f>CONCATENATE("U dient hier de afschrijvingen volgens de laatste rekenstaat ",Voorblad!D3," in te vullen en deze vervolgens te vermenigvuldigen met de aangegeven factor. Het resultaat is de normatieve boekwaarde van medische en overige inventarissen. ")</f>
        <v>U dient hier de afschrijvingen volgens de laatste rekenstaat 2005 in te vullen en deze vervolgens te vermenigvuldigen met de aangegeven factor. Het resultaat is de normatieve boekwaarde van medische en overige inventarissen. </v>
      </c>
      <c r="B50" s="1468"/>
      <c r="C50" s="1468"/>
      <c r="D50" s="1468"/>
      <c r="E50" s="1468"/>
    </row>
    <row r="51" spans="1:5" s="458" customFormat="1" ht="15.75" customHeight="1">
      <c r="A51" s="41" t="s">
        <v>61</v>
      </c>
      <c r="B51" s="41" t="s">
        <v>62</v>
      </c>
      <c r="C51" s="579"/>
      <c r="D51" s="579"/>
      <c r="E51" s="589"/>
    </row>
    <row r="52" spans="1:5" s="458" customFormat="1" ht="48" customHeight="1">
      <c r="A52" s="1468" t="str">
        <f>"In de derde kolom worden de maandbedragen berekend op basis van 1/12 deel van het budget op kasbasis volgens de laatst bekende rekenstaat "&amp;Voorblad!D3&amp;" aangevuld met de budgetmutaties volgens het nacalculatieformulier "&amp;Voorblad!D3&amp;" uitgezonderd de rentemutatie. Het totaal van deze kolom dient gelijk te zijn aan het bedrag op pagina "&amp;Mutaties!E2&amp;", regel "&amp;Mutaties!A25&amp;". In de vierde kolom dient per maand te worden aangegeven de declaratiewaarde van de productie in die maand, ongeacht het moment van factureren."&amp;" Opbrengsten van toeslagen die zijn afgegeven voor de verrekening van de lumpsum (specialistenhonorering) dienen buiten beschouwing te blijven."</f>
        <v>In de derde kolom worden de maandbedragen berekend op basis van 1/12 deel van het budget op kasbasis volgens de laatst bekende rekenstaat 2005 aangevuld met de budgetmutaties volgens het nacalculatieformulier 2005 uitgezonderd de rentemutatie. Het totaal van deze kolom dient gelijk te zijn aan het bedrag op pagina 22, regel 2217. In de vierde kolom dient per maand te worden aangegeven de declaratiewaarde van de productie in die maand, ongeacht het moment van factureren. Opbrengsten van toeslagen die zijn afgegeven voor de verrekening van de lumpsum (specialistenhonorering) dienen buiten beschouwing te blijven.</v>
      </c>
      <c r="B52" s="1468"/>
      <c r="C52" s="1468"/>
      <c r="D52" s="1468"/>
      <c r="E52" s="1468"/>
    </row>
    <row r="53" spans="1:5" s="458" customFormat="1" ht="24" customHeight="1">
      <c r="A53" s="1468" t="str">
        <f>"In de laatste kolom komt op regel "&amp;'A-G'!A132&amp;" het saldo ultimo "&amp;Voorblad!D3-1&amp;" te staan. Dit bedrag komt overeen met het financieringsresultaat ultimo "&amp;Voorblad!D3-1&amp;" conform de berekening in de eerste tabel bij onderdeel G."&amp;" Voor het invullen van de eerste tabel dient u uit te gaan van de opbrengstregistratie uit de meest recente rekenstaat van het lopende jaar."</f>
        <v>In de laatste kolom komt op regel 2704 het saldo ultimo 2004 te staan. Dit bedrag komt overeen met het financieringsresultaat ultimo 2004 conform de berekening in de eerste tabel bij onderdeel G. Voor het invullen van de eerste tabel dient u uit te gaan van de opbrengstregistratie uit de meest recente rekenstaat van het lopende jaar.</v>
      </c>
      <c r="B53" s="1468"/>
      <c r="C53" s="1468"/>
      <c r="D53" s="1468"/>
      <c r="E53" s="1468"/>
    </row>
    <row r="54" s="458" customFormat="1" ht="12.75" customHeight="1">
      <c r="A54" s="457"/>
    </row>
    <row r="55" s="458" customFormat="1" ht="12" hidden="1">
      <c r="A55" s="457" t="s">
        <v>489</v>
      </c>
    </row>
    <row r="56" s="458" customFormat="1" ht="12" hidden="1">
      <c r="A56" s="457" t="s">
        <v>490</v>
      </c>
    </row>
    <row r="57" s="458" customFormat="1" ht="12" hidden="1">
      <c r="A57" s="457" t="s">
        <v>491</v>
      </c>
    </row>
    <row r="58" s="458" customFormat="1" ht="12" hidden="1">
      <c r="A58" s="457" t="s">
        <v>492</v>
      </c>
    </row>
    <row r="59" s="458" customFormat="1" ht="12" hidden="1">
      <c r="A59" s="457" t="s">
        <v>493</v>
      </c>
    </row>
    <row r="60" s="458" customFormat="1" ht="12" hidden="1">
      <c r="A60" s="457" t="s">
        <v>494</v>
      </c>
    </row>
    <row r="61" s="458" customFormat="1" ht="12" hidden="1">
      <c r="A61" s="457" t="s">
        <v>495</v>
      </c>
    </row>
    <row r="62" s="458" customFormat="1" ht="12" hidden="1">
      <c r="A62" s="457" t="s">
        <v>496</v>
      </c>
    </row>
    <row r="63" s="458" customFormat="1" ht="12" hidden="1">
      <c r="A63" s="457" t="s">
        <v>497</v>
      </c>
    </row>
    <row r="64" s="458" customFormat="1" ht="12" hidden="1">
      <c r="A64" s="457" t="s">
        <v>498</v>
      </c>
    </row>
    <row r="65" s="458" customFormat="1" ht="12" hidden="1">
      <c r="A65" s="457" t="s">
        <v>499</v>
      </c>
    </row>
    <row r="66" s="458" customFormat="1" ht="12" hidden="1">
      <c r="A66" s="457" t="s">
        <v>500</v>
      </c>
    </row>
    <row r="67" spans="1:5" s="458" customFormat="1" ht="15.75" customHeight="1">
      <c r="A67" s="442" t="str">
        <f>CONCATENATE("Nacalculatieformulier ",Voorblad!D3)</f>
        <v>Nacalculatieformulier 2005</v>
      </c>
      <c r="B67" s="531"/>
      <c r="C67" s="562"/>
      <c r="D67" s="578"/>
      <c r="E67" s="592">
        <f>E38+1</f>
        <v>6</v>
      </c>
    </row>
    <row r="68" spans="1:5" s="458" customFormat="1" ht="15.75" customHeight="1">
      <c r="A68" s="590"/>
      <c r="B68" s="500"/>
      <c r="C68" s="579"/>
      <c r="D68" s="579"/>
      <c r="E68" s="589"/>
    </row>
    <row r="69" spans="1:5" s="458" customFormat="1" ht="12">
      <c r="A69" s="41" t="str">
        <f>H!A7</f>
        <v>H. </v>
      </c>
      <c r="B69" s="41" t="str">
        <f>H!B7</f>
        <v>Langlopende leningen (incl. langlopende leasecontracten)</v>
      </c>
      <c r="C69" s="585"/>
      <c r="D69" s="585"/>
      <c r="E69" s="42"/>
    </row>
    <row r="70" spans="1:5" s="458" customFormat="1" ht="36" customHeight="1">
      <c r="A70" s="1468" t="str">
        <f>CONCATENATE("1. In de kolom 'Datum normrente' moet voor leningen die vanaf 2001 zijn afgesloten de datum worden vermeld waarop het berekende normpercentage is vastgesteld. Dit is datum waarop de leningsovereenkomst tot stand is gekomen.")</f>
        <v>1. In de kolom 'Datum normrente' moet voor leningen die vanaf 2001 zijn afgesloten de datum worden vermeld waarop het berekende normpercentage is vastgesteld. Dit is datum waarop de leningsovereenkomst tot stand is gekomen.</v>
      </c>
      <c r="B70" s="1415"/>
      <c r="C70" s="1415"/>
      <c r="D70" s="1415"/>
      <c r="E70" s="1415"/>
    </row>
    <row r="71" spans="1:5" s="458" customFormat="1" ht="48" customHeight="1">
      <c r="A71" s="1468" t="str">
        <f>CONCATENATE("2. In de kolom 'einddatum rentevastperiode' dient de datum worden opgenomen waarop het huidige rentepercentage expireert. Als een bestaande lening in ",Voorblad!D3," vervroegd is afgelost kunt u bij de vervangende lening in deze kolom de datum vermelden waarop de oorspronkelijke rentevastperiode zou aflopen, echter met een maximum van 5 jaar na datum afsluiten vervangende lening."," Gedurende de periode dat de oude lening nog zou zijn doorgelopen heeft de instelling recht op een rentevergoeding  conform het oude rentepercentage.")</f>
        <v>2. In de kolom 'einddatum rentevastperiode' dient de datum worden opgenomen waarop het huidige rentepercentage expireert. Als een bestaande lening in 2005 vervroegd is afgelost kunt u bij de vervangende lening in deze kolom de datum vermelden waarop de oorspronkelijke rentevastperiode zou aflopen, echter met een maximum van 5 jaar na datum afsluiten vervangende lening. Gedurende de periode dat de oude lening nog zou zijn doorgelopen heeft de instelling recht op een rentevergoeding  conform het oude rentepercentage.</v>
      </c>
      <c r="B71" s="1415"/>
      <c r="C71" s="1415"/>
      <c r="D71" s="1415"/>
      <c r="E71" s="1415"/>
    </row>
    <row r="72" spans="1:5" s="458" customFormat="1" ht="48" customHeight="1">
      <c r="A72" s="1468" t="s">
        <v>634</v>
      </c>
      <c r="B72" s="1415"/>
      <c r="C72" s="1415"/>
      <c r="D72" s="1415"/>
      <c r="E72" s="1415"/>
    </row>
    <row r="73" spans="1:5" s="458" customFormat="1" ht="48" customHeight="1">
      <c r="A73" s="1473" t="str">
        <f>CONCATENATE("4. In de kolommen van 'Storting/Aflossing ",Voorblad!D3,"' dient u het aflossingsbedrag, de dag en de maand(en) van aflossing aan te geven."," Aan de hand van deze gegevens wordt de gewogen schuld berekend. Indien deze berekening voor een specifieke situatie niet tot de juiste uitkomst leidt, kan het bedrag van de gewogen schuld worden aangepast."," Ook de berekende aanvaardbare rentekosten kunnen worden aangepast voor afwijkingen in de werkelijke rentekosten als het gaat om oude leningen.")</f>
        <v>4. In de kolommen van 'Storting/Aflossing 2005' dient u het aflossingsbedrag, de dag en de maand(en) van aflossing aan te geven. Aan de hand van deze gegevens wordt de gewogen schuld berekend. Indien deze berekening voor een specifieke situatie niet tot de juiste uitkomst leidt, kan het bedrag van de gewogen schuld worden aangepast. Ook de berekende aanvaardbare rentekosten kunnen worden aangepast voor afwijkingen in de werkelijke rentekosten als het gaat om oude leningen.</v>
      </c>
      <c r="B73" s="1468"/>
      <c r="C73" s="1468"/>
      <c r="D73" s="1468"/>
      <c r="E73" s="1468"/>
    </row>
    <row r="74" spans="1:5" s="458" customFormat="1" ht="36" customHeight="1">
      <c r="A74" s="1468" t="s">
        <v>662</v>
      </c>
      <c r="B74" s="1468"/>
      <c r="C74" s="1468"/>
      <c r="D74" s="1468"/>
      <c r="E74" s="1468"/>
    </row>
    <row r="75" spans="1:5" s="458" customFormat="1" ht="12">
      <c r="A75" s="1309" t="str">
        <f>'I-J'!A6</f>
        <v>I. </v>
      </c>
      <c r="B75" s="1309" t="str">
        <f>LEFT('I-J'!B6,14)</f>
        <v>Eigen vermogen</v>
      </c>
      <c r="C75" s="591"/>
      <c r="D75" s="591"/>
      <c r="E75" s="591"/>
    </row>
    <row r="76" spans="1:5" s="458" customFormat="1" ht="72" customHeight="1">
      <c r="A76" s="1473" t="str">
        <f>CONCATENATE("Voor de bepaling van het resultaat dient te worden uitgegaan van het budget aanvaardbare kosten op kasbasis volgens de laatst bekende rekenstaat ",Voorblad!D3," , aangevuld met de budgetmutaties volgens het nacalculatieformulier ",Voorblad!D3," , uitgezonderd de mutatie op de rente. ","Tevens zijn voor de resultaatbepaling van belang de resultaten behaald op het B-segment (zie beleidsregel rente). ","De gegevens op deze bijlage dienen aan te sluiten bij de jaarrekening. In het resultaat volgens de jaarrekening is het volledige resultaat op rente inbegrepen. Teneinde aansluiting te behouden kan op regel ",'I-J'!A19," de mutatie op rente worden opgenomen. Als het resultaat in de reserves is verwerkt, behoeft regel ",'I-J'!A17," niet te worden ingevuld.")</f>
        <v>Voor de bepaling van het resultaat dient te worden uitgegaan van het budget aanvaardbare kosten op kasbasis volgens de laatst bekende rekenstaat 2005 , aangevuld met de budgetmutaties volgens het nacalculatieformulier 2005 , uitgezonderd de mutatie op de rente. Tevens zijn voor de resultaatbepaling van belang de resultaten behaald op het B-segment (zie beleidsregel rente). De gegevens op deze bijlage dienen aan te sluiten bij de jaarrekening. In het resultaat volgens de jaarrekening is het volledige resultaat op rente inbegrepen. Teneinde aansluiting te behouden kan op regel 3213 de mutatie op rente worden opgenomen. Als het resultaat in de reserves is verwerkt, behoeft regel 3211 niet te worden ingevuld.</v>
      </c>
      <c r="B76" s="1468"/>
      <c r="C76" s="1468"/>
      <c r="D76" s="1468"/>
      <c r="E76" s="1468"/>
    </row>
    <row r="77" spans="1:5" s="458" customFormat="1" ht="48" customHeight="1">
      <c r="A77" s="1473" t="str">
        <f>CONCATENATE(" Op regel ",'I-J'!A20," kan de boekwaarde van vergunningsplichtige investeringen zonder vergunning in mindering worden gebracht. Dit betreft investeringen waarvoor, om voor nacalculatie in aanmerking te komen, een vergunning is vereist, maar ","welke niet is afgegeven. Het kan ook gaan om een overschrijding van een vergunning. De investeringen zijn gedaan ten behoeve van de instelling en er is geen titel om de daarmee samenhangende kapitaalslasten door te berekenen aan derden. ")</f>
        <v> Op regel 3214 kan de boekwaarde van vergunningsplichtige investeringen zonder vergunning in mindering worden gebracht. Dit betreft investeringen waarvoor, om voor nacalculatie in aanmerking te komen, een vergunning is vereist, maar welke niet is afgegeven. Het kan ook gaan om een overschrijding van een vergunning. De investeringen zijn gedaan ten behoeve van de instelling en er is geen titel om de daarmee samenhangende kapitaalslasten door te berekenen aan derden. </v>
      </c>
      <c r="B77" s="1468"/>
      <c r="C77" s="1468"/>
      <c r="D77" s="1468"/>
      <c r="E77" s="1468"/>
    </row>
    <row r="78" spans="1:5" s="458" customFormat="1" ht="12">
      <c r="A78" s="1309" t="str">
        <f>'I-J'!A26</f>
        <v>J. </v>
      </c>
      <c r="B78" s="1309" t="str">
        <f>'I-J'!B26</f>
        <v>Rentekosten langlopende leningen</v>
      </c>
      <c r="C78" s="591"/>
      <c r="D78" s="591"/>
      <c r="E78" s="591"/>
    </row>
    <row r="79" spans="1:5" s="458" customFormat="1" ht="48" customHeight="1">
      <c r="A79" s="1468" t="s">
        <v>186</v>
      </c>
      <c r="B79" s="1468"/>
      <c r="C79" s="1468"/>
      <c r="D79" s="1468"/>
      <c r="E79" s="1468"/>
    </row>
    <row r="80" s="458" customFormat="1" ht="12">
      <c r="A80" s="457"/>
    </row>
    <row r="81" s="458" customFormat="1" ht="12">
      <c r="A81" s="457"/>
    </row>
  </sheetData>
  <sheetProtection password="CCBC" sheet="1" objects="1" scenarios="1"/>
  <mergeCells count="88">
    <mergeCell ref="A43:E43"/>
    <mergeCell ref="A45:E45"/>
    <mergeCell ref="A77:E77"/>
    <mergeCell ref="A74:E74"/>
    <mergeCell ref="A70:E70"/>
    <mergeCell ref="A71:E71"/>
    <mergeCell ref="A18:E18"/>
    <mergeCell ref="A21:E21"/>
    <mergeCell ref="A16:E16"/>
    <mergeCell ref="A17:E17"/>
    <mergeCell ref="A19:E19"/>
    <mergeCell ref="A79:E79"/>
    <mergeCell ref="A33:E33"/>
    <mergeCell ref="A76:E76"/>
    <mergeCell ref="A47:E47"/>
    <mergeCell ref="A73:E73"/>
    <mergeCell ref="A52:E52"/>
    <mergeCell ref="A50:E50"/>
    <mergeCell ref="A72:E72"/>
    <mergeCell ref="A41:E41"/>
    <mergeCell ref="A36:E36"/>
    <mergeCell ref="A7:E7"/>
    <mergeCell ref="A9:E9"/>
    <mergeCell ref="A8:B8"/>
    <mergeCell ref="A14:E14"/>
    <mergeCell ref="A13:B13"/>
    <mergeCell ref="A10:E10"/>
    <mergeCell ref="A11:E11"/>
    <mergeCell ref="A12:E12"/>
    <mergeCell ref="F21:J21"/>
    <mergeCell ref="A34:E34"/>
    <mergeCell ref="A29:E29"/>
    <mergeCell ref="A32:E32"/>
    <mergeCell ref="A27:E27"/>
    <mergeCell ref="A26:B26"/>
    <mergeCell ref="A28:E28"/>
    <mergeCell ref="A22:E22"/>
    <mergeCell ref="K21:O21"/>
    <mergeCell ref="P21:T21"/>
    <mergeCell ref="U21:Y21"/>
    <mergeCell ref="Z21:AD21"/>
    <mergeCell ref="AE21:AI21"/>
    <mergeCell ref="AJ21:AN21"/>
    <mergeCell ref="AO21:AS21"/>
    <mergeCell ref="AT21:AX21"/>
    <mergeCell ref="AY21:BC21"/>
    <mergeCell ref="BD21:BH21"/>
    <mergeCell ref="BI21:BM21"/>
    <mergeCell ref="BN21:BR21"/>
    <mergeCell ref="BS21:BW21"/>
    <mergeCell ref="BX21:CB21"/>
    <mergeCell ref="CC21:CG21"/>
    <mergeCell ref="CH21:CL21"/>
    <mergeCell ref="CM21:CQ21"/>
    <mergeCell ref="CR21:CV21"/>
    <mergeCell ref="CW21:DA21"/>
    <mergeCell ref="DB21:DF21"/>
    <mergeCell ref="DG21:DK21"/>
    <mergeCell ref="DL21:DP21"/>
    <mergeCell ref="DQ21:DU21"/>
    <mergeCell ref="DV21:DZ21"/>
    <mergeCell ref="EA21:EE21"/>
    <mergeCell ref="EF21:EJ21"/>
    <mergeCell ref="EK21:EO21"/>
    <mergeCell ref="EP21:ET21"/>
    <mergeCell ref="EU21:EY21"/>
    <mergeCell ref="EZ21:FD21"/>
    <mergeCell ref="FE21:FI21"/>
    <mergeCell ref="FJ21:FN21"/>
    <mergeCell ref="FO21:FS21"/>
    <mergeCell ref="FT21:FX21"/>
    <mergeCell ref="FY21:GC21"/>
    <mergeCell ref="GD21:GH21"/>
    <mergeCell ref="HR21:HV21"/>
    <mergeCell ref="GI21:GM21"/>
    <mergeCell ref="GN21:GR21"/>
    <mergeCell ref="GS21:GW21"/>
    <mergeCell ref="GX21:HB21"/>
    <mergeCell ref="IQ21:IU21"/>
    <mergeCell ref="A31:E31"/>
    <mergeCell ref="A53:E53"/>
    <mergeCell ref="HW21:IA21"/>
    <mergeCell ref="IB21:IF21"/>
    <mergeCell ref="IG21:IK21"/>
    <mergeCell ref="IL21:IP21"/>
    <mergeCell ref="HC21:HG21"/>
    <mergeCell ref="HH21:HL21"/>
    <mergeCell ref="HM21:HQ21"/>
  </mergeCells>
  <printOptions/>
  <pageMargins left="0.3937007874015748" right="0.3937007874015748" top="0.3937007874015748" bottom="0.1968503937007874" header="0.5118110236220472" footer="0.11811023622047245"/>
  <pageSetup fitToHeight="6" horizontalDpi="300" verticalDpi="300" orientation="landscape" paperSize="9" scale="91" r:id="rId2"/>
  <rowBreaks count="3" manualBreakCount="3">
    <brk id="22" max="4" man="1"/>
    <brk id="36" max="4" man="1"/>
    <brk id="53" max="4" man="1"/>
  </rowBreaks>
  <drawing r:id="rId1"/>
</worksheet>
</file>

<file path=xl/worksheets/sheet6.xml><?xml version="1.0" encoding="utf-8"?>
<worksheet xmlns="http://schemas.openxmlformats.org/spreadsheetml/2006/main" xmlns:r="http://schemas.openxmlformats.org/officeDocument/2006/relationships">
  <sheetPr codeName="Blad5"/>
  <dimension ref="A1:AM85"/>
  <sheetViews>
    <sheetView showGridLines="0" showRowColHeaders="0" showZeros="0" showOutlineSymbols="0" view="pageBreakPreview" zoomScale="75" zoomScaleNormal="86" zoomScaleSheetLayoutView="75" workbookViewId="0" topLeftCell="A1">
      <selection activeCell="D9" sqref="D9"/>
    </sheetView>
  </sheetViews>
  <sheetFormatPr defaultColWidth="9.140625" defaultRowHeight="12.75"/>
  <cols>
    <col min="1" max="1" width="5.7109375" style="872" customWidth="1"/>
    <col min="2" max="2" width="35.7109375" style="560" customWidth="1"/>
    <col min="3" max="5" width="10.7109375" style="847" customWidth="1"/>
    <col min="6" max="7" width="10.7109375" style="859" customWidth="1"/>
    <col min="8" max="10" width="12.140625" style="847" customWidth="1"/>
    <col min="11" max="11" width="9.140625" style="560" customWidth="1"/>
    <col min="12" max="12" width="12.00390625" style="560" customWidth="1"/>
    <col min="13" max="14" width="9.140625" style="560" customWidth="1"/>
    <col min="15" max="15" width="25.421875" style="560" customWidth="1"/>
    <col min="16" max="16384" width="9.140625" style="560" customWidth="1"/>
  </cols>
  <sheetData>
    <row r="1" spans="1:12" s="456" customFormat="1" ht="15.75" customHeight="1">
      <c r="A1" s="891"/>
      <c r="B1" s="458"/>
      <c r="C1" s="558"/>
      <c r="D1" s="458"/>
      <c r="E1" s="458"/>
      <c r="G1" s="454"/>
      <c r="I1" s="890"/>
      <c r="J1" s="454"/>
      <c r="K1" s="454"/>
      <c r="L1" s="454"/>
    </row>
    <row r="2" spans="1:12" s="499" customFormat="1" ht="15.75" customHeight="1">
      <c r="A2" s="442" t="str">
        <f>CONCATENATE("Nacalculatieformulier ",Voorblad!D3)</f>
        <v>Nacalculatieformulier 2005</v>
      </c>
      <c r="B2" s="593"/>
      <c r="C2" s="593"/>
      <c r="D2" s="593"/>
      <c r="E2" s="597" t="b">
        <f>Voorblad!D30</f>
        <v>1</v>
      </c>
      <c r="F2" s="593"/>
      <c r="G2" s="593"/>
      <c r="H2" s="593"/>
      <c r="I2" s="534"/>
      <c r="J2" s="592">
        <f>instructie!E67+1</f>
        <v>7</v>
      </c>
      <c r="K2" s="91"/>
      <c r="L2" s="91"/>
    </row>
    <row r="3" spans="1:12" s="499" customFormat="1" ht="15.75" customHeight="1">
      <c r="A3" s="937"/>
      <c r="B3" s="91"/>
      <c r="C3" s="91"/>
      <c r="D3" s="91"/>
      <c r="E3" s="938"/>
      <c r="F3" s="91"/>
      <c r="G3" s="91"/>
      <c r="H3" s="91"/>
      <c r="I3" s="500"/>
      <c r="J3" s="589"/>
      <c r="K3" s="91"/>
      <c r="L3" s="91"/>
    </row>
    <row r="4" spans="1:12" ht="12" customHeight="1">
      <c r="A4" s="892" t="s">
        <v>24</v>
      </c>
      <c r="B4" s="849"/>
      <c r="C4" s="849"/>
      <c r="D4" s="560"/>
      <c r="E4" s="560"/>
      <c r="F4" s="560"/>
      <c r="G4" s="560"/>
      <c r="H4" s="560"/>
      <c r="I4" s="560"/>
      <c r="J4" s="560"/>
      <c r="K4" s="836"/>
      <c r="L4" s="836"/>
    </row>
    <row r="5" spans="2:17" ht="12.75" customHeight="1">
      <c r="B5" s="849"/>
      <c r="E5" s="895"/>
      <c r="P5" s="843" t="s">
        <v>692</v>
      </c>
      <c r="Q5" s="844"/>
    </row>
    <row r="6" spans="1:17" ht="12.75" customHeight="1">
      <c r="A6" s="892" t="s">
        <v>385</v>
      </c>
      <c r="B6" s="849" t="str">
        <f>CONCATENATE("Productieaantallen en realisatie ",Voorblad!D3,"")</f>
        <v>Productieaantallen en realisatie 2005</v>
      </c>
      <c r="C6" s="876" t="s">
        <v>43</v>
      </c>
      <c r="D6" s="893" t="s">
        <v>343</v>
      </c>
      <c r="E6" s="876" t="s">
        <v>42</v>
      </c>
      <c r="F6" s="1482" t="s">
        <v>41</v>
      </c>
      <c r="G6" s="1483"/>
      <c r="H6" s="1480" t="s">
        <v>113</v>
      </c>
      <c r="I6" s="1481"/>
      <c r="J6" s="876" t="s">
        <v>442</v>
      </c>
      <c r="P6" s="860" t="s">
        <v>453</v>
      </c>
      <c r="Q6" s="844"/>
    </row>
    <row r="7" spans="3:17" ht="12.75" customHeight="1">
      <c r="C7" s="878">
        <f>Voorblad!D3</f>
        <v>2005</v>
      </c>
      <c r="D7" s="879">
        <f>Voorblad!D3</f>
        <v>2005</v>
      </c>
      <c r="E7" s="894"/>
      <c r="F7" s="881" t="s">
        <v>698</v>
      </c>
      <c r="G7" s="881" t="s">
        <v>699</v>
      </c>
      <c r="H7" s="882" t="s">
        <v>698</v>
      </c>
      <c r="I7" s="882" t="s">
        <v>699</v>
      </c>
      <c r="J7" s="878" t="str">
        <f>CONCATENATE("FB ",Voorblad!D3)</f>
        <v>FB 2005</v>
      </c>
      <c r="O7" s="560" t="s">
        <v>693</v>
      </c>
      <c r="P7" s="858" t="s">
        <v>694</v>
      </c>
      <c r="Q7" s="858" t="s">
        <v>695</v>
      </c>
    </row>
    <row r="8" spans="2:20" ht="12.75" customHeight="1">
      <c r="B8" s="836"/>
      <c r="C8" s="866"/>
      <c r="D8" s="866"/>
      <c r="E8" s="866"/>
      <c r="F8" s="867"/>
      <c r="G8" s="867"/>
      <c r="H8" s="866"/>
      <c r="I8" s="866"/>
      <c r="J8" s="866"/>
      <c r="O8" s="560" t="s">
        <v>697</v>
      </c>
      <c r="P8" s="861">
        <f>'G1'!B74</f>
        <v>411.94</v>
      </c>
      <c r="Q8" s="861">
        <f>'G1'!C74</f>
        <v>483.36</v>
      </c>
      <c r="R8" s="560" t="s">
        <v>796</v>
      </c>
      <c r="S8" s="862">
        <v>1.0092</v>
      </c>
      <c r="T8" s="862">
        <v>1.0142</v>
      </c>
    </row>
    <row r="9" spans="1:22" ht="12.75" customHeight="1">
      <c r="A9" s="836" t="str">
        <f>CONCATENATE("Gewogen. spec.eenheden (incl agio's) volgens laatste rekenstaat ",Voorblad!D3,"")</f>
        <v>Gewogen. spec.eenheden (incl agio's) volgens laatste rekenstaat 2005</v>
      </c>
      <c r="D9" s="1020"/>
      <c r="O9" s="560" t="s">
        <v>700</v>
      </c>
      <c r="P9" s="861">
        <f>'G1'!B75</f>
        <v>427.84</v>
      </c>
      <c r="Q9" s="861">
        <f>'G1'!C75</f>
        <v>531.88</v>
      </c>
      <c r="U9" s="862"/>
      <c r="V9" s="862"/>
    </row>
    <row r="10" spans="15:17" ht="12" customHeight="1">
      <c r="O10" s="560" t="s">
        <v>701</v>
      </c>
      <c r="P10" s="861">
        <f>'G1'!B76</f>
        <v>38.55</v>
      </c>
      <c r="Q10" s="861">
        <f>'G1'!C76</f>
        <v>8.81</v>
      </c>
    </row>
    <row r="11" spans="1:17" ht="12" customHeight="1">
      <c r="A11" s="898">
        <f>J2*100+1</f>
        <v>701</v>
      </c>
      <c r="B11" s="827" t="s">
        <v>272</v>
      </c>
      <c r="C11" s="883">
        <f>+'Prod.1.5'!F39</f>
        <v>0</v>
      </c>
      <c r="D11" s="883">
        <f>+'Prod.1.5'!G39</f>
        <v>0</v>
      </c>
      <c r="E11" s="884">
        <f aca="true" t="shared" si="0" ref="E11:E30">C11-D11</f>
        <v>0</v>
      </c>
      <c r="F11" s="1068">
        <f>IF(D9=0,0,ROUND(IF($D$9&lt;62.5,P8,IF($D$9&gt;=88,P9,P8+($D$9-62.5)/25.5*(P9-P8))),2))</f>
        <v>0</v>
      </c>
      <c r="G11" s="1068">
        <f>IF(D9=0,0,ROUND(IF($D$9&lt;62.5,Q8,IF($D$9&gt;=88,Q9,Q8+($D$9-62.5)/25.5*(Q9-Q8))),2))</f>
        <v>0</v>
      </c>
      <c r="H11" s="886">
        <f>ROUND($E11*ROUND(F11*$S$8,2),0)</f>
        <v>0</v>
      </c>
      <c r="I11" s="886">
        <f>ROUND($E11*ROUND(G11*$T$8,2),0)</f>
        <v>0</v>
      </c>
      <c r="J11" s="886">
        <f>ROUND(C11*ROUND(F11*S$8,2),0)+ROUND(C11*ROUND(G11*T$8,2),0)</f>
        <v>0</v>
      </c>
      <c r="O11" s="560" t="s">
        <v>702</v>
      </c>
      <c r="P11" s="861">
        <f>'G1'!B77</f>
        <v>39.82</v>
      </c>
      <c r="Q11" s="861">
        <f>'G1'!C77</f>
        <v>9.02</v>
      </c>
    </row>
    <row r="12" spans="1:17" ht="12" customHeight="1">
      <c r="A12" s="898">
        <f aca="true" t="shared" si="1" ref="A12:A38">A11+1</f>
        <v>702</v>
      </c>
      <c r="B12" s="827" t="s">
        <v>273</v>
      </c>
      <c r="C12" s="884">
        <f>+'Prod.1.5'!I39</f>
        <v>0</v>
      </c>
      <c r="D12" s="884">
        <f>+'Prod.1.5'!J39</f>
        <v>0</v>
      </c>
      <c r="E12" s="884">
        <f t="shared" si="0"/>
        <v>0</v>
      </c>
      <c r="F12" s="1068">
        <f>IF(D9=0,0,ROUND(IF($D$9&lt;62.5,P10,IF($D$9&gt;=88,P11,P10+($D$9-62.5)/25.5*(P11-P10))),2))</f>
        <v>0</v>
      </c>
      <c r="G12" s="1068">
        <f>IF(D9=0,0,ROUND(IF($D$9&lt;62.5,Q10,IF($D$9&gt;=88,Q11,Q10+($D$9-62.5)/25.5*(Q11-Q10))),2))</f>
        <v>0</v>
      </c>
      <c r="H12" s="886">
        <f aca="true" t="shared" si="2" ref="H12:H41">ROUND($E12*ROUND(F12*$S$8,2),0)</f>
        <v>0</v>
      </c>
      <c r="I12" s="886">
        <f aca="true" t="shared" si="3" ref="I12:I43">ROUND($E12*ROUND(G12*$T$8,2),0)</f>
        <v>0</v>
      </c>
      <c r="J12" s="886">
        <f aca="true" t="shared" si="4" ref="J12:J41">ROUND(C12*ROUND(F12*S$8,2),0)+ROUND(C12*ROUND(G12*T$8,2),0)</f>
        <v>0</v>
      </c>
      <c r="O12" s="560" t="s">
        <v>703</v>
      </c>
      <c r="P12" s="861">
        <f>'G1'!B78</f>
        <v>76.38</v>
      </c>
      <c r="Q12" s="861">
        <f>'G1'!C78</f>
        <v>37.88</v>
      </c>
    </row>
    <row r="13" spans="1:17" ht="12" customHeight="1">
      <c r="A13" s="898">
        <f>A12+1</f>
        <v>703</v>
      </c>
      <c r="B13" s="827" t="s">
        <v>274</v>
      </c>
      <c r="C13" s="883">
        <f>+'Prod.1.5'!F80</f>
        <v>0</v>
      </c>
      <c r="D13" s="883">
        <f>+'Prod.1.5'!G80</f>
        <v>0</v>
      </c>
      <c r="E13" s="884">
        <f t="shared" si="0"/>
        <v>0</v>
      </c>
      <c r="F13" s="1134">
        <f>IF(D9=0,0,ROUND(IF($D$9&lt;62.5,P12,IF($D$9&gt;=88,P13,P12+($D$9-62.5)/25.5*(P13-P12))),2))</f>
        <v>0</v>
      </c>
      <c r="G13" s="1134">
        <f>IF(D9=0,0,ROUND(IF($D$9&lt;62.5,Q12,IF($D$9&gt;=88,Q13,Q12+($D$9-62.5)/25.5*(Q13-Q12))),2))</f>
        <v>0</v>
      </c>
      <c r="H13" s="886">
        <f t="shared" si="2"/>
        <v>0</v>
      </c>
      <c r="I13" s="886">
        <f t="shared" si="3"/>
        <v>0</v>
      </c>
      <c r="J13" s="886">
        <f t="shared" si="4"/>
        <v>0</v>
      </c>
      <c r="O13" s="560" t="s">
        <v>704</v>
      </c>
      <c r="P13" s="861">
        <f>'G1'!B79</f>
        <v>79.52</v>
      </c>
      <c r="Q13" s="871">
        <f>'G1'!C79</f>
        <v>41.54</v>
      </c>
    </row>
    <row r="14" spans="1:17" ht="12" customHeight="1">
      <c r="A14" s="898">
        <f>A13+1</f>
        <v>704</v>
      </c>
      <c r="B14" s="827" t="s">
        <v>275</v>
      </c>
      <c r="C14" s="907">
        <f>+'Prod.1.5'!I80</f>
        <v>0</v>
      </c>
      <c r="D14" s="907">
        <f>+'Prod.1.5'!J80</f>
        <v>0</v>
      </c>
      <c r="E14" s="884">
        <f t="shared" si="0"/>
        <v>0</v>
      </c>
      <c r="F14" s="1134">
        <f>IF(D9=0,0,ROUND(IF($D$9&lt;62.5,P14,IF($D$9&gt;=88,P15,P14+($D$9-62.5)/25.5*(P15-P14))),2))</f>
        <v>0</v>
      </c>
      <c r="G14" s="1134">
        <f>IF(D9=0,0,ROUND(IF($D$9&lt;62.5,Q14,IF($D$9&gt;=88,Q15,Q14+($D$9-62.5)/25.5*(Q15-Q14))),2))</f>
        <v>0</v>
      </c>
      <c r="H14" s="886">
        <f t="shared" si="2"/>
        <v>0</v>
      </c>
      <c r="I14" s="886">
        <f t="shared" si="3"/>
        <v>0</v>
      </c>
      <c r="J14" s="886">
        <f t="shared" si="4"/>
        <v>0</v>
      </c>
      <c r="O14" s="560" t="s">
        <v>705</v>
      </c>
      <c r="P14" s="861">
        <f>'G1'!B80</f>
        <v>214.96</v>
      </c>
      <c r="Q14" s="861">
        <f>'G1'!C80</f>
        <v>104.06</v>
      </c>
    </row>
    <row r="15" spans="1:17" ht="12" customHeight="1">
      <c r="A15" s="898">
        <f>A14+1</f>
        <v>705</v>
      </c>
      <c r="B15" s="827" t="s">
        <v>276</v>
      </c>
      <c r="C15" s="884">
        <f>+'Prod.1.5'!K80</f>
        <v>0</v>
      </c>
      <c r="D15" s="884">
        <f>+'Prod.1.5'!L80</f>
        <v>0</v>
      </c>
      <c r="E15" s="884">
        <f t="shared" si="0"/>
        <v>0</v>
      </c>
      <c r="F15" s="1134">
        <f>IF(D9=0,0,ROUND(IF($D$9&lt;62.5,P16,IF($D$9&gt;=88,P17,P16+($D$9-62.5)/25.5*(P17-P16))),2))</f>
        <v>0</v>
      </c>
      <c r="G15" s="1134">
        <f>IF(D9=0,0,ROUND(IF($D$9&lt;62.5,Q16,IF($D$9&gt;=88,Q17,Q16+($D$9-62.5)/25.5*(Q17-Q16))),2))</f>
        <v>0</v>
      </c>
      <c r="H15" s="886">
        <f t="shared" si="2"/>
        <v>0</v>
      </c>
      <c r="I15" s="886">
        <f t="shared" si="3"/>
        <v>0</v>
      </c>
      <c r="J15" s="886">
        <f t="shared" si="4"/>
        <v>0</v>
      </c>
      <c r="O15" s="560" t="s">
        <v>706</v>
      </c>
      <c r="P15" s="861">
        <f>'G1'!B81</f>
        <v>219.11</v>
      </c>
      <c r="Q15" s="861">
        <f>'G1'!C81</f>
        <v>110.02</v>
      </c>
    </row>
    <row r="16" spans="1:17" ht="12" customHeight="1">
      <c r="A16" s="898">
        <f>A15+1</f>
        <v>706</v>
      </c>
      <c r="B16" s="827" t="s">
        <v>277</v>
      </c>
      <c r="C16" s="433"/>
      <c r="D16" s="433"/>
      <c r="E16" s="884">
        <f t="shared" si="0"/>
        <v>0</v>
      </c>
      <c r="F16" s="1069">
        <f>'G1'!B40</f>
        <v>0</v>
      </c>
      <c r="G16" s="1069">
        <f>'G1'!C40</f>
        <v>4805.31</v>
      </c>
      <c r="H16" s="886">
        <f t="shared" si="2"/>
        <v>0</v>
      </c>
      <c r="I16" s="886">
        <f t="shared" si="3"/>
        <v>0</v>
      </c>
      <c r="J16" s="886">
        <f t="shared" si="4"/>
        <v>0</v>
      </c>
      <c r="O16" s="560" t="s">
        <v>707</v>
      </c>
      <c r="P16" s="861">
        <f>'G1'!B82</f>
        <v>489.05</v>
      </c>
      <c r="Q16" s="861">
        <f>'G1'!C82</f>
        <v>500.98</v>
      </c>
    </row>
    <row r="17" spans="1:17" ht="12" customHeight="1">
      <c r="A17" s="898">
        <f t="shared" si="1"/>
        <v>707</v>
      </c>
      <c r="B17" s="827" t="s">
        <v>278</v>
      </c>
      <c r="C17" s="433"/>
      <c r="D17" s="433"/>
      <c r="E17" s="884">
        <f t="shared" si="0"/>
        <v>0</v>
      </c>
      <c r="F17" s="1069">
        <f>'G1'!B41</f>
        <v>0</v>
      </c>
      <c r="G17" s="1069">
        <f>'G1'!C41</f>
        <v>2967.47</v>
      </c>
      <c r="H17" s="886">
        <f t="shared" si="2"/>
        <v>0</v>
      </c>
      <c r="I17" s="886">
        <f t="shared" si="3"/>
        <v>0</v>
      </c>
      <c r="J17" s="886">
        <f t="shared" si="4"/>
        <v>0</v>
      </c>
      <c r="O17" s="870" t="s">
        <v>708</v>
      </c>
      <c r="P17" s="871">
        <f>'G1'!B83</f>
        <v>507.48</v>
      </c>
      <c r="Q17" s="871">
        <f>'G1'!C83</f>
        <v>549.93</v>
      </c>
    </row>
    <row r="18" spans="1:39" ht="12" customHeight="1">
      <c r="A18" s="898">
        <f t="shared" si="1"/>
        <v>708</v>
      </c>
      <c r="B18" s="827" t="s">
        <v>44</v>
      </c>
      <c r="C18" s="433"/>
      <c r="D18" s="433"/>
      <c r="E18" s="884">
        <f t="shared" si="0"/>
        <v>0</v>
      </c>
      <c r="F18" s="1069">
        <f>'G1'!B57</f>
        <v>174.32</v>
      </c>
      <c r="G18" s="1069">
        <f>'G1'!C57</f>
        <v>136.55</v>
      </c>
      <c r="H18" s="886">
        <f t="shared" si="2"/>
        <v>0</v>
      </c>
      <c r="I18" s="886">
        <f t="shared" si="3"/>
        <v>0</v>
      </c>
      <c r="J18" s="886">
        <f t="shared" si="4"/>
        <v>0</v>
      </c>
      <c r="O18" s="560" t="s">
        <v>709</v>
      </c>
      <c r="P18" s="861">
        <f>'G1'!B84</f>
        <v>214.96</v>
      </c>
      <c r="Q18" s="861">
        <f>'G1'!C84</f>
        <v>104.06</v>
      </c>
      <c r="R18" s="870"/>
      <c r="S18" s="870"/>
      <c r="T18" s="870"/>
      <c r="U18" s="870"/>
      <c r="V18" s="870"/>
      <c r="W18" s="870"/>
      <c r="X18" s="870"/>
      <c r="Y18" s="870"/>
      <c r="Z18" s="870"/>
      <c r="AA18" s="870"/>
      <c r="AB18" s="870"/>
      <c r="AC18" s="870"/>
      <c r="AD18" s="870"/>
      <c r="AE18" s="870"/>
      <c r="AF18" s="870"/>
      <c r="AG18" s="870"/>
      <c r="AH18" s="870"/>
      <c r="AI18" s="870"/>
      <c r="AJ18" s="870"/>
      <c r="AK18" s="870"/>
      <c r="AL18" s="870"/>
      <c r="AM18" s="870"/>
    </row>
    <row r="19" spans="1:17" ht="12" customHeight="1">
      <c r="A19" s="898">
        <f t="shared" si="1"/>
        <v>709</v>
      </c>
      <c r="B19" s="827" t="s">
        <v>715</v>
      </c>
      <c r="C19" s="433"/>
      <c r="D19" s="433"/>
      <c r="E19" s="884">
        <f t="shared" si="0"/>
        <v>0</v>
      </c>
      <c r="F19" s="1069">
        <f>'G1'!B58</f>
        <v>17.8</v>
      </c>
      <c r="G19" s="1069">
        <f>'G1'!C58</f>
        <v>79.87</v>
      </c>
      <c r="H19" s="886">
        <f t="shared" si="2"/>
        <v>0</v>
      </c>
      <c r="I19" s="886">
        <f t="shared" si="3"/>
        <v>0</v>
      </c>
      <c r="J19" s="886">
        <f t="shared" si="4"/>
        <v>0</v>
      </c>
      <c r="O19" s="560" t="s">
        <v>710</v>
      </c>
      <c r="P19" s="861">
        <f>'G1'!B85</f>
        <v>219.11</v>
      </c>
      <c r="Q19" s="861">
        <f>'G1'!C85</f>
        <v>110.02</v>
      </c>
    </row>
    <row r="20" spans="1:17" ht="12" customHeight="1">
      <c r="A20" s="898">
        <f t="shared" si="1"/>
        <v>710</v>
      </c>
      <c r="B20" s="827" t="s">
        <v>45</v>
      </c>
      <c r="C20" s="433"/>
      <c r="D20" s="433"/>
      <c r="E20" s="884">
        <f t="shared" si="0"/>
        <v>0</v>
      </c>
      <c r="F20" s="1069">
        <f>'G1'!B59</f>
        <v>174.32</v>
      </c>
      <c r="G20" s="1069">
        <f>'G1'!C59</f>
        <v>196.53</v>
      </c>
      <c r="H20" s="886">
        <f t="shared" si="2"/>
        <v>0</v>
      </c>
      <c r="I20" s="886">
        <f t="shared" si="3"/>
        <v>0</v>
      </c>
      <c r="J20" s="886">
        <f t="shared" si="4"/>
        <v>0</v>
      </c>
      <c r="O20" s="560" t="s">
        <v>711</v>
      </c>
      <c r="P20" s="861">
        <f>'G1'!B86</f>
        <v>214.96</v>
      </c>
      <c r="Q20" s="861">
        <f>'G1'!C86</f>
        <v>104.06</v>
      </c>
    </row>
    <row r="21" spans="1:17" ht="12" customHeight="1">
      <c r="A21" s="898">
        <f t="shared" si="1"/>
        <v>711</v>
      </c>
      <c r="B21" s="827" t="s">
        <v>716</v>
      </c>
      <c r="C21" s="433"/>
      <c r="D21" s="433"/>
      <c r="E21" s="884">
        <f t="shared" si="0"/>
        <v>0</v>
      </c>
      <c r="F21" s="1069">
        <f>'G1'!B60</f>
        <v>17.8</v>
      </c>
      <c r="G21" s="1069">
        <f>'G1'!C60</f>
        <v>100.3</v>
      </c>
      <c r="H21" s="886">
        <f t="shared" si="2"/>
        <v>0</v>
      </c>
      <c r="I21" s="886">
        <f t="shared" si="3"/>
        <v>0</v>
      </c>
      <c r="J21" s="886">
        <f t="shared" si="4"/>
        <v>0</v>
      </c>
      <c r="O21" s="560" t="s">
        <v>712</v>
      </c>
      <c r="P21" s="861">
        <f>'G1'!B87</f>
        <v>219.11</v>
      </c>
      <c r="Q21" s="861">
        <f>'G1'!C87</f>
        <v>110.02</v>
      </c>
    </row>
    <row r="22" spans="1:17" ht="12" customHeight="1">
      <c r="A22" s="898">
        <f t="shared" si="1"/>
        <v>712</v>
      </c>
      <c r="B22" s="827" t="s">
        <v>46</v>
      </c>
      <c r="C22" s="433"/>
      <c r="D22" s="433"/>
      <c r="E22" s="884">
        <f t="shared" si="0"/>
        <v>0</v>
      </c>
      <c r="F22" s="1069">
        <f>'G1'!B61</f>
        <v>106.07</v>
      </c>
      <c r="G22" s="1069">
        <f>'G1'!C61</f>
        <v>111.02</v>
      </c>
      <c r="H22" s="886">
        <f t="shared" si="2"/>
        <v>0</v>
      </c>
      <c r="I22" s="886">
        <f t="shared" si="3"/>
        <v>0</v>
      </c>
      <c r="J22" s="886">
        <f t="shared" si="4"/>
        <v>0</v>
      </c>
      <c r="O22" s="560" t="s">
        <v>713</v>
      </c>
      <c r="P22" s="861">
        <f>'G1'!B90</f>
        <v>3.73</v>
      </c>
      <c r="Q22" s="861">
        <f>'G1'!C90</f>
        <v>1.36</v>
      </c>
    </row>
    <row r="23" spans="1:17" ht="12" customHeight="1">
      <c r="A23" s="898">
        <f t="shared" si="1"/>
        <v>713</v>
      </c>
      <c r="B23" s="827" t="s">
        <v>47</v>
      </c>
      <c r="C23" s="433"/>
      <c r="D23" s="433"/>
      <c r="E23" s="884">
        <f t="shared" si="0"/>
        <v>0</v>
      </c>
      <c r="F23" s="1069">
        <f>'G1'!B62</f>
        <v>106.07</v>
      </c>
      <c r="G23" s="1069">
        <f>'G1'!C62</f>
        <v>172.28</v>
      </c>
      <c r="H23" s="886">
        <f t="shared" si="2"/>
        <v>0</v>
      </c>
      <c r="I23" s="886">
        <f t="shared" si="3"/>
        <v>0</v>
      </c>
      <c r="J23" s="886">
        <f t="shared" si="4"/>
        <v>0</v>
      </c>
      <c r="O23" s="560" t="s">
        <v>714</v>
      </c>
      <c r="P23" s="861">
        <f>'G1'!B91</f>
        <v>9.27</v>
      </c>
      <c r="Q23" s="861">
        <f>'G1'!C91</f>
        <v>3.39</v>
      </c>
    </row>
    <row r="24" spans="1:10" ht="12" customHeight="1">
      <c r="A24" s="898">
        <f t="shared" si="1"/>
        <v>714</v>
      </c>
      <c r="B24" s="827" t="s">
        <v>48</v>
      </c>
      <c r="C24" s="433"/>
      <c r="D24" s="433"/>
      <c r="E24" s="884">
        <f t="shared" si="0"/>
        <v>0</v>
      </c>
      <c r="F24" s="1069">
        <f>'G1'!B63</f>
        <v>248.7</v>
      </c>
      <c r="G24" s="1069">
        <f>'G1'!C63</f>
        <v>111.02</v>
      </c>
      <c r="H24" s="886">
        <f t="shared" si="2"/>
        <v>0</v>
      </c>
      <c r="I24" s="886">
        <f t="shared" si="3"/>
        <v>0</v>
      </c>
      <c r="J24" s="886">
        <f t="shared" si="4"/>
        <v>0</v>
      </c>
    </row>
    <row r="25" spans="1:10" ht="12" customHeight="1">
      <c r="A25" s="898">
        <f t="shared" si="1"/>
        <v>715</v>
      </c>
      <c r="B25" s="827" t="s">
        <v>49</v>
      </c>
      <c r="C25" s="433"/>
      <c r="D25" s="433"/>
      <c r="E25" s="884">
        <f t="shared" si="0"/>
        <v>0</v>
      </c>
      <c r="F25" s="1069">
        <f>'G1'!B64</f>
        <v>248.7</v>
      </c>
      <c r="G25" s="1069">
        <f>'G1'!C64</f>
        <v>172.28</v>
      </c>
      <c r="H25" s="886">
        <f t="shared" si="2"/>
        <v>0</v>
      </c>
      <c r="I25" s="886">
        <f t="shared" si="3"/>
        <v>0</v>
      </c>
      <c r="J25" s="886">
        <f t="shared" si="4"/>
        <v>0</v>
      </c>
    </row>
    <row r="26" spans="1:10" ht="12" customHeight="1">
      <c r="A26" s="898">
        <f t="shared" si="1"/>
        <v>716</v>
      </c>
      <c r="B26" s="827" t="s">
        <v>717</v>
      </c>
      <c r="C26" s="433"/>
      <c r="D26" s="433"/>
      <c r="E26" s="884">
        <f t="shared" si="0"/>
        <v>0</v>
      </c>
      <c r="F26" s="1069">
        <f>'G1'!B65</f>
        <v>17.8</v>
      </c>
      <c r="G26" s="1069">
        <f>'G1'!C65</f>
        <v>89.63</v>
      </c>
      <c r="H26" s="886">
        <f t="shared" si="2"/>
        <v>0</v>
      </c>
      <c r="I26" s="886">
        <f t="shared" si="3"/>
        <v>0</v>
      </c>
      <c r="J26" s="886">
        <f t="shared" si="4"/>
        <v>0</v>
      </c>
    </row>
    <row r="27" spans="1:10" ht="12" customHeight="1">
      <c r="A27" s="898">
        <f t="shared" si="1"/>
        <v>717</v>
      </c>
      <c r="B27" s="827" t="s">
        <v>718</v>
      </c>
      <c r="C27" s="433"/>
      <c r="D27" s="433"/>
      <c r="E27" s="884">
        <f t="shared" si="0"/>
        <v>0</v>
      </c>
      <c r="F27" s="1069">
        <f>'G1'!B66</f>
        <v>17.8</v>
      </c>
      <c r="G27" s="1069">
        <f>'G1'!C66</f>
        <v>110.04</v>
      </c>
      <c r="H27" s="886">
        <f t="shared" si="2"/>
        <v>0</v>
      </c>
      <c r="I27" s="886">
        <f t="shared" si="3"/>
        <v>0</v>
      </c>
      <c r="J27" s="886">
        <f t="shared" si="4"/>
        <v>0</v>
      </c>
    </row>
    <row r="28" spans="1:10" ht="12" customHeight="1">
      <c r="A28" s="898">
        <f t="shared" si="1"/>
        <v>718</v>
      </c>
      <c r="B28" s="827" t="s">
        <v>50</v>
      </c>
      <c r="C28" s="433"/>
      <c r="D28" s="433"/>
      <c r="E28" s="884">
        <f t="shared" si="0"/>
        <v>0</v>
      </c>
      <c r="F28" s="1069">
        <f>'G1'!B24</f>
        <v>2739.31</v>
      </c>
      <c r="G28" s="1069">
        <f>'G1'!C24</f>
        <v>4227.23</v>
      </c>
      <c r="H28" s="886">
        <f t="shared" si="2"/>
        <v>0</v>
      </c>
      <c r="I28" s="886">
        <f t="shared" si="3"/>
        <v>0</v>
      </c>
      <c r="J28" s="886">
        <f t="shared" si="4"/>
        <v>0</v>
      </c>
    </row>
    <row r="29" spans="1:10" ht="12" customHeight="1">
      <c r="A29" s="898">
        <f t="shared" si="1"/>
        <v>719</v>
      </c>
      <c r="B29" s="827" t="s">
        <v>720</v>
      </c>
      <c r="C29" s="433"/>
      <c r="D29" s="433"/>
      <c r="E29" s="884">
        <f t="shared" si="0"/>
        <v>0</v>
      </c>
      <c r="F29" s="1069">
        <f>'G1'!B25</f>
        <v>0</v>
      </c>
      <c r="G29" s="1069">
        <f>'G1'!C25</f>
        <v>4114.92</v>
      </c>
      <c r="H29" s="886">
        <f t="shared" si="2"/>
        <v>0</v>
      </c>
      <c r="I29" s="886">
        <f t="shared" si="3"/>
        <v>0</v>
      </c>
      <c r="J29" s="886">
        <f t="shared" si="4"/>
        <v>0</v>
      </c>
    </row>
    <row r="30" spans="1:10" ht="12" customHeight="1">
      <c r="A30" s="898">
        <f t="shared" si="1"/>
        <v>720</v>
      </c>
      <c r="B30" s="829" t="s">
        <v>439</v>
      </c>
      <c r="C30" s="433"/>
      <c r="D30" s="433"/>
      <c r="E30" s="884">
        <f t="shared" si="0"/>
        <v>0</v>
      </c>
      <c r="F30" s="1069">
        <f>'G1'!B26</f>
        <v>0</v>
      </c>
      <c r="G30" s="1069">
        <f>'G1'!C26</f>
        <v>839.19</v>
      </c>
      <c r="H30" s="886">
        <f t="shared" si="2"/>
        <v>0</v>
      </c>
      <c r="I30" s="886">
        <f t="shared" si="3"/>
        <v>0</v>
      </c>
      <c r="J30" s="886">
        <f t="shared" si="4"/>
        <v>0</v>
      </c>
    </row>
    <row r="31" spans="1:10" ht="12" customHeight="1">
      <c r="A31" s="898">
        <f>A30+1</f>
        <v>721</v>
      </c>
      <c r="B31" s="827" t="s">
        <v>51</v>
      </c>
      <c r="C31" s="433"/>
      <c r="D31" s="433"/>
      <c r="E31" s="884">
        <f aca="true" t="shared" si="5" ref="E31:E43">C31-D31</f>
        <v>0</v>
      </c>
      <c r="F31" s="1069">
        <f>'G1'!B28</f>
        <v>0</v>
      </c>
      <c r="G31" s="1069">
        <f>'G1'!C28</f>
        <v>3794.09</v>
      </c>
      <c r="H31" s="886">
        <f t="shared" si="2"/>
        <v>0</v>
      </c>
      <c r="I31" s="886">
        <f t="shared" si="3"/>
        <v>0</v>
      </c>
      <c r="J31" s="886">
        <f t="shared" si="4"/>
        <v>0</v>
      </c>
    </row>
    <row r="32" spans="1:10" ht="12" customHeight="1">
      <c r="A32" s="898">
        <f t="shared" si="1"/>
        <v>722</v>
      </c>
      <c r="B32" s="827" t="s">
        <v>721</v>
      </c>
      <c r="C32" s="433"/>
      <c r="D32" s="433"/>
      <c r="E32" s="884">
        <f t="shared" si="5"/>
        <v>0</v>
      </c>
      <c r="F32" s="1069">
        <f>'G1'!B27</f>
        <v>0</v>
      </c>
      <c r="G32" s="1069">
        <f>'G1'!C27</f>
        <v>35086.14</v>
      </c>
      <c r="H32" s="886">
        <f t="shared" si="2"/>
        <v>0</v>
      </c>
      <c r="I32" s="886">
        <f t="shared" si="3"/>
        <v>0</v>
      </c>
      <c r="J32" s="886">
        <f t="shared" si="4"/>
        <v>0</v>
      </c>
    </row>
    <row r="33" spans="1:10" ht="12" customHeight="1">
      <c r="A33" s="898">
        <f t="shared" si="1"/>
        <v>723</v>
      </c>
      <c r="B33" s="827" t="s">
        <v>52</v>
      </c>
      <c r="C33" s="433"/>
      <c r="D33" s="433"/>
      <c r="E33" s="884">
        <f t="shared" si="5"/>
        <v>0</v>
      </c>
      <c r="F33" s="1069">
        <f>'G1'!B29</f>
        <v>24421.57</v>
      </c>
      <c r="G33" s="1069">
        <f>'G1'!C29</f>
        <v>15723.07</v>
      </c>
      <c r="H33" s="886">
        <f t="shared" si="2"/>
        <v>0</v>
      </c>
      <c r="I33" s="886">
        <f t="shared" si="3"/>
        <v>0</v>
      </c>
      <c r="J33" s="886">
        <f t="shared" si="4"/>
        <v>0</v>
      </c>
    </row>
    <row r="34" spans="1:10" ht="12" customHeight="1">
      <c r="A34" s="898">
        <f t="shared" si="1"/>
        <v>724</v>
      </c>
      <c r="B34" s="827" t="s">
        <v>618</v>
      </c>
      <c r="C34" s="433"/>
      <c r="D34" s="433"/>
      <c r="E34" s="884">
        <f t="shared" si="5"/>
        <v>0</v>
      </c>
      <c r="F34" s="1069">
        <f>'G1'!B30</f>
        <v>0</v>
      </c>
      <c r="G34" s="1069">
        <f>'G1'!C30</f>
        <v>14346</v>
      </c>
      <c r="H34" s="886">
        <f t="shared" si="2"/>
        <v>0</v>
      </c>
      <c r="I34" s="886">
        <f t="shared" si="3"/>
        <v>0</v>
      </c>
      <c r="J34" s="886">
        <f t="shared" si="4"/>
        <v>0</v>
      </c>
    </row>
    <row r="35" spans="1:10" ht="12" customHeight="1">
      <c r="A35" s="898">
        <f t="shared" si="1"/>
        <v>725</v>
      </c>
      <c r="B35" s="827" t="s">
        <v>619</v>
      </c>
      <c r="C35" s="433"/>
      <c r="D35" s="433"/>
      <c r="E35" s="884">
        <f t="shared" si="5"/>
        <v>0</v>
      </c>
      <c r="F35" s="1069">
        <f>'G1'!B31</f>
        <v>0</v>
      </c>
      <c r="G35" s="1069">
        <f>'G1'!C31</f>
        <v>12268</v>
      </c>
      <c r="H35" s="886">
        <f t="shared" si="2"/>
        <v>0</v>
      </c>
      <c r="I35" s="886">
        <f t="shared" si="3"/>
        <v>0</v>
      </c>
      <c r="J35" s="886">
        <f t="shared" si="4"/>
        <v>0</v>
      </c>
    </row>
    <row r="36" spans="1:10" ht="12" customHeight="1">
      <c r="A36" s="898">
        <f t="shared" si="1"/>
        <v>726</v>
      </c>
      <c r="B36" s="827" t="s">
        <v>620</v>
      </c>
      <c r="C36" s="433"/>
      <c r="D36" s="433"/>
      <c r="E36" s="884">
        <f t="shared" si="5"/>
        <v>0</v>
      </c>
      <c r="F36" s="1069">
        <f>'G1'!B32</f>
        <v>0</v>
      </c>
      <c r="G36" s="1069">
        <f>'G1'!C32</f>
        <v>20489</v>
      </c>
      <c r="H36" s="886">
        <f t="shared" si="2"/>
        <v>0</v>
      </c>
      <c r="I36" s="886">
        <f t="shared" si="3"/>
        <v>0</v>
      </c>
      <c r="J36" s="886">
        <f t="shared" si="4"/>
        <v>0</v>
      </c>
    </row>
    <row r="37" spans="1:10" ht="12" customHeight="1">
      <c r="A37" s="898">
        <f t="shared" si="1"/>
        <v>727</v>
      </c>
      <c r="B37" s="827" t="s">
        <v>621</v>
      </c>
      <c r="C37" s="433"/>
      <c r="D37" s="433"/>
      <c r="E37" s="884">
        <f t="shared" si="5"/>
        <v>0</v>
      </c>
      <c r="F37" s="1069">
        <f>'G1'!B33</f>
        <v>0</v>
      </c>
      <c r="G37" s="1069">
        <f>'G1'!C33</f>
        <v>9815</v>
      </c>
      <c r="H37" s="886">
        <f t="shared" si="2"/>
        <v>0</v>
      </c>
      <c r="I37" s="886">
        <f t="shared" si="3"/>
        <v>0</v>
      </c>
      <c r="J37" s="886">
        <f t="shared" si="4"/>
        <v>0</v>
      </c>
    </row>
    <row r="38" spans="1:10" ht="12" customHeight="1">
      <c r="A38" s="898">
        <f t="shared" si="1"/>
        <v>728</v>
      </c>
      <c r="B38" s="827" t="s">
        <v>622</v>
      </c>
      <c r="C38" s="433"/>
      <c r="D38" s="433"/>
      <c r="E38" s="884">
        <f t="shared" si="5"/>
        <v>0</v>
      </c>
      <c r="F38" s="1069">
        <f>'G1'!B34</f>
        <v>0</v>
      </c>
      <c r="G38" s="1069">
        <f>'G1'!C34</f>
        <v>15458.64</v>
      </c>
      <c r="H38" s="886">
        <f t="shared" si="2"/>
        <v>0</v>
      </c>
      <c r="I38" s="886">
        <f t="shared" si="3"/>
        <v>0</v>
      </c>
      <c r="J38" s="886">
        <f t="shared" si="4"/>
        <v>0</v>
      </c>
    </row>
    <row r="39" spans="1:10" ht="12" customHeight="1">
      <c r="A39" s="898">
        <f>A38+1</f>
        <v>729</v>
      </c>
      <c r="B39" s="827" t="s">
        <v>440</v>
      </c>
      <c r="C39" s="433"/>
      <c r="D39" s="433"/>
      <c r="E39" s="884">
        <f>C39-D39</f>
        <v>0</v>
      </c>
      <c r="F39" s="1069">
        <f>'G1'!B35</f>
        <v>0</v>
      </c>
      <c r="G39" s="1069">
        <f>'G1'!C35</f>
        <v>11979.9</v>
      </c>
      <c r="H39" s="886">
        <f t="shared" si="2"/>
        <v>0</v>
      </c>
      <c r="I39" s="886">
        <f t="shared" si="3"/>
        <v>0</v>
      </c>
      <c r="J39" s="886">
        <f t="shared" si="4"/>
        <v>0</v>
      </c>
    </row>
    <row r="40" spans="1:10" ht="12" customHeight="1">
      <c r="A40" s="898">
        <f>A39+1</f>
        <v>730</v>
      </c>
      <c r="B40" s="827" t="s">
        <v>441</v>
      </c>
      <c r="C40" s="433"/>
      <c r="D40" s="433"/>
      <c r="E40" s="884">
        <f>C40-D40</f>
        <v>0</v>
      </c>
      <c r="F40" s="1069">
        <f>'G1'!B36</f>
        <v>0</v>
      </c>
      <c r="G40" s="1069">
        <f>'G1'!C36</f>
        <v>9664.46</v>
      </c>
      <c r="H40" s="886">
        <f t="shared" si="2"/>
        <v>0</v>
      </c>
      <c r="I40" s="886">
        <f t="shared" si="3"/>
        <v>0</v>
      </c>
      <c r="J40" s="886">
        <f t="shared" si="4"/>
        <v>0</v>
      </c>
    </row>
    <row r="41" spans="1:10" ht="12" customHeight="1">
      <c r="A41" s="898">
        <f>A40+1</f>
        <v>731</v>
      </c>
      <c r="B41" s="829" t="s">
        <v>17</v>
      </c>
      <c r="C41" s="433"/>
      <c r="D41" s="433"/>
      <c r="E41" s="907">
        <f t="shared" si="5"/>
        <v>0</v>
      </c>
      <c r="F41" s="1134">
        <f>'G1'!B37</f>
        <v>9736</v>
      </c>
      <c r="G41" s="1134">
        <f>'G1'!C37</f>
        <v>5392</v>
      </c>
      <c r="H41" s="886">
        <f t="shared" si="2"/>
        <v>0</v>
      </c>
      <c r="I41" s="886">
        <f t="shared" si="3"/>
        <v>0</v>
      </c>
      <c r="J41" s="886">
        <f t="shared" si="4"/>
        <v>0</v>
      </c>
    </row>
    <row r="42" spans="1:10" ht="12" customHeight="1">
      <c r="A42" s="898">
        <f>A41+1</f>
        <v>732</v>
      </c>
      <c r="B42" s="829" t="s">
        <v>279</v>
      </c>
      <c r="C42" s="433"/>
      <c r="D42" s="433"/>
      <c r="E42" s="1174">
        <f>(IF(C42&lt;1000,0,C42-1000))-(IF(+D42&lt;1000,0,+D42-1000))</f>
        <v>0</v>
      </c>
      <c r="F42" s="1134">
        <f>'G1'!B38</f>
        <v>651.77</v>
      </c>
      <c r="G42" s="1134">
        <f>'G1'!C38</f>
        <v>67.99</v>
      </c>
      <c r="H42" s="886">
        <f>ROUND($E42*ROUND(F42*$S$8,2),0)</f>
        <v>0</v>
      </c>
      <c r="I42" s="886">
        <f t="shared" si="3"/>
        <v>0</v>
      </c>
      <c r="J42" s="1174">
        <f>IF(+C42&gt;1000,ROUND((+C42-1000)*ROUND(F42*$S$8,2),0)+ROUND((+C42-1000)*ROUND(G42*$T$8,2),0),0)</f>
        <v>0</v>
      </c>
    </row>
    <row r="43" spans="1:10" ht="12" customHeight="1">
      <c r="A43" s="898">
        <f>A42+1</f>
        <v>733</v>
      </c>
      <c r="B43" s="827" t="s">
        <v>837</v>
      </c>
      <c r="C43" s="433"/>
      <c r="D43" s="433"/>
      <c r="E43" s="897">
        <f t="shared" si="5"/>
        <v>0</v>
      </c>
      <c r="F43" s="1069">
        <f>'G1'!B52</f>
        <v>408.71</v>
      </c>
      <c r="G43" s="1069">
        <f>'G1'!C52</f>
        <v>264.8</v>
      </c>
      <c r="H43" s="886">
        <f>ROUND($E43*ROUND(F43*$S$8,2),0)</f>
        <v>0</v>
      </c>
      <c r="I43" s="886">
        <f t="shared" si="3"/>
        <v>0</v>
      </c>
      <c r="J43" s="886">
        <f>ROUND(C43*ROUND(F43*S$8,2),0)+ROUND(C43*ROUND(G43*T$8,2),0)</f>
        <v>0</v>
      </c>
    </row>
    <row r="44" spans="2:10" ht="12" customHeight="1">
      <c r="B44" s="560" t="s">
        <v>108</v>
      </c>
      <c r="H44" s="883">
        <f>SUM(H11:H43)</f>
        <v>0</v>
      </c>
      <c r="I44" s="883">
        <f>SUM(I11:I43)</f>
        <v>0</v>
      </c>
      <c r="J44" s="883">
        <f>SUM(J11:J43)</f>
        <v>0</v>
      </c>
    </row>
    <row r="45" ht="11.25" customHeight="1">
      <c r="L45" s="858"/>
    </row>
    <row r="46" spans="1:12" ht="48" customHeight="1">
      <c r="A46" s="1485" t="str">
        <f>CONCATENATE("* U dient voor de kolommen realisatie ",Voorblad!$D$3," en rekenstaat ",Voorblad!$D$3," het totaal aantal 24-uurs beademingsdagen op te nemen inclusief de eerste 1000, conform de definitie onder code A 106 in de Tarieflijst Instellingen. Voor de berekeningen van de budgetmutatie ",Voorblad!$D$3," geldt alleen het aantal dagen boven 1.000, in de formules is hiermee rekening gehouden. Voor een verder toelichting verwijzen wij u naar onze circuliaire MA/mt/I/03/42c d.d. 17 juli 2003.")</f>
        <v>* U dient voor de kolommen realisatie 2005 en rekenstaat 2005 het totaal aantal 24-uurs beademingsdagen op te nemen inclusief de eerste 1000, conform de definitie onder code A 106 in de Tarieflijst Instellingen. Voor de berekeningen van de budgetmutatie 2005 geldt alleen het aantal dagen boven 1.000, in de formules is hiermee rekening gehouden. Voor een verder toelichting verwijzen wij u naar onze circuliaire MA/mt/I/03/42c d.d. 17 juli 2003.</v>
      </c>
      <c r="B46" s="1485"/>
      <c r="C46" s="1485"/>
      <c r="D46" s="1485"/>
      <c r="E46" s="1485"/>
      <c r="F46" s="1485"/>
      <c r="G46" s="1485"/>
      <c r="H46" s="1485"/>
      <c r="I46" s="1485"/>
      <c r="J46" s="1485"/>
      <c r="L46" s="858"/>
    </row>
    <row r="47" spans="1:13" ht="12" customHeight="1">
      <c r="A47" s="442" t="str">
        <f>CONCATENATE("Nacalculatieformulier ",Voorblad!D3)</f>
        <v>Nacalculatieformulier 2005</v>
      </c>
      <c r="B47" s="911"/>
      <c r="C47" s="593"/>
      <c r="D47" s="593"/>
      <c r="E47" s="593"/>
      <c r="F47" s="597" t="b">
        <f>Voorblad!D30</f>
        <v>1</v>
      </c>
      <c r="G47" s="593"/>
      <c r="H47" s="593"/>
      <c r="I47" s="593"/>
      <c r="J47" s="592">
        <f>'Prod.1.1.'!J2+1</f>
        <v>8</v>
      </c>
      <c r="L47" s="858"/>
      <c r="M47" s="847"/>
    </row>
    <row r="48" spans="12:20" ht="12" customHeight="1">
      <c r="L48" s="858"/>
      <c r="M48" s="847"/>
      <c r="N48" s="847"/>
      <c r="O48" s="847"/>
      <c r="P48" s="859"/>
      <c r="Q48" s="859"/>
      <c r="R48" s="847"/>
      <c r="S48" s="847"/>
      <c r="T48" s="847"/>
    </row>
    <row r="49" spans="2:20" ht="12" customHeight="1">
      <c r="B49" s="849"/>
      <c r="L49" s="858"/>
      <c r="M49" s="847"/>
      <c r="N49" s="847"/>
      <c r="O49" s="847"/>
      <c r="P49" s="859"/>
      <c r="Q49" s="859"/>
      <c r="R49" s="847"/>
      <c r="S49" s="847"/>
      <c r="T49" s="847"/>
    </row>
    <row r="50" spans="2:20" ht="15" customHeight="1">
      <c r="B50" s="849" t="str">
        <f>B6</f>
        <v>Productieaantallen en realisatie 2005</v>
      </c>
      <c r="C50" s="876" t="s">
        <v>43</v>
      </c>
      <c r="D50" s="877" t="s">
        <v>343</v>
      </c>
      <c r="E50" s="876" t="s">
        <v>42</v>
      </c>
      <c r="F50" s="1484" t="s">
        <v>41</v>
      </c>
      <c r="G50" s="1483"/>
      <c r="H50" s="1480" t="s">
        <v>113</v>
      </c>
      <c r="I50" s="1481"/>
      <c r="J50" s="876" t="s">
        <v>442</v>
      </c>
      <c r="L50" s="858"/>
      <c r="M50" s="847"/>
      <c r="N50" s="847"/>
      <c r="O50" s="847"/>
      <c r="P50" s="859"/>
      <c r="Q50" s="859"/>
      <c r="R50" s="847"/>
      <c r="S50" s="847"/>
      <c r="T50" s="847"/>
    </row>
    <row r="51" spans="3:20" ht="15.75" customHeight="1">
      <c r="C51" s="878">
        <f>Voorblad!D3</f>
        <v>2005</v>
      </c>
      <c r="D51" s="879">
        <f>C51</f>
        <v>2005</v>
      </c>
      <c r="E51" s="880"/>
      <c r="F51" s="881" t="s">
        <v>698</v>
      </c>
      <c r="G51" s="881" t="s">
        <v>699</v>
      </c>
      <c r="H51" s="882" t="s">
        <v>698</v>
      </c>
      <c r="I51" s="882" t="s">
        <v>699</v>
      </c>
      <c r="J51" s="878" t="str">
        <f>CONCATENATE("FB ",Voorblad!D3)</f>
        <v>FB 2005</v>
      </c>
      <c r="L51" s="858"/>
      <c r="M51" s="847"/>
      <c r="N51" s="847"/>
      <c r="O51" s="847"/>
      <c r="P51" s="859"/>
      <c r="Q51" s="859"/>
      <c r="R51" s="847"/>
      <c r="S51" s="847"/>
      <c r="T51" s="847"/>
    </row>
    <row r="52" spans="2:20" ht="15.75" customHeight="1">
      <c r="B52" s="836"/>
      <c r="C52" s="866"/>
      <c r="D52" s="866"/>
      <c r="E52" s="866"/>
      <c r="F52" s="867"/>
      <c r="G52" s="867"/>
      <c r="H52" s="866"/>
      <c r="I52" s="866"/>
      <c r="J52" s="866"/>
      <c r="L52" s="858"/>
      <c r="M52" s="847"/>
      <c r="N52" s="847"/>
      <c r="O52" s="847"/>
      <c r="P52" s="859"/>
      <c r="Q52" s="859"/>
      <c r="R52" s="847"/>
      <c r="S52" s="847"/>
      <c r="T52" s="847"/>
    </row>
    <row r="53" spans="2:20" ht="15.75" customHeight="1">
      <c r="B53" s="836" t="s">
        <v>206</v>
      </c>
      <c r="C53" s="866"/>
      <c r="D53" s="866"/>
      <c r="E53" s="866"/>
      <c r="F53" s="867"/>
      <c r="G53" s="867"/>
      <c r="H53" s="883">
        <f>H44</f>
        <v>0</v>
      </c>
      <c r="I53" s="883">
        <f>I44</f>
        <v>0</v>
      </c>
      <c r="J53" s="883">
        <f>J44</f>
        <v>0</v>
      </c>
      <c r="L53" s="858"/>
      <c r="M53" s="847"/>
      <c r="N53" s="847"/>
      <c r="O53" s="847"/>
      <c r="P53" s="859"/>
      <c r="Q53" s="859"/>
      <c r="R53" s="847"/>
      <c r="S53" s="847"/>
      <c r="T53" s="847"/>
    </row>
    <row r="54" spans="2:20" ht="12" customHeight="1">
      <c r="B54" s="836"/>
      <c r="C54" s="866"/>
      <c r="D54" s="866"/>
      <c r="E54" s="866"/>
      <c r="F54" s="867"/>
      <c r="G54" s="867"/>
      <c r="H54" s="866"/>
      <c r="I54" s="866"/>
      <c r="J54" s="866"/>
      <c r="L54" s="858"/>
      <c r="M54" s="847"/>
      <c r="N54" s="847"/>
      <c r="O54" s="847"/>
      <c r="P54" s="859"/>
      <c r="Q54" s="859"/>
      <c r="R54" s="847"/>
      <c r="S54" s="847"/>
      <c r="T54" s="847"/>
    </row>
    <row r="55" spans="1:20" ht="12" customHeight="1">
      <c r="A55" s="898">
        <f>100*J47+1</f>
        <v>801</v>
      </c>
      <c r="B55" s="827" t="s">
        <v>771</v>
      </c>
      <c r="C55" s="433"/>
      <c r="D55" s="433"/>
      <c r="E55" s="897">
        <f aca="true" t="shared" si="6" ref="E55:E76">C55-D55</f>
        <v>0</v>
      </c>
      <c r="F55" s="1070">
        <f>'G1'!B67</f>
        <v>63.75</v>
      </c>
      <c r="G55" s="1070">
        <f>'G1'!C67</f>
        <v>9.93</v>
      </c>
      <c r="H55" s="886">
        <f>ROUND($E55*ROUND(F55*$S$8,2),0)</f>
        <v>0</v>
      </c>
      <c r="I55" s="886">
        <f>ROUND($E55*ROUND(G55*$T$8,2),0)</f>
        <v>0</v>
      </c>
      <c r="J55" s="886">
        <f aca="true" t="shared" si="7" ref="J55:J76">ROUND(C55*ROUND(F55*S$8,2),0)+ROUND(C55*ROUND(G55*T$8,2),0)</f>
        <v>0</v>
      </c>
      <c r="L55" s="858"/>
      <c r="M55" s="847"/>
      <c r="N55" s="847"/>
      <c r="O55" s="847"/>
      <c r="P55" s="859"/>
      <c r="Q55" s="859"/>
      <c r="R55" s="847"/>
      <c r="S55" s="847"/>
      <c r="T55" s="847"/>
    </row>
    <row r="56" spans="1:20" ht="12" customHeight="1">
      <c r="A56" s="898">
        <f aca="true" t="shared" si="8" ref="A56:A76">A55+1</f>
        <v>802</v>
      </c>
      <c r="B56" s="827" t="s">
        <v>454</v>
      </c>
      <c r="C56" s="1338"/>
      <c r="D56" s="433"/>
      <c r="E56" s="897">
        <f t="shared" si="6"/>
        <v>0</v>
      </c>
      <c r="F56" s="1339">
        <f>'G1'!B68</f>
        <v>1.028</v>
      </c>
      <c r="G56" s="1339">
        <f>'G1'!C68</f>
        <v>0.243</v>
      </c>
      <c r="H56" s="886">
        <f>ROUND($E56*F56,0)</f>
        <v>0</v>
      </c>
      <c r="I56" s="886">
        <f>ROUND($E56*G56,0)</f>
        <v>0</v>
      </c>
      <c r="J56" s="886">
        <f t="shared" si="7"/>
        <v>0</v>
      </c>
      <c r="L56" s="858"/>
      <c r="M56" s="847"/>
      <c r="N56" s="847"/>
      <c r="O56" s="847"/>
      <c r="P56" s="859"/>
      <c r="Q56" s="859"/>
      <c r="R56" s="847"/>
      <c r="S56" s="847"/>
      <c r="T56" s="847"/>
    </row>
    <row r="57" spans="1:20" ht="12" customHeight="1">
      <c r="A57" s="898">
        <f t="shared" si="8"/>
        <v>803</v>
      </c>
      <c r="B57" s="827" t="s">
        <v>812</v>
      </c>
      <c r="C57" s="433"/>
      <c r="D57" s="433"/>
      <c r="E57" s="897">
        <f t="shared" si="6"/>
        <v>0</v>
      </c>
      <c r="F57" s="1337">
        <f>'G1'!B69</f>
        <v>176.3</v>
      </c>
      <c r="G57" s="1337">
        <f>'G1'!C69</f>
        <v>41.67</v>
      </c>
      <c r="H57" s="886">
        <f aca="true" t="shared" si="9" ref="H57:H76">ROUND($E57*ROUND(F57*$S$8,2),0)</f>
        <v>0</v>
      </c>
      <c r="I57" s="886">
        <f aca="true" t="shared" si="10" ref="I57:I76">ROUND($E57*ROUND(G57*$T$8,2),0)</f>
        <v>0</v>
      </c>
      <c r="J57" s="886">
        <f t="shared" si="7"/>
        <v>0</v>
      </c>
      <c r="L57" s="858"/>
      <c r="M57" s="847"/>
      <c r="N57" s="847"/>
      <c r="O57" s="847"/>
      <c r="P57" s="859"/>
      <c r="Q57" s="859"/>
      <c r="R57" s="847"/>
      <c r="S57" s="847"/>
      <c r="T57" s="847"/>
    </row>
    <row r="58" spans="1:20" ht="12" customHeight="1">
      <c r="A58" s="898">
        <f t="shared" si="8"/>
        <v>804</v>
      </c>
      <c r="B58" s="827" t="s">
        <v>813</v>
      </c>
      <c r="C58" s="433"/>
      <c r="D58" s="433"/>
      <c r="E58" s="897">
        <f t="shared" si="6"/>
        <v>0</v>
      </c>
      <c r="F58" s="1337">
        <f>'G1'!B70</f>
        <v>95.81</v>
      </c>
      <c r="G58" s="1337">
        <f>'G1'!C70</f>
        <v>22.65</v>
      </c>
      <c r="H58" s="886">
        <f t="shared" si="9"/>
        <v>0</v>
      </c>
      <c r="I58" s="886">
        <f t="shared" si="10"/>
        <v>0</v>
      </c>
      <c r="J58" s="886">
        <f t="shared" si="7"/>
        <v>0</v>
      </c>
      <c r="L58" s="858"/>
      <c r="M58" s="847"/>
      <c r="N58" s="847"/>
      <c r="O58" s="847"/>
      <c r="P58" s="859"/>
      <c r="Q58" s="859"/>
      <c r="R58" s="847"/>
      <c r="S58" s="847"/>
      <c r="T58" s="847"/>
    </row>
    <row r="59" spans="1:20" ht="12" customHeight="1">
      <c r="A59" s="898">
        <f t="shared" si="8"/>
        <v>805</v>
      </c>
      <c r="B59" s="827" t="s">
        <v>814</v>
      </c>
      <c r="C59" s="433"/>
      <c r="D59" s="433"/>
      <c r="E59" s="897">
        <f t="shared" si="6"/>
        <v>0</v>
      </c>
      <c r="F59" s="1337">
        <f>'G1'!B71</f>
        <v>221.02</v>
      </c>
      <c r="G59" s="1337">
        <f>'G1'!C71</f>
        <v>52.25</v>
      </c>
      <c r="H59" s="886">
        <f t="shared" si="9"/>
        <v>0</v>
      </c>
      <c r="I59" s="886">
        <f t="shared" si="10"/>
        <v>0</v>
      </c>
      <c r="J59" s="886">
        <f t="shared" si="7"/>
        <v>0</v>
      </c>
      <c r="L59" s="858"/>
      <c r="M59" s="847"/>
      <c r="N59" s="847"/>
      <c r="O59" s="847"/>
      <c r="P59" s="859"/>
      <c r="Q59" s="859"/>
      <c r="R59" s="847"/>
      <c r="S59" s="847"/>
      <c r="T59" s="847"/>
    </row>
    <row r="60" spans="1:20" ht="12" customHeight="1">
      <c r="A60" s="898">
        <f t="shared" si="8"/>
        <v>806</v>
      </c>
      <c r="B60" s="827" t="s">
        <v>815</v>
      </c>
      <c r="C60" s="433"/>
      <c r="D60" s="433"/>
      <c r="E60" s="897">
        <f t="shared" si="6"/>
        <v>0</v>
      </c>
      <c r="F60" s="1337">
        <f>'G1'!B72</f>
        <v>440.5</v>
      </c>
      <c r="G60" s="1337">
        <f>'G1'!C72</f>
        <v>104.13</v>
      </c>
      <c r="H60" s="886">
        <f t="shared" si="9"/>
        <v>0</v>
      </c>
      <c r="I60" s="886">
        <f t="shared" si="10"/>
        <v>0</v>
      </c>
      <c r="J60" s="886">
        <f t="shared" si="7"/>
        <v>0</v>
      </c>
      <c r="L60" s="858"/>
      <c r="M60" s="847"/>
      <c r="N60" s="847"/>
      <c r="O60" s="847"/>
      <c r="P60" s="859"/>
      <c r="Q60" s="859"/>
      <c r="R60" s="847"/>
      <c r="S60" s="847"/>
      <c r="T60" s="847"/>
    </row>
    <row r="61" spans="1:20" ht="12" customHeight="1">
      <c r="A61" s="898">
        <f t="shared" si="8"/>
        <v>807</v>
      </c>
      <c r="B61" s="827" t="s">
        <v>816</v>
      </c>
      <c r="C61" s="433"/>
      <c r="D61" s="433"/>
      <c r="E61" s="897">
        <f t="shared" si="6"/>
        <v>0</v>
      </c>
      <c r="F61" s="1337">
        <f>'G1'!B73</f>
        <v>797.73</v>
      </c>
      <c r="G61" s="1337">
        <f>'G1'!C73</f>
        <v>188.57</v>
      </c>
      <c r="H61" s="886">
        <f t="shared" si="9"/>
        <v>0</v>
      </c>
      <c r="I61" s="886">
        <f t="shared" si="10"/>
        <v>0</v>
      </c>
      <c r="J61" s="886">
        <f t="shared" si="7"/>
        <v>0</v>
      </c>
      <c r="L61" s="858"/>
      <c r="M61" s="847"/>
      <c r="N61" s="847"/>
      <c r="O61" s="847"/>
      <c r="P61" s="859"/>
      <c r="Q61" s="859"/>
      <c r="R61" s="847"/>
      <c r="S61" s="847"/>
      <c r="T61" s="847"/>
    </row>
    <row r="62" spans="1:20" ht="12" customHeight="1">
      <c r="A62" s="898">
        <f t="shared" si="8"/>
        <v>808</v>
      </c>
      <c r="B62" s="827" t="s">
        <v>280</v>
      </c>
      <c r="C62" s="433"/>
      <c r="D62" s="433"/>
      <c r="E62" s="897">
        <f t="shared" si="6"/>
        <v>0</v>
      </c>
      <c r="F62" s="1070">
        <f>'G1'!B53</f>
        <v>1046.79</v>
      </c>
      <c r="G62" s="1070">
        <f>'G1'!C53</f>
        <v>67.02</v>
      </c>
      <c r="H62" s="886">
        <f t="shared" si="9"/>
        <v>0</v>
      </c>
      <c r="I62" s="886">
        <f t="shared" si="10"/>
        <v>0</v>
      </c>
      <c r="J62" s="886">
        <f t="shared" si="7"/>
        <v>0</v>
      </c>
      <c r="L62" s="858"/>
      <c r="M62" s="847"/>
      <c r="N62" s="847"/>
      <c r="O62" s="847"/>
      <c r="P62" s="859"/>
      <c r="Q62" s="859"/>
      <c r="R62" s="847"/>
      <c r="S62" s="847"/>
      <c r="T62" s="847"/>
    </row>
    <row r="63" spans="1:20" ht="12" customHeight="1">
      <c r="A63" s="898">
        <f t="shared" si="8"/>
        <v>809</v>
      </c>
      <c r="B63" s="827" t="s">
        <v>281</v>
      </c>
      <c r="C63" s="433"/>
      <c r="D63" s="433"/>
      <c r="E63" s="897">
        <f t="shared" si="6"/>
        <v>0</v>
      </c>
      <c r="F63" s="1070">
        <f>'G1'!B54</f>
        <v>35.48</v>
      </c>
      <c r="G63" s="1070">
        <f>'G1'!C54</f>
        <v>19.4</v>
      </c>
      <c r="H63" s="886">
        <f t="shared" si="9"/>
        <v>0</v>
      </c>
      <c r="I63" s="886">
        <f t="shared" si="10"/>
        <v>0</v>
      </c>
      <c r="J63" s="886">
        <f t="shared" si="7"/>
        <v>0</v>
      </c>
      <c r="L63" s="858"/>
      <c r="M63" s="847"/>
      <c r="N63" s="847"/>
      <c r="O63" s="847"/>
      <c r="P63" s="859"/>
      <c r="Q63" s="859"/>
      <c r="R63" s="847"/>
      <c r="S63" s="847"/>
      <c r="T63" s="847"/>
    </row>
    <row r="64" spans="1:20" ht="12" customHeight="1">
      <c r="A64" s="898">
        <f t="shared" si="8"/>
        <v>810</v>
      </c>
      <c r="B64" s="827" t="s">
        <v>282</v>
      </c>
      <c r="C64" s="433"/>
      <c r="D64" s="433"/>
      <c r="E64" s="897">
        <f t="shared" si="6"/>
        <v>0</v>
      </c>
      <c r="F64" s="1070">
        <f>'G1'!B55</f>
        <v>2325.44</v>
      </c>
      <c r="G64" s="1070">
        <f>'G1'!C55</f>
        <v>1082.17</v>
      </c>
      <c r="H64" s="886">
        <f t="shared" si="9"/>
        <v>0</v>
      </c>
      <c r="I64" s="886">
        <f t="shared" si="10"/>
        <v>0</v>
      </c>
      <c r="J64" s="886">
        <f t="shared" si="7"/>
        <v>0</v>
      </c>
      <c r="L64" s="858"/>
      <c r="M64" s="847"/>
      <c r="N64" s="847"/>
      <c r="O64" s="847"/>
      <c r="P64" s="859"/>
      <c r="Q64" s="859"/>
      <c r="R64" s="847"/>
      <c r="S64" s="847"/>
      <c r="T64" s="847"/>
    </row>
    <row r="65" spans="1:20" ht="12" customHeight="1">
      <c r="A65" s="898">
        <f t="shared" si="8"/>
        <v>811</v>
      </c>
      <c r="B65" s="827" t="s">
        <v>283</v>
      </c>
      <c r="C65" s="433"/>
      <c r="D65" s="433"/>
      <c r="E65" s="897">
        <f t="shared" si="6"/>
        <v>0</v>
      </c>
      <c r="F65" s="1070">
        <f>'G1'!B56</f>
        <v>586.94</v>
      </c>
      <c r="G65" s="1070">
        <f>'G1'!C56</f>
        <v>106.95</v>
      </c>
      <c r="H65" s="886">
        <f t="shared" si="9"/>
        <v>0</v>
      </c>
      <c r="I65" s="886">
        <f t="shared" si="10"/>
        <v>0</v>
      </c>
      <c r="J65" s="886">
        <f t="shared" si="7"/>
        <v>0</v>
      </c>
      <c r="L65" s="858"/>
      <c r="M65" s="847"/>
      <c r="N65" s="847"/>
      <c r="O65" s="847"/>
      <c r="P65" s="859"/>
      <c r="Q65" s="859"/>
      <c r="R65" s="847"/>
      <c r="S65" s="847"/>
      <c r="T65" s="847"/>
    </row>
    <row r="66" spans="1:20" ht="12" customHeight="1">
      <c r="A66" s="898">
        <f t="shared" si="8"/>
        <v>812</v>
      </c>
      <c r="B66" s="1364" t="s">
        <v>303</v>
      </c>
      <c r="C66" s="433"/>
      <c r="D66" s="433"/>
      <c r="E66" s="897">
        <f t="shared" si="6"/>
        <v>0</v>
      </c>
      <c r="F66" s="1070">
        <f>'G1'!B42</f>
        <v>323.96</v>
      </c>
      <c r="G66" s="1070">
        <f>'G1'!C42</f>
        <v>53.87</v>
      </c>
      <c r="H66" s="886">
        <f t="shared" si="9"/>
        <v>0</v>
      </c>
      <c r="I66" s="886">
        <f t="shared" si="10"/>
        <v>0</v>
      </c>
      <c r="J66" s="886">
        <f t="shared" si="7"/>
        <v>0</v>
      </c>
      <c r="L66" s="858"/>
      <c r="M66" s="847"/>
      <c r="N66" s="847"/>
      <c r="O66" s="847"/>
      <c r="P66" s="859"/>
      <c r="Q66" s="859"/>
      <c r="R66" s="847"/>
      <c r="S66" s="847"/>
      <c r="T66" s="847"/>
    </row>
    <row r="67" spans="1:20" ht="12" customHeight="1">
      <c r="A67" s="898">
        <f t="shared" si="8"/>
        <v>813</v>
      </c>
      <c r="B67" s="1364" t="s">
        <v>304</v>
      </c>
      <c r="C67" s="433"/>
      <c r="D67" s="433"/>
      <c r="E67" s="897">
        <f t="shared" si="6"/>
        <v>0</v>
      </c>
      <c r="F67" s="1070">
        <f>'G1'!B43</f>
        <v>1037.72</v>
      </c>
      <c r="G67" s="1070">
        <f>'G1'!C43</f>
        <v>171.34</v>
      </c>
      <c r="H67" s="886">
        <f t="shared" si="9"/>
        <v>0</v>
      </c>
      <c r="I67" s="886">
        <f t="shared" si="10"/>
        <v>0</v>
      </c>
      <c r="J67" s="886">
        <f t="shared" si="7"/>
        <v>0</v>
      </c>
      <c r="L67" s="858"/>
      <c r="M67" s="847"/>
      <c r="N67" s="847"/>
      <c r="O67" s="847"/>
      <c r="P67" s="859"/>
      <c r="Q67" s="859"/>
      <c r="R67" s="847"/>
      <c r="S67" s="847"/>
      <c r="T67" s="847"/>
    </row>
    <row r="68" spans="1:20" ht="12" customHeight="1">
      <c r="A68" s="898">
        <f t="shared" si="8"/>
        <v>814</v>
      </c>
      <c r="B68" s="1364" t="s">
        <v>305</v>
      </c>
      <c r="C68" s="433"/>
      <c r="D68" s="433"/>
      <c r="E68" s="897">
        <f t="shared" si="6"/>
        <v>0</v>
      </c>
      <c r="F68" s="1070">
        <f>'G1'!B44</f>
        <v>1777.93</v>
      </c>
      <c r="G68" s="1070">
        <f>'G1'!C44</f>
        <v>293.45</v>
      </c>
      <c r="H68" s="886">
        <f t="shared" si="9"/>
        <v>0</v>
      </c>
      <c r="I68" s="886">
        <f t="shared" si="10"/>
        <v>0</v>
      </c>
      <c r="J68" s="886">
        <f t="shared" si="7"/>
        <v>0</v>
      </c>
      <c r="L68" s="858"/>
      <c r="M68" s="847"/>
      <c r="N68" s="847"/>
      <c r="O68" s="847"/>
      <c r="P68" s="859"/>
      <c r="Q68" s="859"/>
      <c r="R68" s="847"/>
      <c r="S68" s="847"/>
      <c r="T68" s="847"/>
    </row>
    <row r="69" spans="1:20" ht="12" customHeight="1">
      <c r="A69" s="898">
        <f t="shared" si="8"/>
        <v>815</v>
      </c>
      <c r="B69" s="1364" t="s">
        <v>306</v>
      </c>
      <c r="C69" s="433"/>
      <c r="D69" s="433"/>
      <c r="E69" s="897">
        <f t="shared" si="6"/>
        <v>0</v>
      </c>
      <c r="F69" s="1070">
        <f>'G1'!B45</f>
        <v>2986.75</v>
      </c>
      <c r="G69" s="1070">
        <f>'G1'!C45</f>
        <v>492.51</v>
      </c>
      <c r="H69" s="886">
        <f t="shared" si="9"/>
        <v>0</v>
      </c>
      <c r="I69" s="886">
        <f t="shared" si="10"/>
        <v>0</v>
      </c>
      <c r="J69" s="886">
        <f t="shared" si="7"/>
        <v>0</v>
      </c>
      <c r="L69" s="858"/>
      <c r="M69" s="847"/>
      <c r="N69" s="847"/>
      <c r="O69" s="847"/>
      <c r="P69" s="859"/>
      <c r="Q69" s="859"/>
      <c r="R69" s="847"/>
      <c r="S69" s="847"/>
      <c r="T69" s="847"/>
    </row>
    <row r="70" spans="1:20" ht="12" customHeight="1">
      <c r="A70" s="898">
        <f t="shared" si="8"/>
        <v>816</v>
      </c>
      <c r="B70" s="1364" t="s">
        <v>307</v>
      </c>
      <c r="C70" s="433"/>
      <c r="D70" s="433"/>
      <c r="E70" s="897">
        <f t="shared" si="6"/>
        <v>0</v>
      </c>
      <c r="F70" s="1070">
        <f>'G1'!B46</f>
        <v>157.56</v>
      </c>
      <c r="G70" s="1070">
        <f>'G1'!C46</f>
        <v>26.16</v>
      </c>
      <c r="H70" s="886">
        <f t="shared" si="9"/>
        <v>0</v>
      </c>
      <c r="I70" s="886">
        <f t="shared" si="10"/>
        <v>0</v>
      </c>
      <c r="J70" s="886">
        <f t="shared" si="7"/>
        <v>0</v>
      </c>
      <c r="L70" s="858"/>
      <c r="M70" s="847"/>
      <c r="N70" s="847"/>
      <c r="O70" s="847"/>
      <c r="P70" s="859"/>
      <c r="Q70" s="859"/>
      <c r="R70" s="847"/>
      <c r="S70" s="847"/>
      <c r="T70" s="847"/>
    </row>
    <row r="71" spans="1:20" ht="12" customHeight="1">
      <c r="A71" s="898">
        <f t="shared" si="8"/>
        <v>817</v>
      </c>
      <c r="B71" s="1364" t="s">
        <v>308</v>
      </c>
      <c r="C71" s="433"/>
      <c r="D71" s="433"/>
      <c r="E71" s="897">
        <f t="shared" si="6"/>
        <v>0</v>
      </c>
      <c r="F71" s="1070">
        <f>'G1'!B47</f>
        <v>269.45</v>
      </c>
      <c r="G71" s="1070">
        <f>'G1'!C47</f>
        <v>39.51</v>
      </c>
      <c r="H71" s="886">
        <f t="shared" si="9"/>
        <v>0</v>
      </c>
      <c r="I71" s="886">
        <f t="shared" si="10"/>
        <v>0</v>
      </c>
      <c r="J71" s="886">
        <f t="shared" si="7"/>
        <v>0</v>
      </c>
      <c r="L71" s="858"/>
      <c r="M71" s="847"/>
      <c r="N71" s="847"/>
      <c r="O71" s="847"/>
      <c r="P71" s="859"/>
      <c r="Q71" s="859"/>
      <c r="R71" s="847"/>
      <c r="S71" s="847"/>
      <c r="T71" s="847"/>
    </row>
    <row r="72" spans="1:20" ht="12" customHeight="1">
      <c r="A72" s="898">
        <f t="shared" si="8"/>
        <v>818</v>
      </c>
      <c r="B72" s="1364" t="s">
        <v>309</v>
      </c>
      <c r="C72" s="433"/>
      <c r="D72" s="433"/>
      <c r="E72" s="884">
        <f t="shared" si="6"/>
        <v>0</v>
      </c>
      <c r="F72" s="1070">
        <f>'G1'!B48</f>
        <v>548.55</v>
      </c>
      <c r="G72" s="1070">
        <f>'G1'!C48</f>
        <v>90.29</v>
      </c>
      <c r="H72" s="886">
        <f t="shared" si="9"/>
        <v>0</v>
      </c>
      <c r="I72" s="886">
        <f t="shared" si="10"/>
        <v>0</v>
      </c>
      <c r="J72" s="886">
        <f t="shared" si="7"/>
        <v>0</v>
      </c>
      <c r="L72" s="858"/>
      <c r="M72" s="847"/>
      <c r="N72" s="847"/>
      <c r="O72" s="847"/>
      <c r="P72" s="859"/>
      <c r="Q72" s="859"/>
      <c r="R72" s="847"/>
      <c r="S72" s="847"/>
      <c r="T72" s="847"/>
    </row>
    <row r="73" spans="1:20" ht="12" customHeight="1">
      <c r="A73" s="898">
        <f t="shared" si="8"/>
        <v>819</v>
      </c>
      <c r="B73" s="1364" t="s">
        <v>310</v>
      </c>
      <c r="C73" s="433"/>
      <c r="D73" s="433"/>
      <c r="E73" s="884">
        <f t="shared" si="6"/>
        <v>0</v>
      </c>
      <c r="F73" s="1070">
        <f>'G1'!B49</f>
        <v>1941</v>
      </c>
      <c r="G73" s="1070">
        <f>'G1'!C49</f>
        <v>320.65</v>
      </c>
      <c r="H73" s="886">
        <f t="shared" si="9"/>
        <v>0</v>
      </c>
      <c r="I73" s="886">
        <f t="shared" si="10"/>
        <v>0</v>
      </c>
      <c r="J73" s="886">
        <f t="shared" si="7"/>
        <v>0</v>
      </c>
      <c r="L73" s="858"/>
      <c r="M73" s="847"/>
      <c r="N73" s="847"/>
      <c r="O73" s="847"/>
      <c r="P73" s="859"/>
      <c r="Q73" s="859"/>
      <c r="R73" s="847"/>
      <c r="S73" s="847"/>
      <c r="T73" s="847"/>
    </row>
    <row r="74" spans="1:20" ht="12" customHeight="1">
      <c r="A74" s="898">
        <f t="shared" si="8"/>
        <v>820</v>
      </c>
      <c r="B74" s="1364" t="s">
        <v>311</v>
      </c>
      <c r="C74" s="433"/>
      <c r="D74" s="433"/>
      <c r="E74" s="884">
        <f t="shared" si="6"/>
        <v>0</v>
      </c>
      <c r="F74" s="1071">
        <f>+'G1'!B50</f>
        <v>1941</v>
      </c>
      <c r="G74" s="1071">
        <f>+'G1'!C50</f>
        <v>4432</v>
      </c>
      <c r="H74" s="886">
        <f t="shared" si="9"/>
        <v>0</v>
      </c>
      <c r="I74" s="886">
        <f t="shared" si="10"/>
        <v>0</v>
      </c>
      <c r="J74" s="886">
        <f t="shared" si="7"/>
        <v>0</v>
      </c>
      <c r="L74" s="858"/>
      <c r="M74" s="847"/>
      <c r="N74" s="847"/>
      <c r="O74" s="847"/>
      <c r="P74" s="859"/>
      <c r="Q74" s="859"/>
      <c r="R74" s="847"/>
      <c r="S74" s="847"/>
      <c r="T74" s="847"/>
    </row>
    <row r="75" spans="1:20" ht="12" customHeight="1">
      <c r="A75" s="898">
        <f t="shared" si="8"/>
        <v>821</v>
      </c>
      <c r="B75" s="1364" t="s">
        <v>312</v>
      </c>
      <c r="C75" s="433"/>
      <c r="D75" s="433"/>
      <c r="E75" s="884">
        <f>C75-D75</f>
        <v>0</v>
      </c>
      <c r="F75" s="1071">
        <f>+'G1'!B51</f>
        <v>0</v>
      </c>
      <c r="G75" s="1071">
        <f>+'G1'!C51</f>
        <v>3150</v>
      </c>
      <c r="H75" s="886">
        <f>ROUND($E75*ROUND(F75*$S$8,2),0)</f>
        <v>0</v>
      </c>
      <c r="I75" s="886">
        <f>ROUND($E75*ROUND(G75*$T$8,2),0)</f>
        <v>0</v>
      </c>
      <c r="J75" s="886">
        <f>ROUND(C75*ROUND(F75*S$8,2),0)+ROUND(C75*ROUND(G75*T$8,2),0)</f>
        <v>0</v>
      </c>
      <c r="L75" s="858"/>
      <c r="M75" s="847"/>
      <c r="N75" s="847"/>
      <c r="O75" s="847"/>
      <c r="P75" s="859"/>
      <c r="Q75" s="859"/>
      <c r="R75" s="847"/>
      <c r="S75" s="847"/>
      <c r="T75" s="847"/>
    </row>
    <row r="76" spans="1:20" ht="12" customHeight="1">
      <c r="A76" s="898">
        <f t="shared" si="8"/>
        <v>822</v>
      </c>
      <c r="B76" s="827" t="s">
        <v>112</v>
      </c>
      <c r="C76" s="433"/>
      <c r="D76" s="433"/>
      <c r="E76" s="884">
        <f t="shared" si="6"/>
        <v>0</v>
      </c>
      <c r="F76" s="1071">
        <f>'Prod.1.1.'!F14</f>
        <v>0</v>
      </c>
      <c r="G76" s="1145">
        <f>'Prod.1.1.'!G14</f>
        <v>0</v>
      </c>
      <c r="H76" s="886">
        <f t="shared" si="9"/>
        <v>0</v>
      </c>
      <c r="I76" s="886">
        <f t="shared" si="10"/>
        <v>0</v>
      </c>
      <c r="J76" s="886">
        <f t="shared" si="7"/>
        <v>0</v>
      </c>
      <c r="L76" s="858"/>
      <c r="M76" s="847"/>
      <c r="N76" s="847"/>
      <c r="O76" s="847"/>
      <c r="P76" s="859"/>
      <c r="Q76" s="859"/>
      <c r="R76" s="847"/>
      <c r="S76" s="847"/>
      <c r="T76" s="847"/>
    </row>
    <row r="77" spans="6:20" ht="12" customHeight="1">
      <c r="F77" s="888"/>
      <c r="G77" s="888"/>
      <c r="H77" s="889"/>
      <c r="I77" s="889"/>
      <c r="J77" s="874"/>
      <c r="L77" s="858"/>
      <c r="M77" s="847"/>
      <c r="N77" s="847"/>
      <c r="O77" s="847"/>
      <c r="P77" s="859"/>
      <c r="Q77" s="859"/>
      <c r="R77" s="847"/>
      <c r="S77" s="847"/>
      <c r="T77" s="847"/>
    </row>
    <row r="78" spans="2:20" ht="12" customHeight="1">
      <c r="B78" s="560" t="s">
        <v>109</v>
      </c>
      <c r="F78" s="888"/>
      <c r="G78" s="888"/>
      <c r="H78" s="884">
        <f>SUM(H53:H76)</f>
        <v>0</v>
      </c>
      <c r="I78" s="884">
        <f>SUM(I53:I76)</f>
        <v>0</v>
      </c>
      <c r="J78" s="884">
        <f>SUM(J53:J76)</f>
        <v>0</v>
      </c>
      <c r="L78" s="858"/>
      <c r="M78" s="847"/>
      <c r="N78" s="847"/>
      <c r="O78" s="847"/>
      <c r="P78" s="873"/>
      <c r="Q78" s="873"/>
      <c r="R78" s="874"/>
      <c r="S78" s="874"/>
      <c r="T78" s="874"/>
    </row>
    <row r="79" spans="6:20" ht="12" customHeight="1">
      <c r="F79" s="888"/>
      <c r="G79" s="888"/>
      <c r="H79" s="889"/>
      <c r="I79" s="889"/>
      <c r="J79" s="889"/>
      <c r="L79" s="858"/>
      <c r="M79" s="847"/>
      <c r="N79" s="847"/>
      <c r="O79" s="847"/>
      <c r="P79" s="873"/>
      <c r="Q79" s="873"/>
      <c r="R79" s="874"/>
      <c r="S79" s="874"/>
      <c r="T79" s="874"/>
    </row>
    <row r="80" spans="1:20" ht="31.5" customHeight="1">
      <c r="A80" s="1479" t="s">
        <v>640</v>
      </c>
      <c r="B80" s="1479"/>
      <c r="C80" s="1479"/>
      <c r="D80" s="1479"/>
      <c r="E80" s="1479"/>
      <c r="F80" s="1479"/>
      <c r="G80" s="1479"/>
      <c r="H80" s="1479"/>
      <c r="I80" s="1479"/>
      <c r="J80" s="1479"/>
      <c r="L80" s="858"/>
      <c r="M80" s="847"/>
      <c r="N80" s="847"/>
      <c r="O80" s="847"/>
      <c r="P80" s="873"/>
      <c r="Q80" s="873"/>
      <c r="R80" s="874"/>
      <c r="S80" s="874"/>
      <c r="T80" s="874"/>
    </row>
    <row r="81" spans="12:20" ht="12" customHeight="1">
      <c r="L81" s="858"/>
      <c r="M81" s="847"/>
      <c r="N81" s="847"/>
      <c r="O81" s="847"/>
      <c r="P81" s="859"/>
      <c r="Q81" s="859"/>
      <c r="R81" s="874"/>
      <c r="S81" s="874"/>
      <c r="T81" s="874"/>
    </row>
    <row r="82" spans="13:20" ht="12" customHeight="1">
      <c r="M82" s="847"/>
      <c r="N82" s="847"/>
      <c r="O82" s="847"/>
      <c r="P82" s="859"/>
      <c r="Q82" s="859"/>
      <c r="R82" s="874"/>
      <c r="S82" s="874"/>
      <c r="T82" s="874"/>
    </row>
    <row r="83" spans="13:20" ht="12" customHeight="1">
      <c r="M83" s="847"/>
      <c r="N83" s="847"/>
      <c r="O83" s="847"/>
      <c r="P83" s="859"/>
      <c r="Q83" s="859"/>
      <c r="R83" s="874"/>
      <c r="S83" s="874"/>
      <c r="T83" s="874"/>
    </row>
    <row r="84" spans="14:20" ht="12" customHeight="1">
      <c r="N84" s="847"/>
      <c r="O84" s="847"/>
      <c r="P84" s="859"/>
      <c r="Q84" s="859"/>
      <c r="R84" s="874"/>
      <c r="S84" s="874"/>
      <c r="T84" s="874"/>
    </row>
    <row r="85" spans="14:20" ht="12" customHeight="1">
      <c r="N85" s="847"/>
      <c r="O85" s="847"/>
      <c r="P85" s="859"/>
      <c r="Q85" s="859"/>
      <c r="R85" s="874"/>
      <c r="S85" s="874"/>
      <c r="T85" s="874"/>
    </row>
  </sheetData>
  <sheetProtection password="CCBC" sheet="1" objects="1" scenarios="1"/>
  <mergeCells count="6">
    <mergeCell ref="A80:J80"/>
    <mergeCell ref="H6:I6"/>
    <mergeCell ref="F6:G6"/>
    <mergeCell ref="H50:I50"/>
    <mergeCell ref="F50:G50"/>
    <mergeCell ref="A46:J46"/>
  </mergeCells>
  <conditionalFormatting sqref="D9 C16:D43 C55 C57:C74 D55:D74 C75:D76">
    <cfRule type="expression" priority="1" dxfId="0" stopIfTrue="1">
      <formula>$E$2=TRUE</formula>
    </cfRule>
  </conditionalFormatting>
  <printOptions/>
  <pageMargins left="0.3937007874015748" right="0.3937007874015748" top="0.1968503937007874" bottom="0.1968503937007874" header="0.03937007874015748" footer="0.11811023622047245"/>
  <pageSetup horizontalDpi="1200" verticalDpi="1200" orientation="landscape" paperSize="9" scale="92" r:id="rId2"/>
  <rowBreaks count="1" manualBreakCount="1">
    <brk id="46" max="9" man="1"/>
  </rowBreaks>
  <ignoredErrors>
    <ignoredError sqref="H56:I56" formula="1"/>
  </ignoredErrors>
  <drawing r:id="rId1"/>
</worksheet>
</file>

<file path=xl/worksheets/sheet7.xml><?xml version="1.0" encoding="utf-8"?>
<worksheet xmlns="http://schemas.openxmlformats.org/spreadsheetml/2006/main" xmlns:r="http://schemas.openxmlformats.org/officeDocument/2006/relationships">
  <sheetPr codeName="Blad6"/>
  <dimension ref="A1:N70"/>
  <sheetViews>
    <sheetView showGridLines="0" showRowColHeaders="0" showZeros="0" showOutlineSymbols="0" view="pageBreakPreview" zoomScale="75" zoomScaleNormal="86" zoomScaleSheetLayoutView="75" workbookViewId="0" topLeftCell="A1">
      <selection activeCell="C11" sqref="C11"/>
    </sheetView>
  </sheetViews>
  <sheetFormatPr defaultColWidth="9.140625" defaultRowHeight="12.75"/>
  <cols>
    <col min="1" max="1" width="6.00390625" style="892" customWidth="1"/>
    <col min="2" max="2" width="45.28125" style="560" customWidth="1"/>
    <col min="3" max="4" width="10.7109375" style="847" customWidth="1"/>
    <col min="5" max="7" width="10.7109375" style="859" customWidth="1"/>
    <col min="8" max="10" width="12.140625" style="560" customWidth="1"/>
    <col min="11" max="16384" width="9.140625" style="560" customWidth="1"/>
  </cols>
  <sheetData>
    <row r="1" spans="1:14" s="456" customFormat="1" ht="15.75" customHeight="1">
      <c r="A1" s="918"/>
      <c r="B1" s="912"/>
      <c r="C1" s="458"/>
      <c r="D1" s="458"/>
      <c r="E1" s="558"/>
      <c r="F1" s="458"/>
      <c r="G1" s="458"/>
      <c r="I1" s="454"/>
      <c r="K1" s="454"/>
      <c r="L1" s="454"/>
      <c r="M1" s="454"/>
      <c r="N1" s="454"/>
    </row>
    <row r="2" spans="1:14" s="499" customFormat="1" ht="15.75" customHeight="1">
      <c r="A2" s="1055" t="str">
        <f>CONCATENATE("Nacalculatieformulier ",Voorblad!D3)</f>
        <v>Nacalculatieformulier 2005</v>
      </c>
      <c r="B2" s="531"/>
      <c r="C2" s="593"/>
      <c r="D2" s="593"/>
      <c r="E2" s="593"/>
      <c r="F2" s="593"/>
      <c r="G2" s="597" t="b">
        <f>Voorblad!D30</f>
        <v>1</v>
      </c>
      <c r="H2" s="593"/>
      <c r="I2" s="593"/>
      <c r="J2" s="592">
        <f>'Prod.1.1.'!J47+1</f>
        <v>9</v>
      </c>
      <c r="K2" s="500"/>
      <c r="L2" s="500"/>
      <c r="M2" s="91"/>
      <c r="N2" s="91"/>
    </row>
    <row r="3" spans="2:14" ht="12" customHeight="1">
      <c r="B3" s="872"/>
      <c r="C3" s="849"/>
      <c r="D3" s="849"/>
      <c r="E3" s="849"/>
      <c r="F3" s="560"/>
      <c r="G3" s="560"/>
      <c r="M3" s="836"/>
      <c r="N3" s="836"/>
    </row>
    <row r="4" ht="12">
      <c r="B4" s="874"/>
    </row>
    <row r="5" spans="1:10" ht="12">
      <c r="A5" s="913"/>
      <c r="B5" s="870"/>
      <c r="C5" s="876" t="s">
        <v>43</v>
      </c>
      <c r="D5" s="877" t="s">
        <v>343</v>
      </c>
      <c r="E5" s="900" t="s">
        <v>42</v>
      </c>
      <c r="F5" s="1484" t="s">
        <v>41</v>
      </c>
      <c r="G5" s="1483"/>
      <c r="H5" s="1480" t="s">
        <v>113</v>
      </c>
      <c r="I5" s="1481"/>
      <c r="J5" s="876" t="s">
        <v>442</v>
      </c>
    </row>
    <row r="6" spans="1:10" ht="12">
      <c r="A6" s="913" t="s">
        <v>386</v>
      </c>
      <c r="B6" s="1026" t="s">
        <v>838</v>
      </c>
      <c r="C6" s="878">
        <f>Voorblad!D3</f>
        <v>2005</v>
      </c>
      <c r="D6" s="879">
        <f>C6</f>
        <v>2005</v>
      </c>
      <c r="E6" s="902"/>
      <c r="F6" s="881" t="s">
        <v>698</v>
      </c>
      <c r="G6" s="881" t="s">
        <v>699</v>
      </c>
      <c r="H6" s="882" t="s">
        <v>698</v>
      </c>
      <c r="I6" s="882" t="s">
        <v>699</v>
      </c>
      <c r="J6" s="878" t="str">
        <f>CONCATENATE("FB ",Voorblad!D3)</f>
        <v>FB 2005</v>
      </c>
    </row>
    <row r="7" spans="2:10" ht="12">
      <c r="B7" s="870"/>
      <c r="C7" s="863"/>
      <c r="D7" s="863"/>
      <c r="E7" s="903"/>
      <c r="F7" s="903"/>
      <c r="G7" s="903"/>
      <c r="H7" s="864"/>
      <c r="I7" s="864"/>
      <c r="J7" s="864"/>
    </row>
    <row r="8" spans="2:10" ht="12">
      <c r="B8" s="870" t="s">
        <v>110</v>
      </c>
      <c r="C8" s="863"/>
      <c r="D8" s="863"/>
      <c r="E8" s="903"/>
      <c r="F8" s="903"/>
      <c r="G8" s="903"/>
      <c r="H8" s="1027">
        <f>'Prod.1.1.'!H78</f>
        <v>0</v>
      </c>
      <c r="I8" s="1027">
        <f>'Prod.1.1.'!I78</f>
        <v>0</v>
      </c>
      <c r="J8" s="1027">
        <f>'Prod.1.1.'!J78</f>
        <v>0</v>
      </c>
    </row>
    <row r="9" spans="2:10" ht="12">
      <c r="B9" s="870"/>
      <c r="C9" s="863"/>
      <c r="D9" s="863"/>
      <c r="E9" s="903"/>
      <c r="F9" s="903"/>
      <c r="G9" s="903"/>
      <c r="H9" s="864"/>
      <c r="I9" s="864"/>
      <c r="J9" s="864"/>
    </row>
    <row r="10" spans="2:7" ht="12">
      <c r="B10" s="914" t="s">
        <v>839</v>
      </c>
      <c r="F10" s="888"/>
      <c r="G10" s="888"/>
    </row>
    <row r="11" spans="1:7" ht="12">
      <c r="A11" s="898">
        <f>(100*J2)+1</f>
        <v>901</v>
      </c>
      <c r="B11" s="904" t="s">
        <v>840</v>
      </c>
      <c r="C11" s="486">
        <v>0</v>
      </c>
      <c r="D11" s="561"/>
      <c r="E11" s="887">
        <f>C11-D11</f>
        <v>0</v>
      </c>
      <c r="F11" s="905"/>
      <c r="G11" s="868"/>
    </row>
    <row r="12" spans="1:7" ht="12">
      <c r="A12" s="898">
        <f>A11+1</f>
        <v>902</v>
      </c>
      <c r="B12" s="904" t="s">
        <v>114</v>
      </c>
      <c r="C12" s="486"/>
      <c r="D12" s="561"/>
      <c r="E12" s="887">
        <f>C12-D12</f>
        <v>0</v>
      </c>
      <c r="F12" s="888"/>
      <c r="G12" s="868"/>
    </row>
    <row r="13" spans="1:10" ht="12">
      <c r="A13" s="898">
        <f>A12+1</f>
        <v>903</v>
      </c>
      <c r="B13" s="904" t="s">
        <v>187</v>
      </c>
      <c r="C13" s="716"/>
      <c r="D13" s="715"/>
      <c r="E13" s="887">
        <f>C13-D13</f>
        <v>0</v>
      </c>
      <c r="F13" s="885">
        <f>'G1'!B89</f>
        <v>5.94</v>
      </c>
      <c r="G13" s="885">
        <f>'G1'!C89</f>
        <v>2.17</v>
      </c>
      <c r="H13" s="907">
        <f>ROUND(E13*ROUND(F13*'Prod.1.1.'!$S$8,2),0)</f>
        <v>0</v>
      </c>
      <c r="I13" s="907">
        <f>ROUND('Prod.1.2'!E13*ROUND(G13*'Prod.1.1.'!$T$8,2),0)</f>
        <v>0</v>
      </c>
      <c r="J13" s="907">
        <f>ROUND(C13*ROUND(F13*'Prod.1.1.'!S$8,2),0)+ROUND(C13*ROUND(G13*'Prod.1.1.'!T$8,2),0)</f>
        <v>0</v>
      </c>
    </row>
    <row r="14" spans="1:10" ht="12">
      <c r="A14" s="898">
        <f>A13+1</f>
        <v>904</v>
      </c>
      <c r="B14" s="904" t="s">
        <v>841</v>
      </c>
      <c r="C14" s="883">
        <f>SUM(C11:C13)</f>
        <v>0</v>
      </c>
      <c r="D14" s="883">
        <f>SUM(D11:D13)</f>
        <v>0</v>
      </c>
      <c r="E14" s="887">
        <f>C14-D14</f>
        <v>0</v>
      </c>
      <c r="F14" s="908">
        <f>ROUND(IF('Prod.1.2'!C$16&lt;=15,'G1'!B90,IF('Prod.1.2'!C$16&gt;=76,'G1'!B91,ROUND(('Prod.1.2'!C$16-15)*(('G1'!B91-'G1'!B90)/61),2)+'G1'!B90)),2)</f>
        <v>3.73</v>
      </c>
      <c r="G14" s="909">
        <f>ROUND(IF('Prod.1.2'!$C$16&lt;=15,'G1'!C90,IF('Prod.1.2'!$C$16&gt;=76,'G1'!C91,ROUND(('Prod.1.2'!C$16-15)*(('G1'!C91-'G1'!C90)/61),2)+'G1'!C90)),2)</f>
        <v>1.36</v>
      </c>
      <c r="H14" s="907">
        <f>ROUND(E14*ROUND(F14*'Prod.1.1.'!$S$8,2),0)</f>
        <v>0</v>
      </c>
      <c r="I14" s="907">
        <f>ROUND('Prod.1.2'!E14*ROUND(G14*'Prod.1.1.'!$T$8,2),0)</f>
        <v>0</v>
      </c>
      <c r="J14" s="907">
        <f>ROUND(C14*ROUND(F14*'Prod.1.1.'!S$8,2),0)+ROUND(C14*ROUND(G14*'Prod.1.1.'!T$8,2),0)</f>
        <v>0</v>
      </c>
    </row>
    <row r="15" spans="1:10" ht="12">
      <c r="A15" s="898">
        <f>A14+1</f>
        <v>905</v>
      </c>
      <c r="B15" s="904" t="s">
        <v>800</v>
      </c>
      <c r="C15" s="433"/>
      <c r="D15" s="433"/>
      <c r="E15" s="887">
        <f>C15-D15</f>
        <v>0</v>
      </c>
      <c r="F15" s="919">
        <f>'G1'!B92</f>
        <v>0.63</v>
      </c>
      <c r="G15" s="919">
        <f>'G1'!C92</f>
        <v>0.561</v>
      </c>
      <c r="H15" s="907">
        <f>ROUND(E15*F15,0)</f>
        <v>0</v>
      </c>
      <c r="I15" s="907">
        <f>ROUND(E15*G15,0)</f>
        <v>0</v>
      </c>
      <c r="J15" s="907">
        <f>ROUND(C15*F15,0)+ROUND(C15*G15,0)</f>
        <v>0</v>
      </c>
    </row>
    <row r="16" spans="1:7" ht="12">
      <c r="A16" s="898">
        <f>A15+1</f>
        <v>906</v>
      </c>
      <c r="B16" s="904" t="s">
        <v>842</v>
      </c>
      <c r="C16" s="884">
        <f>IF(C11+C12&lt;&gt;0,ROUND((C12/(C11+C12))*100,0),0)</f>
        <v>0</v>
      </c>
      <c r="D16" s="884">
        <f>IF(D11+D12&lt;&gt;0,ROUND((D12/(D11+D12))*100,0),0)</f>
        <v>0</v>
      </c>
      <c r="E16" s="868"/>
      <c r="F16" s="868"/>
      <c r="G16" s="868"/>
    </row>
    <row r="17" spans="2:7" ht="12">
      <c r="B17" s="899"/>
      <c r="E17" s="888"/>
      <c r="F17" s="888"/>
      <c r="G17" s="888"/>
    </row>
    <row r="18" spans="2:7" ht="12">
      <c r="B18" s="914" t="s">
        <v>116</v>
      </c>
      <c r="C18" s="888"/>
      <c r="D18" s="888"/>
      <c r="F18" s="888"/>
      <c r="G18" s="888"/>
    </row>
    <row r="19" spans="1:10" ht="12">
      <c r="A19" s="915">
        <f>A16+1</f>
        <v>907</v>
      </c>
      <c r="B19" s="916" t="s">
        <v>641</v>
      </c>
      <c r="C19" s="1078"/>
      <c r="D19" s="1078"/>
      <c r="E19" s="887">
        <f>'Prod.1.2'!C19-'Prod.1.2'!D19</f>
        <v>0</v>
      </c>
      <c r="F19" s="917">
        <f>'G1'!B96</f>
        <v>0.413</v>
      </c>
      <c r="G19" s="917">
        <f>'G1'!C96</f>
        <v>0.085</v>
      </c>
      <c r="H19" s="907">
        <f>ROUND(E19*F19,0)</f>
        <v>0</v>
      </c>
      <c r="I19" s="907">
        <f>ROUND(E19*G19,0)</f>
        <v>0</v>
      </c>
      <c r="J19" s="907">
        <f>ROUND(C19*F19,0)+ROUND(C19*G19,0)</f>
        <v>0</v>
      </c>
    </row>
    <row r="20" spans="2:7" ht="12">
      <c r="B20" s="899"/>
      <c r="F20" s="888"/>
      <c r="G20" s="888"/>
    </row>
    <row r="21" spans="2:7" ht="12">
      <c r="B21" s="914" t="s">
        <v>115</v>
      </c>
      <c r="F21" s="868"/>
      <c r="G21" s="888"/>
    </row>
    <row r="22" spans="1:10" ht="12">
      <c r="A22" s="898">
        <f>A19+1</f>
        <v>908</v>
      </c>
      <c r="B22" s="916" t="s">
        <v>641</v>
      </c>
      <c r="C22" s="1078"/>
      <c r="D22" s="1078"/>
      <c r="E22" s="887">
        <f>'Prod.1.2'!C22-'Prod.1.2'!D22</f>
        <v>0</v>
      </c>
      <c r="F22" s="917">
        <f>'G1'!B97</f>
        <v>0.464</v>
      </c>
      <c r="G22" s="917">
        <f>'G1'!C97</f>
        <v>0.108</v>
      </c>
      <c r="H22" s="907">
        <f>ROUND(E22*F22,0)</f>
        <v>0</v>
      </c>
      <c r="I22" s="907">
        <f>ROUND(E22*G22,0)</f>
        <v>0</v>
      </c>
      <c r="J22" s="907">
        <f>ROUND(C22*F22,0)+ROUND(C22*G22,0)</f>
        <v>0</v>
      </c>
    </row>
    <row r="23" spans="2:7" ht="12.75" customHeight="1">
      <c r="B23" s="899"/>
      <c r="F23" s="888"/>
      <c r="G23" s="888"/>
    </row>
    <row r="24" spans="2:7" ht="12">
      <c r="B24" s="914" t="s">
        <v>125</v>
      </c>
      <c r="F24" s="888"/>
      <c r="G24" s="888"/>
    </row>
    <row r="25" spans="1:10" ht="12">
      <c r="A25" s="898">
        <f>A22+1</f>
        <v>909</v>
      </c>
      <c r="B25" s="916" t="s">
        <v>641</v>
      </c>
      <c r="C25" s="1078"/>
      <c r="D25" s="1078"/>
      <c r="E25" s="887">
        <f>'Prod.1.2'!C25-'Prod.1.2'!D25</f>
        <v>0</v>
      </c>
      <c r="F25" s="917">
        <f>'G1'!B99</f>
        <v>0.849</v>
      </c>
      <c r="G25" s="917">
        <f>'G1'!C99</f>
        <v>0.17</v>
      </c>
      <c r="H25" s="907">
        <f>ROUND(E25*F25,0)</f>
        <v>0</v>
      </c>
      <c r="I25" s="907">
        <f>ROUND(E25*G25,0)</f>
        <v>0</v>
      </c>
      <c r="J25" s="907">
        <f>ROUND(C25*F25,0)+ROUND(C25*G25,0)</f>
        <v>0</v>
      </c>
    </row>
    <row r="26" spans="2:7" ht="12">
      <c r="B26" s="899"/>
      <c r="F26" s="888"/>
      <c r="G26" s="888"/>
    </row>
    <row r="27" spans="2:7" ht="12">
      <c r="B27" s="914" t="s">
        <v>126</v>
      </c>
      <c r="F27" s="888"/>
      <c r="G27" s="888"/>
    </row>
    <row r="28" spans="1:10" ht="12">
      <c r="A28" s="898">
        <f>A25+1</f>
        <v>910</v>
      </c>
      <c r="B28" s="916" t="s">
        <v>641</v>
      </c>
      <c r="C28" s="1078"/>
      <c r="D28" s="1078"/>
      <c r="E28" s="887">
        <f>'Prod.1.2'!C28-'Prod.1.2'!D28</f>
        <v>0</v>
      </c>
      <c r="F28" s="917">
        <f>'G1'!B98</f>
        <v>0.849</v>
      </c>
      <c r="G28" s="917">
        <f>'G1'!C98</f>
        <v>0.17</v>
      </c>
      <c r="H28" s="907">
        <f>ROUND(E28*F28,0)</f>
        <v>0</v>
      </c>
      <c r="I28" s="907">
        <f>ROUND(E28*G28,0)</f>
        <v>0</v>
      </c>
      <c r="J28" s="907">
        <f>ROUND(C28*F28,0)+ROUND(C28*G28,0)</f>
        <v>0</v>
      </c>
    </row>
    <row r="29" spans="2:7" ht="12">
      <c r="B29" s="899"/>
      <c r="F29" s="888"/>
      <c r="G29" s="888"/>
    </row>
    <row r="30" spans="2:7" ht="12">
      <c r="B30" s="914" t="s">
        <v>642</v>
      </c>
      <c r="F30" s="888"/>
      <c r="G30" s="888"/>
    </row>
    <row r="31" spans="1:10" ht="12" customHeight="1">
      <c r="A31" s="898">
        <f>A28+1</f>
        <v>911</v>
      </c>
      <c r="B31" s="916" t="s">
        <v>127</v>
      </c>
      <c r="C31" s="1078"/>
      <c r="D31" s="1078"/>
      <c r="E31" s="887">
        <f>'Prod.1.2'!C31-'Prod.1.2'!D31</f>
        <v>0</v>
      </c>
      <c r="F31" s="885">
        <f>'G1'!B88</f>
        <v>9.71</v>
      </c>
      <c r="G31" s="885">
        <f>'G1'!C88</f>
        <v>5.31</v>
      </c>
      <c r="H31" s="907">
        <f>ROUND(E31*ROUND(F31*'Prod.1.1.'!$S$8,2),0)</f>
        <v>0</v>
      </c>
      <c r="I31" s="907">
        <f>ROUND('Prod.1.2'!E31*ROUND(G31*'Prod.1.1.'!$T$8,2),0)</f>
        <v>0</v>
      </c>
      <c r="J31" s="907">
        <f>ROUND(C31*ROUND(F31*'Prod.1.1.'!S$8,2),0)+ROUND(C31*ROUND(G31*'Prod.1.1.'!T$8,2),0)</f>
        <v>0</v>
      </c>
    </row>
    <row r="32" spans="2:7" ht="12">
      <c r="B32" s="899"/>
      <c r="C32" s="889"/>
      <c r="D32" s="889"/>
      <c r="E32" s="888"/>
      <c r="F32" s="888"/>
      <c r="G32" s="888"/>
    </row>
    <row r="33" spans="2:7" ht="12">
      <c r="B33" s="914" t="s">
        <v>643</v>
      </c>
      <c r="C33" s="868"/>
      <c r="D33" s="868"/>
      <c r="E33" s="888"/>
      <c r="F33" s="888"/>
      <c r="G33" s="888"/>
    </row>
    <row r="34" spans="1:10" ht="12">
      <c r="A34" s="898">
        <f>A31+1</f>
        <v>912</v>
      </c>
      <c r="B34" s="916" t="s">
        <v>127</v>
      </c>
      <c r="C34" s="1078"/>
      <c r="D34" s="1078"/>
      <c r="E34" s="887">
        <f>'Prod.1.2'!C34-'Prod.1.2'!D34</f>
        <v>0</v>
      </c>
      <c r="F34" s="1070">
        <f>'G1'!B93</f>
        <v>7.03</v>
      </c>
      <c r="G34" s="885">
        <f>'G1'!C93</f>
        <v>1.97</v>
      </c>
      <c r="H34" s="907">
        <f>ROUND(E34*ROUND(F34*'Prod.1.1.'!$S$8,2),0)</f>
        <v>0</v>
      </c>
      <c r="I34" s="907">
        <f>ROUND('Prod.1.2'!E34*ROUND(G34*'Prod.1.1.'!$T$8,2),0)</f>
        <v>0</v>
      </c>
      <c r="J34" s="907">
        <f>ROUND(C34*ROUND(F34*'Prod.1.1.'!S$8,2),0)+ROUND(C34*ROUND(G34*'Prod.1.1.'!T$8,2),0)</f>
        <v>0</v>
      </c>
    </row>
    <row r="35" spans="1:10" ht="12">
      <c r="A35" s="898">
        <f>A34+1</f>
        <v>913</v>
      </c>
      <c r="B35" s="916" t="s">
        <v>644</v>
      </c>
      <c r="C35" s="1078"/>
      <c r="D35" s="1078"/>
      <c r="E35" s="887">
        <f>'Prod.1.2'!C35-'Prod.1.2'!D35</f>
        <v>0</v>
      </c>
      <c r="F35" s="885">
        <f>'G1'!B94</f>
        <v>238.13</v>
      </c>
      <c r="G35" s="885">
        <f>'G1'!C94</f>
        <v>200.43</v>
      </c>
      <c r="H35" s="907">
        <f>ROUND(E35*ROUND(F35*'Prod.1.1.'!$S$8,2),0)</f>
        <v>0</v>
      </c>
      <c r="I35" s="907">
        <f>ROUND('Prod.1.2'!E35*ROUND(G35*'Prod.1.1.'!$T$8,2),0)</f>
        <v>0</v>
      </c>
      <c r="J35" s="907">
        <f>ROUND(C35*ROUND(F35*'Prod.1.1.'!S$8,2),0)+ROUND(C35*ROUND(G35*'Prod.1.1.'!T$8,2),0)</f>
        <v>0</v>
      </c>
    </row>
    <row r="36" spans="1:10" ht="12">
      <c r="A36" s="898">
        <f>A35+1</f>
        <v>914</v>
      </c>
      <c r="B36" s="916" t="s">
        <v>645</v>
      </c>
      <c r="C36" s="1078"/>
      <c r="D36" s="1078"/>
      <c r="E36" s="887">
        <f>'Prod.1.2'!C36-'Prod.1.2'!D36</f>
        <v>0</v>
      </c>
      <c r="F36" s="885">
        <f>'G1'!B95</f>
        <v>202.47</v>
      </c>
      <c r="G36" s="885">
        <f>'G1'!C95</f>
        <v>632.13</v>
      </c>
      <c r="H36" s="907">
        <f>ROUND(E36*ROUND(F36*'Prod.1.1.'!$S$8,2),0)</f>
        <v>0</v>
      </c>
      <c r="I36" s="907">
        <f>ROUND('Prod.1.2'!E36*ROUND(G36*'Prod.1.1.'!$T$8,2),0)</f>
        <v>0</v>
      </c>
      <c r="J36" s="907">
        <f>ROUND(C36*ROUND(F36*'Prod.1.1.'!S$8,2),0)+ROUND(C36*ROUND(G36*'Prod.1.1.'!T$8,2),0)</f>
        <v>0</v>
      </c>
    </row>
    <row r="37" spans="2:7" ht="12" customHeight="1">
      <c r="B37" s="899"/>
      <c r="F37" s="888"/>
      <c r="G37" s="888"/>
    </row>
    <row r="38" spans="2:7" ht="12">
      <c r="B38" s="914" t="s">
        <v>133</v>
      </c>
      <c r="F38" s="888"/>
      <c r="G38" s="888"/>
    </row>
    <row r="39" spans="1:10" ht="12">
      <c r="A39" s="898">
        <f>A36+1</f>
        <v>915</v>
      </c>
      <c r="B39" s="916" t="s">
        <v>127</v>
      </c>
      <c r="C39" s="1078"/>
      <c r="D39" s="1078"/>
      <c r="E39" s="887">
        <f>'Prod.1.2'!C39-'Prod.1.2'!D39</f>
        <v>0</v>
      </c>
      <c r="F39" s="885">
        <f>'Prod.1.1.'!F14</f>
        <v>0</v>
      </c>
      <c r="G39" s="885">
        <f>'Prod.1.1.'!G14</f>
        <v>0</v>
      </c>
      <c r="H39" s="907">
        <f>ROUND(E39*ROUND(F39*'Prod.1.1.'!$S$8,2),0)</f>
        <v>0</v>
      </c>
      <c r="I39" s="907">
        <f>ROUND('Prod.1.2'!E39*ROUND(G39*'Prod.1.1.'!$T$8,2),0)</f>
        <v>0</v>
      </c>
      <c r="J39" s="907">
        <f>ROUND(C39*ROUND(F39*'Prod.1.1.'!S$8,2),0)+ROUND(C39*ROUND(G39*'Prod.1.1.'!T$8,2),0)</f>
        <v>0</v>
      </c>
    </row>
    <row r="40" spans="2:7" ht="12">
      <c r="B40" s="899"/>
      <c r="G40" s="888"/>
    </row>
    <row r="41" spans="1:10" ht="12">
      <c r="A41" s="898">
        <f>A39+1</f>
        <v>916</v>
      </c>
      <c r="B41" s="916" t="s">
        <v>798</v>
      </c>
      <c r="C41" s="1078"/>
      <c r="D41" s="1078"/>
      <c r="E41" s="887">
        <f>'Prod.1.2'!C41-'Prod.1.2'!D41</f>
        <v>0</v>
      </c>
      <c r="F41" s="919">
        <v>1</v>
      </c>
      <c r="G41" s="868"/>
      <c r="H41" s="907">
        <f>E41*F41</f>
        <v>0</v>
      </c>
      <c r="J41" s="884">
        <f>C41</f>
        <v>0</v>
      </c>
    </row>
    <row r="42" spans="1:10" ht="12">
      <c r="A42" s="898">
        <f>A41+1</f>
        <v>917</v>
      </c>
      <c r="B42" s="916" t="s">
        <v>799</v>
      </c>
      <c r="C42" s="1078"/>
      <c r="D42" s="1078"/>
      <c r="E42" s="887">
        <f>'Prod.1.2'!C42-'Prod.1.2'!D42</f>
        <v>0</v>
      </c>
      <c r="F42" s="868"/>
      <c r="G42" s="919">
        <v>1</v>
      </c>
      <c r="I42" s="907">
        <f>E42*G42</f>
        <v>0</v>
      </c>
      <c r="J42" s="884">
        <f>C42</f>
        <v>0</v>
      </c>
    </row>
    <row r="43" ht="12">
      <c r="F43" s="888"/>
    </row>
    <row r="44" spans="1:10" ht="12">
      <c r="A44" s="1056">
        <f>A42+1</f>
        <v>918</v>
      </c>
      <c r="B44" s="1492" t="s">
        <v>389</v>
      </c>
      <c r="C44" s="1492"/>
      <c r="D44" s="1492"/>
      <c r="E44" s="1492"/>
      <c r="F44" s="1492"/>
      <c r="G44" s="1492"/>
      <c r="H44" s="924">
        <f>SUM(H8:H42)</f>
        <v>0</v>
      </c>
      <c r="I44" s="924">
        <f>SUM(I8:I42)</f>
        <v>0</v>
      </c>
      <c r="J44" s="924">
        <f>SUM(J8:J42)</f>
        <v>0</v>
      </c>
    </row>
    <row r="45" spans="2:10" ht="12">
      <c r="B45" s="849"/>
      <c r="F45" s="906"/>
      <c r="G45" s="906"/>
      <c r="H45" s="850"/>
      <c r="I45" s="850"/>
      <c r="J45" s="850"/>
    </row>
    <row r="46" spans="2:10" ht="12">
      <c r="B46" s="560" t="s">
        <v>801</v>
      </c>
      <c r="F46" s="906"/>
      <c r="G46" s="906"/>
      <c r="H46" s="850"/>
      <c r="I46" s="850"/>
      <c r="J46" s="850"/>
    </row>
    <row r="47" spans="2:10" ht="12">
      <c r="B47" s="849"/>
      <c r="F47" s="906"/>
      <c r="G47" s="906"/>
      <c r="H47" s="850"/>
      <c r="I47" s="850"/>
      <c r="J47" s="850"/>
    </row>
    <row r="48" spans="1:10" ht="12">
      <c r="A48" s="918"/>
      <c r="B48" s="912"/>
      <c r="C48" s="458"/>
      <c r="D48" s="458"/>
      <c r="E48" s="558"/>
      <c r="F48" s="458"/>
      <c r="G48" s="458"/>
      <c r="H48" s="456"/>
      <c r="I48" s="454"/>
      <c r="J48" s="456"/>
    </row>
    <row r="49" spans="1:10" ht="15.75" customHeight="1">
      <c r="A49" s="1055" t="str">
        <f>CONCATENATE("Nacalculatieformulier ",Voorblad!D3)</f>
        <v>Nacalculatieformulier 2005</v>
      </c>
      <c r="B49" s="531"/>
      <c r="C49" s="593"/>
      <c r="D49" s="593"/>
      <c r="E49" s="593"/>
      <c r="F49" s="593"/>
      <c r="G49" s="597">
        <f>Voorblad!D77</f>
        <v>0</v>
      </c>
      <c r="H49" s="593"/>
      <c r="I49" s="593"/>
      <c r="J49" s="592">
        <f>J2+1</f>
        <v>10</v>
      </c>
    </row>
    <row r="50" spans="2:7" ht="12">
      <c r="B50" s="872"/>
      <c r="C50" s="849"/>
      <c r="D50" s="849"/>
      <c r="E50" s="849"/>
      <c r="F50" s="560"/>
      <c r="G50" s="560"/>
    </row>
    <row r="51" spans="2:10" ht="12">
      <c r="B51" s="849"/>
      <c r="F51" s="906"/>
      <c r="G51" s="906"/>
      <c r="H51" s="850"/>
      <c r="I51" s="850"/>
      <c r="J51" s="850"/>
    </row>
    <row r="52" spans="1:10" ht="12">
      <c r="A52" s="993" t="s">
        <v>86</v>
      </c>
      <c r="B52" s="1312"/>
      <c r="F52" s="906"/>
      <c r="G52" s="906"/>
      <c r="H52" s="850"/>
      <c r="I52" s="850"/>
      <c r="J52" s="850"/>
    </row>
    <row r="53" ht="12">
      <c r="A53" s="870" t="str">
        <f>CONCATENATE("* Voor rekenstaat ",Voorblad!D3," zie voorlopige nacalculatie ",Voorblad!D3," ")</f>
        <v>* Voor rekenstaat 2005 zie voorlopige nacalculatie 2005 </v>
      </c>
    </row>
    <row r="54" spans="1:7" ht="12">
      <c r="A54" s="899" t="s">
        <v>797</v>
      </c>
      <c r="C54" s="874"/>
      <c r="D54" s="874"/>
      <c r="E54" s="873"/>
      <c r="F54" s="873"/>
      <c r="G54" s="873"/>
    </row>
    <row r="55" spans="1:7" ht="12">
      <c r="A55" s="899" t="s">
        <v>843</v>
      </c>
      <c r="C55" s="874"/>
      <c r="D55" s="874"/>
      <c r="E55" s="873"/>
      <c r="F55" s="873"/>
      <c r="G55" s="873"/>
    </row>
    <row r="56" spans="1:7" ht="12">
      <c r="A56" s="874" t="s">
        <v>16</v>
      </c>
      <c r="C56" s="874"/>
      <c r="D56" s="874"/>
      <c r="E56" s="873"/>
      <c r="F56" s="873"/>
      <c r="G56" s="873"/>
    </row>
    <row r="57" spans="1:7" ht="12">
      <c r="A57" s="874" t="s">
        <v>134</v>
      </c>
      <c r="C57" s="874"/>
      <c r="D57" s="874"/>
      <c r="E57" s="873"/>
      <c r="F57" s="873"/>
      <c r="G57" s="873"/>
    </row>
    <row r="58" spans="1:7" ht="12">
      <c r="A58" s="874" t="s">
        <v>646</v>
      </c>
      <c r="C58" s="874"/>
      <c r="D58" s="874"/>
      <c r="E58" s="873"/>
      <c r="F58" s="873"/>
      <c r="G58" s="873"/>
    </row>
    <row r="59" spans="1:7" ht="12">
      <c r="A59" s="874" t="s">
        <v>18</v>
      </c>
      <c r="C59" s="874"/>
      <c r="D59" s="874"/>
      <c r="E59" s="873"/>
      <c r="F59" s="873"/>
      <c r="G59" s="873"/>
    </row>
    <row r="60" spans="1:7" ht="12">
      <c r="A60" s="899" t="s">
        <v>19</v>
      </c>
      <c r="C60" s="874"/>
      <c r="D60" s="874"/>
      <c r="E60" s="873"/>
      <c r="F60" s="873"/>
      <c r="G60" s="873"/>
    </row>
    <row r="61" spans="3:7" ht="12">
      <c r="C61" s="889"/>
      <c r="D61" s="874"/>
      <c r="E61" s="873"/>
      <c r="F61" s="873"/>
      <c r="G61" s="873"/>
    </row>
    <row r="62" spans="2:7" ht="12">
      <c r="B62" s="870"/>
      <c r="C62" s="889"/>
      <c r="D62" s="889"/>
      <c r="E62" s="888"/>
      <c r="F62" s="888"/>
      <c r="G62" s="888"/>
    </row>
    <row r="63" spans="1:7" ht="12">
      <c r="A63" s="849"/>
      <c r="B63" s="849" t="s">
        <v>647</v>
      </c>
      <c r="C63" s="560"/>
      <c r="D63" s="560"/>
      <c r="E63" s="948"/>
      <c r="F63" s="888"/>
      <c r="G63" s="888"/>
    </row>
    <row r="64" spans="1:10" ht="12.75" customHeight="1">
      <c r="A64" s="898">
        <f>J49*100+1</f>
        <v>1001</v>
      </c>
      <c r="B64" s="1489" t="str">
        <f>CONCATENATE("Verschil tussen de gerealiseerde productie ",Voorblad!D3," vlgs. de definitieve nacalculatie en de voorlopige nacalculatie (vlgs.rekenstaat)")</f>
        <v>Verschil tussen de gerealiseerde productie 2005 vlgs. de definitieve nacalculatie en de voorlopige nacalculatie (vlgs.rekenstaat)</v>
      </c>
      <c r="C64" s="1490"/>
      <c r="D64" s="1490"/>
      <c r="E64" s="1490"/>
      <c r="F64" s="1490"/>
      <c r="G64" s="1490"/>
      <c r="H64" s="1491"/>
      <c r="I64" s="1077">
        <f>'Prod.1.2'!H44+'Prod.1.2'!I44</f>
        <v>0</v>
      </c>
      <c r="J64" s="870"/>
    </row>
    <row r="65" spans="1:9" ht="12.75" customHeight="1">
      <c r="A65" s="898">
        <f>A64+1</f>
        <v>1002</v>
      </c>
      <c r="B65" s="1486" t="str">
        <f>CONCATENATE("Overeengekomen nog te verwerken nacalculatie productie ",Voorblad!D3,"*")</f>
        <v>Overeengekomen nog te verwerken nacalculatie productie 2005*</v>
      </c>
      <c r="C65" s="1487"/>
      <c r="D65" s="1487"/>
      <c r="E65" s="1487"/>
      <c r="F65" s="1487"/>
      <c r="G65" s="1487"/>
      <c r="H65" s="1488"/>
      <c r="I65" s="1078"/>
    </row>
    <row r="66" spans="1:5" ht="12">
      <c r="A66" s="1012" t="s">
        <v>22</v>
      </c>
      <c r="C66" s="560"/>
      <c r="D66" s="560"/>
      <c r="E66" s="948"/>
    </row>
    <row r="69" spans="1:9" ht="12">
      <c r="A69" s="708">
        <f>A65+1</f>
        <v>1003</v>
      </c>
      <c r="B69" s="1176" t="str">
        <f>"Werkelijke productie cf totaal FB budget "&amp;Voorblad!D3&amp;", blad 5 productieafsprakenformulier "&amp;(Voorblad!D3+1)</f>
        <v>Werkelijke productie cf totaal FB budget 2005, blad 5 productieafsprakenformulier 2006</v>
      </c>
      <c r="C69" s="611"/>
      <c r="D69" s="1176"/>
      <c r="E69" s="611"/>
      <c r="F69" s="1176"/>
      <c r="G69" s="611"/>
      <c r="H69" s="1176"/>
      <c r="I69" s="1078"/>
    </row>
    <row r="70" spans="1:9" ht="12">
      <c r="A70" s="708">
        <f>A69+1</f>
        <v>1004</v>
      </c>
      <c r="B70" s="1176" t="s">
        <v>435</v>
      </c>
      <c r="C70" s="611"/>
      <c r="D70" s="1176"/>
      <c r="E70" s="611"/>
      <c r="F70" s="1176"/>
      <c r="G70" s="611"/>
      <c r="H70" s="1176"/>
      <c r="I70" s="1177" t="str">
        <f>IF(I69=0," ",ROUND(I64/I69,4))</f>
        <v> </v>
      </c>
    </row>
  </sheetData>
  <sheetProtection password="CCBC" sheet="1" objects="1" scenarios="1"/>
  <mergeCells count="5">
    <mergeCell ref="B65:H65"/>
    <mergeCell ref="B64:H64"/>
    <mergeCell ref="F5:G5"/>
    <mergeCell ref="H5:I5"/>
    <mergeCell ref="B44:G44"/>
  </mergeCells>
  <conditionalFormatting sqref="I65 I69 C15:D15 C19:D19 C22:D22 C25:D25 C28:D28 C31:D31 C34:D36 C39:D39 C41:D42 C11:D13">
    <cfRule type="expression" priority="1" dxfId="0" stopIfTrue="1">
      <formula>$G$2=TRUE</formula>
    </cfRule>
  </conditionalFormatting>
  <printOptions/>
  <pageMargins left="0.3937007874015748" right="0.3937007874015748" top="0.1968503937007874" bottom="0.1968503937007874" header="0.03937007874015748" footer="0.11811023622047245"/>
  <pageSetup horizontalDpi="1200" verticalDpi="1200" orientation="landscape" paperSize="9" scale="99" r:id="rId2"/>
  <rowBreaks count="1" manualBreakCount="1">
    <brk id="47" max="255" man="1"/>
  </rowBreaks>
  <drawing r:id="rId1"/>
</worksheet>
</file>

<file path=xl/worksheets/sheet8.xml><?xml version="1.0" encoding="utf-8"?>
<worksheet xmlns="http://schemas.openxmlformats.org/spreadsheetml/2006/main" xmlns:r="http://schemas.openxmlformats.org/officeDocument/2006/relationships">
  <sheetPr codeName="Blad7">
    <pageSetUpPr fitToPage="1"/>
  </sheetPr>
  <dimension ref="A1:S45"/>
  <sheetViews>
    <sheetView showGridLines="0" showRowColHeaders="0" showZeros="0" showOutlineSymbols="0" view="pageBreakPreview" zoomScale="75" zoomScaleNormal="75" zoomScaleSheetLayoutView="75" workbookViewId="0" topLeftCell="A1">
      <selection activeCell="F10" sqref="F10"/>
    </sheetView>
  </sheetViews>
  <sheetFormatPr defaultColWidth="9.140625" defaultRowHeight="12.75"/>
  <cols>
    <col min="1" max="1" width="5.28125" style="560" customWidth="1"/>
    <col min="2" max="2" width="22.57421875" style="560" customWidth="1"/>
    <col min="3" max="3" width="10.7109375" style="560" customWidth="1"/>
    <col min="4" max="4" width="16.421875" style="560" customWidth="1"/>
    <col min="5" max="5" width="16.140625" style="560" customWidth="1"/>
    <col min="6" max="6" width="12.57421875" style="560" customWidth="1"/>
    <col min="7" max="9" width="12.7109375" style="560" customWidth="1"/>
    <col min="10" max="10" width="13.7109375" style="560" customWidth="1"/>
    <col min="11" max="11" width="12.7109375" style="560" customWidth="1"/>
    <col min="12" max="15" width="10.28125" style="560" customWidth="1"/>
    <col min="16" max="16" width="10.57421875" style="560" customWidth="1"/>
    <col min="17" max="16384" width="9.140625" style="560" customWidth="1"/>
  </cols>
  <sheetData>
    <row r="1" spans="2:16" s="456" customFormat="1" ht="15.75" customHeight="1">
      <c r="B1" s="891"/>
      <c r="C1" s="458"/>
      <c r="D1" s="458"/>
      <c r="E1" s="558"/>
      <c r="F1" s="458"/>
      <c r="G1" s="458"/>
      <c r="H1" s="458"/>
      <c r="I1" s="458"/>
      <c r="K1" s="454"/>
      <c r="L1" s="454"/>
      <c r="M1" s="454"/>
      <c r="N1" s="454"/>
      <c r="O1" s="454"/>
      <c r="P1" s="454"/>
    </row>
    <row r="2" spans="1:19" s="499" customFormat="1" ht="15.75" customHeight="1">
      <c r="A2" s="1055" t="str">
        <f>CONCATENATE("Nacalculatieformulier ",Voorblad!D3)</f>
        <v>Nacalculatieformulier 2005</v>
      </c>
      <c r="B2" s="531"/>
      <c r="C2" s="593"/>
      <c r="D2" s="593"/>
      <c r="E2" s="593"/>
      <c r="F2" s="593"/>
      <c r="G2" s="597" t="b">
        <f>Voorblad!D30</f>
        <v>1</v>
      </c>
      <c r="H2" s="597"/>
      <c r="I2" s="597"/>
      <c r="J2" s="597"/>
      <c r="K2" s="597"/>
      <c r="L2" s="597"/>
      <c r="M2" s="592">
        <f>'Prod.1.2'!J2+1+1</f>
        <v>11</v>
      </c>
      <c r="N2" s="91"/>
      <c r="O2" s="500"/>
      <c r="P2" s="500"/>
      <c r="R2" s="91"/>
      <c r="S2" s="91"/>
    </row>
    <row r="3" spans="2:15" ht="12" customHeight="1">
      <c r="B3" s="872"/>
      <c r="C3" s="849"/>
      <c r="D3" s="849"/>
      <c r="N3" s="836"/>
      <c r="O3" s="836"/>
    </row>
    <row r="4" spans="1:13" ht="12">
      <c r="A4" s="849" t="s">
        <v>387</v>
      </c>
      <c r="B4" s="849" t="str">
        <f>CONCATENATE("Nacalculatie experiment-DBC´s ",Voorblad!D3,"")</f>
        <v>Nacalculatie experiment-DBC´s 2005</v>
      </c>
      <c r="G4" s="1026"/>
      <c r="H4" s="1026"/>
      <c r="I4" s="870"/>
      <c r="J4" s="870"/>
      <c r="K4" s="1026"/>
      <c r="L4" s="870"/>
      <c r="M4" s="870"/>
    </row>
    <row r="5" spans="2:11" ht="12">
      <c r="B5" s="849"/>
      <c r="C5" s="849"/>
      <c r="G5" s="1026"/>
      <c r="H5" s="1026"/>
      <c r="I5" s="870"/>
      <c r="J5" s="870"/>
      <c r="K5" s="870"/>
    </row>
    <row r="6" spans="7:19" ht="12">
      <c r="G6" s="1026"/>
      <c r="H6" s="870"/>
      <c r="I6" s="870"/>
      <c r="J6" s="870"/>
      <c r="K6" s="870"/>
      <c r="O6" s="1116"/>
      <c r="R6" s="858"/>
      <c r="S6" s="858"/>
    </row>
    <row r="7" spans="1:11" ht="12" customHeight="1">
      <c r="A7" s="849" t="s">
        <v>286</v>
      </c>
      <c r="C7"/>
      <c r="D7"/>
      <c r="E7"/>
      <c r="F7" s="797"/>
      <c r="G7"/>
      <c r="H7"/>
      <c r="I7"/>
      <c r="J7" s="797"/>
      <c r="K7"/>
    </row>
    <row r="8" spans="1:11" ht="12.75">
      <c r="A8" s="849" t="s">
        <v>284</v>
      </c>
      <c r="C8"/>
      <c r="D8"/>
      <c r="E8"/>
      <c r="F8" s="1165"/>
      <c r="G8" s="1132"/>
      <c r="H8" s="1132"/>
      <c r="I8" s="1132"/>
      <c r="J8" s="1165"/>
      <c r="K8" s="1132"/>
    </row>
    <row r="9" spans="1:13" ht="12.75">
      <c r="A9" s="1026"/>
      <c r="B9" s="1132"/>
      <c r="C9" s="1165"/>
      <c r="D9" s="1132"/>
      <c r="E9" s="1132"/>
      <c r="F9" s="1165"/>
      <c r="G9" s="1132"/>
      <c r="H9" s="1132"/>
      <c r="I9" s="1132"/>
      <c r="J9" s="1165"/>
      <c r="K9" s="1132"/>
      <c r="L9" s="870"/>
      <c r="M9" s="870"/>
    </row>
    <row r="10" spans="1:13" ht="12">
      <c r="A10" s="898">
        <f>(100*M2)+1</f>
        <v>1101</v>
      </c>
      <c r="B10" s="910" t="s">
        <v>150</v>
      </c>
      <c r="C10" s="1109"/>
      <c r="D10" s="1109"/>
      <c r="E10" s="1109"/>
      <c r="F10" s="1078"/>
      <c r="G10" s="1078"/>
      <c r="H10" s="1078"/>
      <c r="I10" s="1078"/>
      <c r="J10" s="1078"/>
      <c r="K10" s="1078"/>
      <c r="L10" s="1078"/>
      <c r="M10" s="1078"/>
    </row>
    <row r="11" spans="1:11" ht="12.75">
      <c r="A11" s="898">
        <f>A10+1</f>
        <v>1102</v>
      </c>
      <c r="B11" s="1034" t="s">
        <v>285</v>
      </c>
      <c r="C11" s="1109"/>
      <c r="D11" s="1109"/>
      <c r="E11" s="1109"/>
      <c r="F11" s="1205"/>
      <c r="G11"/>
      <c r="H11"/>
      <c r="I11"/>
      <c r="J11" s="797"/>
      <c r="K11"/>
    </row>
    <row r="12" spans="1:11" ht="12.75">
      <c r="A12" s="898">
        <f>+A11+1</f>
        <v>1103</v>
      </c>
      <c r="B12" s="1034" t="s">
        <v>122</v>
      </c>
      <c r="C12" s="1109"/>
      <c r="D12" s="1109"/>
      <c r="E12" s="1109"/>
      <c r="F12" s="1206"/>
      <c r="G12"/>
      <c r="H12"/>
      <c r="I12"/>
      <c r="J12" s="797"/>
      <c r="K12"/>
    </row>
    <row r="13" spans="1:11" ht="12.75">
      <c r="A13" s="898">
        <f>+A12+1</f>
        <v>1104</v>
      </c>
      <c r="B13" s="1034" t="s">
        <v>598</v>
      </c>
      <c r="C13" s="1109"/>
      <c r="D13" s="1109"/>
      <c r="E13" s="1109"/>
      <c r="F13" s="1167">
        <f>+F11-F12</f>
        <v>0</v>
      </c>
      <c r="G13"/>
      <c r="H13"/>
      <c r="I13"/>
      <c r="J13" s="797"/>
      <c r="K13"/>
    </row>
    <row r="14" spans="1:11" ht="12.75">
      <c r="A14" s="892"/>
      <c r="B14" s="870"/>
      <c r="C14" s="1165"/>
      <c r="D14" s="797"/>
      <c r="E14"/>
      <c r="F14" s="939"/>
      <c r="G14" s="939"/>
      <c r="H14" s="939"/>
      <c r="I14" s="939"/>
      <c r="J14" s="939"/>
      <c r="K14"/>
    </row>
    <row r="15" spans="1:11" ht="12.75">
      <c r="A15" s="892"/>
      <c r="C15"/>
      <c r="D15" s="1499" t="s">
        <v>151</v>
      </c>
      <c r="E15" s="1500"/>
      <c r="F15" s="875"/>
      <c r="G15" s="929" t="s">
        <v>119</v>
      </c>
      <c r="H15" s="1495" t="s">
        <v>41</v>
      </c>
      <c r="I15" s="1496"/>
      <c r="J15" s="927"/>
      <c r="K15" s="1126"/>
    </row>
    <row r="16" spans="1:10" ht="12.75">
      <c r="A16" s="892"/>
      <c r="C16"/>
      <c r="D16" s="875" t="s">
        <v>89</v>
      </c>
      <c r="E16" s="875" t="s">
        <v>90</v>
      </c>
      <c r="F16" s="933" t="s">
        <v>42</v>
      </c>
      <c r="G16" s="933" t="s">
        <v>120</v>
      </c>
      <c r="H16" s="1114"/>
      <c r="I16" s="1114"/>
      <c r="J16" s="933" t="s">
        <v>474</v>
      </c>
    </row>
    <row r="17" spans="1:10" ht="12.75">
      <c r="A17" s="892"/>
      <c r="C17"/>
      <c r="D17" s="933" t="s">
        <v>91</v>
      </c>
      <c r="E17" s="1114" t="s">
        <v>92</v>
      </c>
      <c r="F17" s="933" t="s">
        <v>185</v>
      </c>
      <c r="G17" s="933" t="s">
        <v>121</v>
      </c>
      <c r="H17" s="1114" t="s">
        <v>155</v>
      </c>
      <c r="I17" s="1114" t="s">
        <v>156</v>
      </c>
      <c r="J17" s="933" t="s">
        <v>152</v>
      </c>
    </row>
    <row r="18" spans="1:10" ht="12.75">
      <c r="A18" s="892"/>
      <c r="C18"/>
      <c r="D18" s="896" t="s">
        <v>93</v>
      </c>
      <c r="E18" s="1115" t="s">
        <v>89</v>
      </c>
      <c r="F18" s="896"/>
      <c r="G18" s="896"/>
      <c r="H18" s="896"/>
      <c r="I18" s="896"/>
      <c r="J18" s="896" t="s">
        <v>153</v>
      </c>
    </row>
    <row r="19" spans="1:10" ht="12.75">
      <c r="A19" s="892"/>
      <c r="C19"/>
      <c r="D19" s="1113" t="s">
        <v>95</v>
      </c>
      <c r="E19" s="1113" t="s">
        <v>96</v>
      </c>
      <c r="F19" s="1113" t="s">
        <v>97</v>
      </c>
      <c r="G19" s="1113" t="s">
        <v>98</v>
      </c>
      <c r="H19" s="1113" t="s">
        <v>154</v>
      </c>
      <c r="I19" s="1113" t="s">
        <v>123</v>
      </c>
      <c r="J19" s="1113" t="s">
        <v>124</v>
      </c>
    </row>
    <row r="20" spans="1:10" ht="12.75">
      <c r="A20" s="892"/>
      <c r="B20" s="849" t="s">
        <v>94</v>
      </c>
      <c r="C20"/>
      <c r="D20" s="1112"/>
      <c r="E20" s="1112"/>
      <c r="F20" s="1112"/>
      <c r="G20" s="1112"/>
      <c r="H20" s="1112"/>
      <c r="I20" s="1112"/>
      <c r="J20" s="797"/>
    </row>
    <row r="21" spans="1:10" ht="12.75" customHeight="1">
      <c r="A21" s="898">
        <f>+A13+1</f>
        <v>1105</v>
      </c>
      <c r="B21" s="1497" t="s">
        <v>99</v>
      </c>
      <c r="C21" s="1498"/>
      <c r="D21" s="486"/>
      <c r="E21" s="486"/>
      <c r="F21" s="1310">
        <f>D21-E21</f>
        <v>0</v>
      </c>
      <c r="G21" s="486"/>
      <c r="H21" s="1129"/>
      <c r="I21" s="1117"/>
      <c r="J21" s="1117"/>
    </row>
    <row r="22" spans="1:11" ht="12">
      <c r="A22" s="898">
        <f>A21+1</f>
        <v>1106</v>
      </c>
      <c r="B22" s="1497" t="s">
        <v>100</v>
      </c>
      <c r="C22" s="1498"/>
      <c r="D22" s="486"/>
      <c r="E22" s="486"/>
      <c r="F22" s="1310">
        <f aca="true" t="shared" si="0" ref="F22:F39">D22-E22</f>
        <v>0</v>
      </c>
      <c r="G22" s="486"/>
      <c r="H22" s="1127">
        <f>'Prod.1.1.'!F11</f>
        <v>0</v>
      </c>
      <c r="I22" s="1127">
        <f>'Prod.1.1.'!G11</f>
        <v>0</v>
      </c>
      <c r="J22" s="1127">
        <f>ROUND(G22*ROUND(H22*'Prod.1.1.'!S$8,2),0)+ROUND(G22*ROUND(I22*'Prod.1.1.'!T$8,2),0)</f>
        <v>0</v>
      </c>
      <c r="K22" s="849"/>
    </row>
    <row r="23" spans="1:10" ht="12">
      <c r="A23" s="898">
        <f aca="true" t="shared" si="1" ref="A23:A40">A22+1</f>
        <v>1107</v>
      </c>
      <c r="B23" s="1497" t="s">
        <v>101</v>
      </c>
      <c r="C23" s="1498"/>
      <c r="D23" s="486"/>
      <c r="E23" s="486"/>
      <c r="F23" s="1310">
        <f t="shared" si="0"/>
        <v>0</v>
      </c>
      <c r="G23" s="486"/>
      <c r="H23" s="1127">
        <f>'Prod.1.1.'!F12</f>
        <v>0</v>
      </c>
      <c r="I23" s="1127">
        <f>'Prod.1.1.'!G12</f>
        <v>0</v>
      </c>
      <c r="J23" s="1127">
        <f>ROUND(G23*ROUND(H23*'Prod.1.1.'!S$8,2),0)+ROUND(G23*ROUND(I23*'Prod.1.1.'!T$8,2),0)</f>
        <v>0</v>
      </c>
    </row>
    <row r="24" spans="1:10" ht="12">
      <c r="A24" s="898">
        <f t="shared" si="1"/>
        <v>1108</v>
      </c>
      <c r="B24" s="1497" t="s">
        <v>103</v>
      </c>
      <c r="C24" s="1498"/>
      <c r="D24" s="486"/>
      <c r="E24" s="486"/>
      <c r="F24" s="1310">
        <f t="shared" si="0"/>
        <v>0</v>
      </c>
      <c r="G24" s="486"/>
      <c r="H24" s="1131"/>
      <c r="I24" s="1130"/>
      <c r="J24" s="1130"/>
    </row>
    <row r="25" spans="1:10" ht="12.75" customHeight="1">
      <c r="A25" s="898">
        <f t="shared" si="1"/>
        <v>1109</v>
      </c>
      <c r="B25" s="1497" t="s">
        <v>104</v>
      </c>
      <c r="C25" s="1498"/>
      <c r="D25" s="486"/>
      <c r="E25" s="486"/>
      <c r="F25" s="1310">
        <f t="shared" si="0"/>
        <v>0</v>
      </c>
      <c r="G25" s="486"/>
      <c r="H25" s="1127">
        <f>'Prod.1.1.'!F13</f>
        <v>0</v>
      </c>
      <c r="I25" s="1128">
        <f>'Prod.1.1.'!G13</f>
        <v>0</v>
      </c>
      <c r="J25" s="1127">
        <f>ROUND(G25*ROUND(H25*'Prod.1.1.'!S$8,2),0)+ROUND(G25*ROUND(I25*'Prod.1.1.'!T$8,2),0)</f>
        <v>0</v>
      </c>
    </row>
    <row r="26" spans="1:11" ht="12.75" customHeight="1">
      <c r="A26" s="898">
        <f t="shared" si="1"/>
        <v>1110</v>
      </c>
      <c r="B26" s="1497" t="s">
        <v>215</v>
      </c>
      <c r="C26" s="1498"/>
      <c r="D26" s="486"/>
      <c r="E26" s="486"/>
      <c r="F26" s="1310">
        <f t="shared" si="0"/>
        <v>0</v>
      </c>
      <c r="G26" s="486"/>
      <c r="H26" s="1127">
        <f>'Prod.1.1.'!F14</f>
        <v>0</v>
      </c>
      <c r="I26" s="1127">
        <f>'Prod.1.1.'!G14</f>
        <v>0</v>
      </c>
      <c r="J26" s="1127">
        <f>ROUND(G26*ROUND(H26*'Prod.1.1.'!S$8,2),0)+ROUND(G26*ROUND(I26*'Prod.1.1.'!T$8,2),0)</f>
        <v>0</v>
      </c>
      <c r="K26" s="1139"/>
    </row>
    <row r="27" spans="1:10" ht="12.75" customHeight="1">
      <c r="A27" s="898">
        <f t="shared" si="1"/>
        <v>1111</v>
      </c>
      <c r="B27" s="1497" t="s">
        <v>216</v>
      </c>
      <c r="C27" s="1498"/>
      <c r="D27" s="486"/>
      <c r="E27" s="486"/>
      <c r="F27" s="1310">
        <f t="shared" si="0"/>
        <v>0</v>
      </c>
      <c r="G27" s="486"/>
      <c r="H27" s="1127">
        <f>'Prod.1.1.'!F15</f>
        <v>0</v>
      </c>
      <c r="I27" s="1127">
        <f>'Prod.1.1.'!G15</f>
        <v>0</v>
      </c>
      <c r="J27" s="1127">
        <f>ROUND(G27*ROUND(H27*'Prod.1.1.'!S$8,2),0)+ROUND(G27*ROUND(I27*'Prod.1.1.'!T$8,2),0)</f>
        <v>0</v>
      </c>
    </row>
    <row r="28" spans="1:10" ht="12.75" customHeight="1">
      <c r="A28" s="898">
        <f t="shared" si="1"/>
        <v>1112</v>
      </c>
      <c r="B28" s="1497" t="s">
        <v>136</v>
      </c>
      <c r="C28" s="1498"/>
      <c r="D28" s="486"/>
      <c r="E28" s="486"/>
      <c r="F28" s="1310">
        <f t="shared" si="0"/>
        <v>0</v>
      </c>
      <c r="G28" s="486"/>
      <c r="H28" s="1127">
        <f>'Prod.1.1.'!F16</f>
        <v>0</v>
      </c>
      <c r="I28" s="1127">
        <f>'Prod.1.1.'!G16</f>
        <v>4805.31</v>
      </c>
      <c r="J28" s="1127">
        <f>ROUND(G28*ROUND(H28*'Prod.1.1.'!S$8,2),0)+ROUND(G28*ROUND(I28*'Prod.1.1.'!T$8,2),0)</f>
        <v>0</v>
      </c>
    </row>
    <row r="29" spans="1:10" ht="12.75" customHeight="1">
      <c r="A29" s="898">
        <f t="shared" si="1"/>
        <v>1113</v>
      </c>
      <c r="B29" s="1497" t="s">
        <v>135</v>
      </c>
      <c r="C29" s="1498"/>
      <c r="D29" s="486"/>
      <c r="E29" s="486"/>
      <c r="F29" s="1310">
        <f t="shared" si="0"/>
        <v>0</v>
      </c>
      <c r="G29" s="486"/>
      <c r="H29" s="1127">
        <f>'Prod.1.1.'!F17</f>
        <v>0</v>
      </c>
      <c r="I29" s="1127">
        <f>'Prod.1.1.'!G17</f>
        <v>2967.47</v>
      </c>
      <c r="J29" s="1127">
        <f>ROUND(G29*ROUND(H29*'Prod.1.1.'!S$8,2),0)+ROUND(G29*ROUND(I29*'Prod.1.1.'!T$8,2),0)</f>
        <v>0</v>
      </c>
    </row>
    <row r="30" spans="1:10" ht="12.75" customHeight="1">
      <c r="A30" s="898">
        <f t="shared" si="1"/>
        <v>1114</v>
      </c>
      <c r="B30" s="1497" t="s">
        <v>44</v>
      </c>
      <c r="C30" s="1498"/>
      <c r="D30" s="486"/>
      <c r="E30" s="486"/>
      <c r="F30" s="1310">
        <f t="shared" si="0"/>
        <v>0</v>
      </c>
      <c r="G30" s="486"/>
      <c r="H30" s="1127">
        <f>'Prod.1.1.'!F18</f>
        <v>174.32</v>
      </c>
      <c r="I30" s="1127">
        <f>'Prod.1.1.'!G18</f>
        <v>136.55</v>
      </c>
      <c r="J30" s="1127">
        <f>ROUND(G30*ROUND(H30*'Prod.1.1.'!S$8,2),0)+ROUND(G30*ROUND(I30*'Prod.1.1.'!T$8,2),0)</f>
        <v>0</v>
      </c>
    </row>
    <row r="31" spans="1:10" ht="12.75" customHeight="1">
      <c r="A31" s="898">
        <f t="shared" si="1"/>
        <v>1115</v>
      </c>
      <c r="B31" s="1497" t="s">
        <v>715</v>
      </c>
      <c r="C31" s="1498"/>
      <c r="D31" s="486"/>
      <c r="E31" s="486"/>
      <c r="F31" s="1310">
        <f t="shared" si="0"/>
        <v>0</v>
      </c>
      <c r="G31" s="486"/>
      <c r="H31" s="1127">
        <f>'Prod.1.1.'!F19</f>
        <v>17.8</v>
      </c>
      <c r="I31" s="1127">
        <f>'Prod.1.1.'!G19</f>
        <v>79.87</v>
      </c>
      <c r="J31" s="1127">
        <f>ROUND(G31*ROUND(H31*'Prod.1.1.'!S$8,2),0)+ROUND(G31*ROUND(I31*'Prod.1.1.'!T$8,2),0)</f>
        <v>0</v>
      </c>
    </row>
    <row r="32" spans="1:10" ht="12.75" customHeight="1">
      <c r="A32" s="898">
        <f t="shared" si="1"/>
        <v>1116</v>
      </c>
      <c r="B32" s="1497" t="s">
        <v>45</v>
      </c>
      <c r="C32" s="1498"/>
      <c r="D32" s="486"/>
      <c r="E32" s="486"/>
      <c r="F32" s="1310">
        <f t="shared" si="0"/>
        <v>0</v>
      </c>
      <c r="G32" s="486"/>
      <c r="H32" s="1127">
        <f>'Prod.1.1.'!F20</f>
        <v>174.32</v>
      </c>
      <c r="I32" s="1127">
        <f>'Prod.1.1.'!G20</f>
        <v>196.53</v>
      </c>
      <c r="J32" s="1127">
        <f>ROUND(G32*ROUND(H32*'Prod.1.1.'!S$8,2),0)+ROUND(G32*ROUND(I32*'Prod.1.1.'!T$8,2),0)</f>
        <v>0</v>
      </c>
    </row>
    <row r="33" spans="1:10" ht="12.75" customHeight="1">
      <c r="A33" s="898">
        <f t="shared" si="1"/>
        <v>1117</v>
      </c>
      <c r="B33" s="1497" t="s">
        <v>716</v>
      </c>
      <c r="C33" s="1498"/>
      <c r="D33" s="486"/>
      <c r="E33" s="486"/>
      <c r="F33" s="1310">
        <f t="shared" si="0"/>
        <v>0</v>
      </c>
      <c r="G33" s="486"/>
      <c r="H33" s="1127">
        <f>'Prod.1.1.'!F21</f>
        <v>17.8</v>
      </c>
      <c r="I33" s="1127">
        <f>'Prod.1.1.'!G21</f>
        <v>100.3</v>
      </c>
      <c r="J33" s="1127">
        <f>ROUND(G33*ROUND(H33*'Prod.1.1.'!S$8,2),0)+ROUND(G33*ROUND(I33*'Prod.1.1.'!T$8,2),0)</f>
        <v>0</v>
      </c>
    </row>
    <row r="34" spans="1:10" ht="12.75" customHeight="1">
      <c r="A34" s="898">
        <f t="shared" si="1"/>
        <v>1118</v>
      </c>
      <c r="B34" s="1497" t="s">
        <v>46</v>
      </c>
      <c r="C34" s="1498"/>
      <c r="D34" s="486"/>
      <c r="E34" s="486"/>
      <c r="F34" s="1310">
        <f t="shared" si="0"/>
        <v>0</v>
      </c>
      <c r="G34" s="486"/>
      <c r="H34" s="1127">
        <f>'Prod.1.1.'!F22</f>
        <v>106.07</v>
      </c>
      <c r="I34" s="1127">
        <f>'Prod.1.1.'!G22</f>
        <v>111.02</v>
      </c>
      <c r="J34" s="1127">
        <f>ROUND(G34*ROUND(H34*'Prod.1.1.'!S$8,2),0)+ROUND(G34*ROUND(I34*'Prod.1.1.'!T$8,2),0)</f>
        <v>0</v>
      </c>
    </row>
    <row r="35" spans="1:10" ht="12.75" customHeight="1">
      <c r="A35" s="898">
        <f t="shared" si="1"/>
        <v>1119</v>
      </c>
      <c r="B35" s="1497" t="s">
        <v>47</v>
      </c>
      <c r="C35" s="1498"/>
      <c r="D35" s="486"/>
      <c r="E35" s="486"/>
      <c r="F35" s="1310">
        <f t="shared" si="0"/>
        <v>0</v>
      </c>
      <c r="G35" s="486"/>
      <c r="H35" s="1127">
        <f>'Prod.1.1.'!F23</f>
        <v>106.07</v>
      </c>
      <c r="I35" s="1127">
        <f>'Prod.1.1.'!G23</f>
        <v>172.28</v>
      </c>
      <c r="J35" s="1127">
        <f>ROUND(G35*ROUND(H35*'Prod.1.1.'!S$8,2),0)+ROUND(G35*ROUND(I35*'Prod.1.1.'!T$8,2),0)</f>
        <v>0</v>
      </c>
    </row>
    <row r="36" spans="1:10" ht="12.75" customHeight="1">
      <c r="A36" s="898">
        <f t="shared" si="1"/>
        <v>1120</v>
      </c>
      <c r="B36" s="1497" t="s">
        <v>48</v>
      </c>
      <c r="C36" s="1498"/>
      <c r="D36" s="486"/>
      <c r="E36" s="486"/>
      <c r="F36" s="1310">
        <f t="shared" si="0"/>
        <v>0</v>
      </c>
      <c r="G36" s="486"/>
      <c r="H36" s="1127">
        <f>'Prod.1.1.'!F24</f>
        <v>248.7</v>
      </c>
      <c r="I36" s="1127">
        <f>'Prod.1.1.'!G24</f>
        <v>111.02</v>
      </c>
      <c r="J36" s="1127">
        <f>ROUND(G36*ROUND(H36*'Prod.1.1.'!S$8,2),0)+ROUND(G36*ROUND(I36*'Prod.1.1.'!T$8,2),0)</f>
        <v>0</v>
      </c>
    </row>
    <row r="37" spans="1:10" ht="12.75" customHeight="1">
      <c r="A37" s="898">
        <f t="shared" si="1"/>
        <v>1121</v>
      </c>
      <c r="B37" s="1497" t="s">
        <v>49</v>
      </c>
      <c r="C37" s="1498"/>
      <c r="D37" s="486"/>
      <c r="E37" s="486"/>
      <c r="F37" s="1310">
        <f t="shared" si="0"/>
        <v>0</v>
      </c>
      <c r="G37" s="486"/>
      <c r="H37" s="1127">
        <f>'Prod.1.1.'!F25</f>
        <v>248.7</v>
      </c>
      <c r="I37" s="1127">
        <f>'Prod.1.1.'!G25</f>
        <v>172.28</v>
      </c>
      <c r="J37" s="1127">
        <f>ROUND(G37*ROUND(H37*'Prod.1.1.'!S$8,2),0)+ROUND(G37*ROUND(I37*'Prod.1.1.'!T$8,2),0)</f>
        <v>0</v>
      </c>
    </row>
    <row r="38" spans="1:10" ht="12.75" customHeight="1">
      <c r="A38" s="898">
        <f t="shared" si="1"/>
        <v>1122</v>
      </c>
      <c r="B38" s="1497" t="s">
        <v>717</v>
      </c>
      <c r="C38" s="1498"/>
      <c r="D38" s="486"/>
      <c r="E38" s="486"/>
      <c r="F38" s="1310">
        <f t="shared" si="0"/>
        <v>0</v>
      </c>
      <c r="G38" s="486"/>
      <c r="H38" s="1127">
        <f>'Prod.1.1.'!F26</f>
        <v>17.8</v>
      </c>
      <c r="I38" s="1127">
        <f>'Prod.1.1.'!G26</f>
        <v>89.63</v>
      </c>
      <c r="J38" s="1127">
        <f>ROUND(G38*ROUND(H38*'Prod.1.1.'!S$8,2),0)+ROUND(G38*ROUND(I38*'Prod.1.1.'!T$8,2),0)</f>
        <v>0</v>
      </c>
    </row>
    <row r="39" spans="1:10" ht="12">
      <c r="A39" s="898">
        <f t="shared" si="1"/>
        <v>1123</v>
      </c>
      <c r="B39" s="1497" t="s">
        <v>718</v>
      </c>
      <c r="C39" s="1498"/>
      <c r="D39" s="486"/>
      <c r="E39" s="486"/>
      <c r="F39" s="1310">
        <f t="shared" si="0"/>
        <v>0</v>
      </c>
      <c r="G39" s="486"/>
      <c r="H39" s="1127">
        <f>'Prod.1.1.'!F27</f>
        <v>17.8</v>
      </c>
      <c r="I39" s="1127">
        <f>'Prod.1.1.'!G27</f>
        <v>110.04</v>
      </c>
      <c r="J39" s="1127">
        <f>ROUND(G39*ROUND(H39*'Prod.1.1.'!S$8,2),0)+ROUND(G39*ROUND(I39*'Prod.1.1.'!T$8,2),0)</f>
        <v>0</v>
      </c>
    </row>
    <row r="40" spans="1:10" ht="12.75">
      <c r="A40" s="898">
        <f t="shared" si="1"/>
        <v>1124</v>
      </c>
      <c r="B40" s="1493" t="s">
        <v>389</v>
      </c>
      <c r="C40" s="1494"/>
      <c r="D40"/>
      <c r="E40"/>
      <c r="F40" s="797"/>
      <c r="G40"/>
      <c r="H40"/>
      <c r="I40"/>
      <c r="J40" s="1166">
        <f>SUM(J22:J39)</f>
        <v>0</v>
      </c>
    </row>
    <row r="41" spans="2:11" ht="12.75">
      <c r="B41"/>
      <c r="C41"/>
      <c r="D41"/>
      <c r="E41"/>
      <c r="F41" s="797"/>
      <c r="G41"/>
      <c r="H41"/>
      <c r="I41"/>
      <c r="J41" s="797"/>
      <c r="K41"/>
    </row>
    <row r="42" spans="1:11" ht="12.75">
      <c r="A42" s="1311" t="s">
        <v>149</v>
      </c>
      <c r="B42" s="458"/>
      <c r="C42" s="458"/>
      <c r="D42" s="1018"/>
      <c r="E42"/>
      <c r="F42" s="797"/>
      <c r="G42"/>
      <c r="H42"/>
      <c r="I42"/>
      <c r="J42" s="797"/>
      <c r="K42"/>
    </row>
    <row r="43" spans="2:13" ht="12">
      <c r="B43" s="870"/>
      <c r="L43" s="899"/>
      <c r="M43" s="899"/>
    </row>
    <row r="44" spans="1:13" ht="12">
      <c r="A44" s="456"/>
      <c r="F44" s="458"/>
      <c r="G44" s="458"/>
      <c r="H44" s="458"/>
      <c r="I44" s="458"/>
      <c r="J44" s="456"/>
      <c r="K44" s="454"/>
      <c r="L44" s="1140"/>
      <c r="M44" s="1140"/>
    </row>
    <row r="45" spans="2:13" ht="12">
      <c r="B45" s="1026"/>
      <c r="C45" s="870"/>
      <c r="D45" s="870"/>
      <c r="E45" s="870"/>
      <c r="F45" s="870"/>
      <c r="L45" s="899"/>
      <c r="M45" s="1007"/>
    </row>
  </sheetData>
  <sheetProtection password="CCBC" sheet="1" objects="1" scenarios="1"/>
  <mergeCells count="22">
    <mergeCell ref="B37:C37"/>
    <mergeCell ref="B38:C38"/>
    <mergeCell ref="B39:C39"/>
    <mergeCell ref="B33:C33"/>
    <mergeCell ref="B34:C34"/>
    <mergeCell ref="B35:C35"/>
    <mergeCell ref="B36:C36"/>
    <mergeCell ref="B30:C30"/>
    <mergeCell ref="B31:C31"/>
    <mergeCell ref="B32:C32"/>
    <mergeCell ref="B28:C28"/>
    <mergeCell ref="B29:C29"/>
    <mergeCell ref="B40:C40"/>
    <mergeCell ref="H15:I15"/>
    <mergeCell ref="B25:C25"/>
    <mergeCell ref="B26:C26"/>
    <mergeCell ref="B27:C27"/>
    <mergeCell ref="D15:E15"/>
    <mergeCell ref="B21:C21"/>
    <mergeCell ref="B22:C22"/>
    <mergeCell ref="B23:C23"/>
    <mergeCell ref="B24:C24"/>
  </mergeCells>
  <conditionalFormatting sqref="F11:F12 D21:E39 F10:M10 G21:G39">
    <cfRule type="expression" priority="1" dxfId="0" stopIfTrue="1">
      <formula>$G$2=TRUE</formula>
    </cfRule>
  </conditionalFormatting>
  <printOptions/>
  <pageMargins left="0.3937007874015748" right="0.3937007874015748" top="0.1968503937007874" bottom="0.1968503937007874" header="0.03937007874015748" footer="0.11811023622047245"/>
  <pageSetup fitToHeight="1" fitToWidth="1" horizontalDpi="1200" verticalDpi="1200" orientation="landscape" paperSize="9" scale="83" r:id="rId2"/>
  <drawing r:id="rId1"/>
</worksheet>
</file>

<file path=xl/worksheets/sheet9.xml><?xml version="1.0" encoding="utf-8"?>
<worksheet xmlns="http://schemas.openxmlformats.org/spreadsheetml/2006/main" xmlns:r="http://schemas.openxmlformats.org/officeDocument/2006/relationships">
  <sheetPr codeName="Blad8"/>
  <dimension ref="A1:J57"/>
  <sheetViews>
    <sheetView showGridLines="0" showRowColHeaders="0" showZeros="0" showOutlineSymbols="0" view="pageBreakPreview" zoomScale="75" zoomScaleNormal="75" zoomScaleSheetLayoutView="75" workbookViewId="0" topLeftCell="A1">
      <selection activeCell="C10" sqref="C10"/>
    </sheetView>
  </sheetViews>
  <sheetFormatPr defaultColWidth="9.140625" defaultRowHeight="12.75"/>
  <cols>
    <col min="1" max="1" width="5.28125" style="892" customWidth="1"/>
    <col min="2" max="2" width="50.7109375" style="560" customWidth="1"/>
    <col min="3" max="3" width="14.7109375" style="560" customWidth="1"/>
    <col min="4" max="4" width="14.7109375" style="925" customWidth="1"/>
    <col min="5" max="7" width="14.7109375" style="560" customWidth="1"/>
    <col min="8" max="16384" width="9.140625" style="560" customWidth="1"/>
  </cols>
  <sheetData>
    <row r="1" spans="2:10" ht="12">
      <c r="B1" s="912"/>
      <c r="C1" s="458"/>
      <c r="D1" s="458"/>
      <c r="E1" s="558"/>
      <c r="F1" s="458"/>
      <c r="G1" s="458"/>
      <c r="H1" s="456"/>
      <c r="I1" s="454"/>
      <c r="J1" s="454"/>
    </row>
    <row r="2" spans="1:8" ht="15.75" customHeight="1">
      <c r="A2" s="1055" t="str">
        <f>CONCATENATE("Nacalculatieformulier ",Voorblad!D3)</f>
        <v>Nacalculatieformulier 2005</v>
      </c>
      <c r="B2" s="911"/>
      <c r="C2" s="593"/>
      <c r="D2" s="593"/>
      <c r="E2" s="593"/>
      <c r="F2" s="593"/>
      <c r="G2" s="1365" t="b">
        <f>Voorblad!D30</f>
        <v>1</v>
      </c>
      <c r="H2" s="592">
        <f>'Prod.1.3'!M2+1</f>
        <v>12</v>
      </c>
    </row>
    <row r="3" ht="12"/>
    <row r="5" spans="1:7" ht="12">
      <c r="A5" s="849" t="s">
        <v>203</v>
      </c>
      <c r="B5" s="849" t="s">
        <v>202</v>
      </c>
      <c r="C5" s="927" t="s">
        <v>238</v>
      </c>
      <c r="D5" s="928" t="s">
        <v>239</v>
      </c>
      <c r="E5" s="929" t="s">
        <v>240</v>
      </c>
      <c r="F5" s="875" t="s">
        <v>617</v>
      </c>
      <c r="G5" s="875" t="s">
        <v>241</v>
      </c>
    </row>
    <row r="6" spans="3:7" ht="12">
      <c r="C6" s="930" t="s">
        <v>20</v>
      </c>
      <c r="D6" s="931" t="s">
        <v>21</v>
      </c>
      <c r="E6" s="932" t="s">
        <v>696</v>
      </c>
      <c r="F6" s="933">
        <f>E7</f>
        <v>2005</v>
      </c>
      <c r="G6" s="933">
        <f>E7</f>
        <v>2005</v>
      </c>
    </row>
    <row r="7" spans="3:7" ht="12">
      <c r="C7" s="934">
        <f>Voorblad!D3</f>
        <v>2005</v>
      </c>
      <c r="D7" s="935" t="str">
        <f>CONCATENATE("budget ",Voorblad!D3,"")</f>
        <v>budget 2005</v>
      </c>
      <c r="E7" s="936">
        <f>C7</f>
        <v>2005</v>
      </c>
      <c r="F7" s="896" t="s">
        <v>59</v>
      </c>
      <c r="G7" s="896"/>
    </row>
    <row r="10" spans="1:7" ht="12">
      <c r="A10" s="988">
        <f>(100*H2)+1</f>
        <v>1201</v>
      </c>
      <c r="B10" s="827" t="s">
        <v>747</v>
      </c>
      <c r="C10" s="433"/>
      <c r="D10" s="1358">
        <v>1</v>
      </c>
      <c r="E10" s="1107">
        <f>ROUND(C10*D10,0)</f>
        <v>0</v>
      </c>
      <c r="F10" s="433"/>
      <c r="G10" s="883">
        <f>E10-F10</f>
        <v>0</v>
      </c>
    </row>
    <row r="11" ht="12">
      <c r="A11" s="1396"/>
    </row>
    <row r="12" spans="1:7" ht="12">
      <c r="A12" s="988">
        <f>A10+1</f>
        <v>1202</v>
      </c>
      <c r="B12" s="827" t="s">
        <v>161</v>
      </c>
      <c r="C12" s="433"/>
      <c r="D12" s="1221"/>
      <c r="E12" s="1107">
        <f>ROUND(C12*D12,0)</f>
        <v>0</v>
      </c>
      <c r="F12" s="433"/>
      <c r="G12" s="883">
        <f>E12-F12</f>
        <v>0</v>
      </c>
    </row>
    <row r="13" spans="1:7" ht="12">
      <c r="A13" s="988">
        <f>A12+1</f>
        <v>1203</v>
      </c>
      <c r="B13" s="827" t="s">
        <v>162</v>
      </c>
      <c r="C13" s="433"/>
      <c r="D13" s="1221"/>
      <c r="E13" s="1107">
        <f>ROUND(C13*D13,0)</f>
        <v>0</v>
      </c>
      <c r="F13" s="433"/>
      <c r="G13" s="883">
        <f aca="true" t="shared" si="0" ref="G13:G23">E13-F13</f>
        <v>0</v>
      </c>
    </row>
    <row r="14" spans="1:7" ht="12">
      <c r="A14" s="988">
        <f>A13+1</f>
        <v>1204</v>
      </c>
      <c r="B14" s="827" t="s">
        <v>163</v>
      </c>
      <c r="C14" s="433"/>
      <c r="D14" s="1221"/>
      <c r="E14" s="1107">
        <f>ROUND(C14*D14,0)</f>
        <v>0</v>
      </c>
      <c r="F14" s="433"/>
      <c r="G14" s="883">
        <f t="shared" si="0"/>
        <v>0</v>
      </c>
    </row>
    <row r="15" spans="1:7" ht="12">
      <c r="A15" s="988">
        <f>A14+1</f>
        <v>1205</v>
      </c>
      <c r="B15" s="827" t="s">
        <v>164</v>
      </c>
      <c r="C15" s="433"/>
      <c r="D15" s="1221"/>
      <c r="E15" s="1107">
        <f>ROUND(C15*D15,0)</f>
        <v>0</v>
      </c>
      <c r="F15" s="433"/>
      <c r="G15" s="883">
        <f t="shared" si="0"/>
        <v>0</v>
      </c>
    </row>
    <row r="16" spans="1:7" ht="12">
      <c r="A16" s="988">
        <f aca="true" t="shared" si="1" ref="A16:A23">A15+1</f>
        <v>1206</v>
      </c>
      <c r="B16" s="827" t="s">
        <v>165</v>
      </c>
      <c r="C16" s="433"/>
      <c r="D16" s="1221"/>
      <c r="E16" s="1107">
        <f aca="true" t="shared" si="2" ref="E16:E30">ROUND(C16*D16,0)</f>
        <v>0</v>
      </c>
      <c r="F16" s="433"/>
      <c r="G16" s="883">
        <f t="shared" si="0"/>
        <v>0</v>
      </c>
    </row>
    <row r="17" spans="1:7" ht="12">
      <c r="A17" s="988">
        <f t="shared" si="1"/>
        <v>1207</v>
      </c>
      <c r="B17" s="827" t="s">
        <v>166</v>
      </c>
      <c r="C17" s="433"/>
      <c r="D17" s="1221"/>
      <c r="E17" s="1107">
        <f t="shared" si="2"/>
        <v>0</v>
      </c>
      <c r="F17" s="433"/>
      <c r="G17" s="883">
        <f t="shared" si="0"/>
        <v>0</v>
      </c>
    </row>
    <row r="18" spans="1:7" ht="12">
      <c r="A18" s="988">
        <f t="shared" si="1"/>
        <v>1208</v>
      </c>
      <c r="B18" s="827" t="s">
        <v>167</v>
      </c>
      <c r="C18" s="433"/>
      <c r="D18" s="1221"/>
      <c r="E18" s="1107">
        <f t="shared" si="2"/>
        <v>0</v>
      </c>
      <c r="F18" s="433"/>
      <c r="G18" s="883">
        <f t="shared" si="0"/>
        <v>0</v>
      </c>
    </row>
    <row r="19" spans="1:7" ht="12" customHeight="1">
      <c r="A19" s="988">
        <f t="shared" si="1"/>
        <v>1209</v>
      </c>
      <c r="B19" s="827" t="s">
        <v>168</v>
      </c>
      <c r="C19" s="433"/>
      <c r="D19" s="1221"/>
      <c r="E19" s="1107">
        <f t="shared" si="2"/>
        <v>0</v>
      </c>
      <c r="F19" s="433"/>
      <c r="G19" s="883">
        <f t="shared" si="0"/>
        <v>0</v>
      </c>
    </row>
    <row r="20" spans="1:7" ht="12">
      <c r="A20" s="988">
        <f t="shared" si="1"/>
        <v>1210</v>
      </c>
      <c r="B20" s="827" t="s">
        <v>169</v>
      </c>
      <c r="C20" s="433"/>
      <c r="D20" s="1221"/>
      <c r="E20" s="1107">
        <f t="shared" si="2"/>
        <v>0</v>
      </c>
      <c r="F20" s="433"/>
      <c r="G20" s="883">
        <f t="shared" si="0"/>
        <v>0</v>
      </c>
    </row>
    <row r="21" spans="1:7" ht="12">
      <c r="A21" s="988">
        <f t="shared" si="1"/>
        <v>1211</v>
      </c>
      <c r="B21" s="827" t="s">
        <v>170</v>
      </c>
      <c r="C21" s="433"/>
      <c r="D21" s="1221"/>
      <c r="E21" s="1107">
        <f t="shared" si="2"/>
        <v>0</v>
      </c>
      <c r="F21" s="433"/>
      <c r="G21" s="883">
        <f t="shared" si="0"/>
        <v>0</v>
      </c>
    </row>
    <row r="22" spans="1:7" ht="12">
      <c r="A22" s="988">
        <f t="shared" si="1"/>
        <v>1212</v>
      </c>
      <c r="B22" s="827" t="s">
        <v>171</v>
      </c>
      <c r="C22" s="433"/>
      <c r="D22" s="1221"/>
      <c r="E22" s="1107">
        <f>ROUND(C22*D22,0)</f>
        <v>0</v>
      </c>
      <c r="F22" s="433"/>
      <c r="G22" s="883">
        <f t="shared" si="0"/>
        <v>0</v>
      </c>
    </row>
    <row r="23" spans="1:7" ht="12">
      <c r="A23" s="988">
        <f t="shared" si="1"/>
        <v>1213</v>
      </c>
      <c r="B23" s="827" t="s">
        <v>172</v>
      </c>
      <c r="C23" s="433"/>
      <c r="D23" s="1221"/>
      <c r="E23" s="1107">
        <f t="shared" si="2"/>
        <v>0</v>
      </c>
      <c r="F23" s="433"/>
      <c r="G23" s="883">
        <f t="shared" si="0"/>
        <v>0</v>
      </c>
    </row>
    <row r="24" spans="1:7" ht="12">
      <c r="A24" s="988">
        <f aca="true" t="shared" si="3" ref="A24:A30">A23+1</f>
        <v>1214</v>
      </c>
      <c r="B24" s="827" t="s">
        <v>173</v>
      </c>
      <c r="C24" s="433"/>
      <c r="D24" s="1275">
        <v>1</v>
      </c>
      <c r="E24" s="1107">
        <f t="shared" si="2"/>
        <v>0</v>
      </c>
      <c r="F24" s="433"/>
      <c r="G24" s="883">
        <f aca="true" t="shared" si="4" ref="G24:G30">E24-F24</f>
        <v>0</v>
      </c>
    </row>
    <row r="25" spans="1:7" ht="12">
      <c r="A25" s="988">
        <f t="shared" si="3"/>
        <v>1215</v>
      </c>
      <c r="B25" s="827" t="s">
        <v>160</v>
      </c>
      <c r="C25" s="433"/>
      <c r="D25" s="1275">
        <v>1</v>
      </c>
      <c r="E25" s="1107">
        <f t="shared" si="2"/>
        <v>0</v>
      </c>
      <c r="F25" s="433"/>
      <c r="G25" s="883">
        <f t="shared" si="4"/>
        <v>0</v>
      </c>
    </row>
    <row r="26" spans="1:7" ht="12">
      <c r="A26" s="988">
        <f t="shared" si="3"/>
        <v>1216</v>
      </c>
      <c r="B26" s="827" t="s">
        <v>174</v>
      </c>
      <c r="C26" s="433"/>
      <c r="D26" s="1221"/>
      <c r="E26" s="1107">
        <f>ROUND(C26*D26,0)</f>
        <v>0</v>
      </c>
      <c r="F26" s="433"/>
      <c r="G26" s="883">
        <f t="shared" si="4"/>
        <v>0</v>
      </c>
    </row>
    <row r="27" spans="1:7" ht="12">
      <c r="A27" s="988">
        <f t="shared" si="3"/>
        <v>1217</v>
      </c>
      <c r="B27" s="827" t="s">
        <v>175</v>
      </c>
      <c r="C27" s="433"/>
      <c r="D27" s="1221"/>
      <c r="E27" s="1107">
        <f>ROUND(C27*D27,0)</f>
        <v>0</v>
      </c>
      <c r="F27" s="433"/>
      <c r="G27" s="883">
        <f t="shared" si="4"/>
        <v>0</v>
      </c>
    </row>
    <row r="28" spans="1:7" ht="12">
      <c r="A28" s="988">
        <f>A27+1</f>
        <v>1218</v>
      </c>
      <c r="B28" s="827" t="s">
        <v>176</v>
      </c>
      <c r="C28" s="433"/>
      <c r="D28" s="1221"/>
      <c r="E28" s="1107">
        <f>ROUND(C28*D28,0)</f>
        <v>0</v>
      </c>
      <c r="F28" s="433"/>
      <c r="G28" s="883">
        <f>E28-F28</f>
        <v>0</v>
      </c>
    </row>
    <row r="29" spans="1:7" ht="12">
      <c r="A29" s="988">
        <f>A28+1</f>
        <v>1219</v>
      </c>
      <c r="B29" s="827" t="s">
        <v>177</v>
      </c>
      <c r="C29" s="433"/>
      <c r="D29" s="1221"/>
      <c r="E29" s="1107">
        <f>ROUND(C29*D29,0)</f>
        <v>0</v>
      </c>
      <c r="F29" s="433"/>
      <c r="G29" s="883">
        <f t="shared" si="4"/>
        <v>0</v>
      </c>
    </row>
    <row r="30" spans="1:7" ht="12">
      <c r="A30" s="988">
        <f t="shared" si="3"/>
        <v>1220</v>
      </c>
      <c r="B30" s="827" t="s">
        <v>178</v>
      </c>
      <c r="C30" s="433"/>
      <c r="D30" s="1221"/>
      <c r="E30" s="1107">
        <f t="shared" si="2"/>
        <v>0</v>
      </c>
      <c r="F30" s="433"/>
      <c r="G30" s="883">
        <f t="shared" si="4"/>
        <v>0</v>
      </c>
    </row>
    <row r="31" spans="1:7" ht="12">
      <c r="A31" s="988">
        <f>A30+1</f>
        <v>1221</v>
      </c>
      <c r="B31" s="827" t="s">
        <v>14</v>
      </c>
      <c r="C31" s="433"/>
      <c r="D31" s="1221"/>
      <c r="E31" s="1107">
        <f>ROUND(C31*D31,0)</f>
        <v>0</v>
      </c>
      <c r="F31" s="433"/>
      <c r="G31" s="883">
        <f>E31-F31</f>
        <v>0</v>
      </c>
    </row>
    <row r="32" spans="1:7" ht="12" customHeight="1">
      <c r="A32" s="988">
        <f>A31+1</f>
        <v>1222</v>
      </c>
      <c r="B32" s="1363" t="s">
        <v>448</v>
      </c>
      <c r="C32" s="433"/>
      <c r="D32" s="1221"/>
      <c r="E32" s="1107">
        <f>ROUND(C32*D32,0)</f>
        <v>0</v>
      </c>
      <c r="F32" s="433"/>
      <c r="G32" s="883">
        <f>E32-F32</f>
        <v>0</v>
      </c>
    </row>
    <row r="33" spans="1:7" ht="12">
      <c r="A33" s="1396"/>
      <c r="C33" s="836"/>
      <c r="D33" s="926"/>
      <c r="E33" s="454"/>
      <c r="F33" s="836"/>
      <c r="G33" s="836"/>
    </row>
    <row r="34" spans="1:7" ht="12">
      <c r="A34" s="988">
        <f>A32+1</f>
        <v>1223</v>
      </c>
      <c r="B34" s="953" t="s">
        <v>389</v>
      </c>
      <c r="C34" s="1010">
        <f>SUM(C10:C33)</f>
        <v>0</v>
      </c>
      <c r="E34" s="1010">
        <f>SUM(E10:E33)</f>
        <v>0</v>
      </c>
      <c r="F34" s="1010">
        <f>SUM(F10:F33)</f>
        <v>0</v>
      </c>
      <c r="G34" s="1010">
        <f>SUM(G10:G33)</f>
        <v>0</v>
      </c>
    </row>
    <row r="35" spans="1:2" ht="12">
      <c r="A35" s="1012" t="s">
        <v>570</v>
      </c>
      <c r="B35" s="1012"/>
    </row>
    <row r="36" spans="1:2" ht="12">
      <c r="A36" s="1012" t="s">
        <v>188</v>
      </c>
      <c r="B36" s="1012"/>
    </row>
    <row r="37" spans="1:2" ht="12">
      <c r="A37" s="1012" t="s">
        <v>648</v>
      </c>
      <c r="B37" s="1012"/>
    </row>
    <row r="38" spans="1:4" ht="12">
      <c r="A38" s="1012" t="s">
        <v>179</v>
      </c>
      <c r="B38" s="1012"/>
      <c r="D38" s="560"/>
    </row>
    <row r="40" spans="1:7" ht="12">
      <c r="A40" s="849" t="s">
        <v>201</v>
      </c>
      <c r="B40" s="849" t="s">
        <v>432</v>
      </c>
      <c r="D40" s="1005" t="s">
        <v>443</v>
      </c>
      <c r="E40" s="1005" t="s">
        <v>53</v>
      </c>
      <c r="F40" s="875" t="s">
        <v>617</v>
      </c>
      <c r="G40" s="875" t="s">
        <v>474</v>
      </c>
    </row>
    <row r="41" spans="1:7" ht="12">
      <c r="A41" s="560"/>
      <c r="B41" s="892"/>
      <c r="D41" s="1006" t="s">
        <v>578</v>
      </c>
      <c r="E41" s="1006" t="s">
        <v>54</v>
      </c>
      <c r="F41" s="896">
        <f>C7</f>
        <v>2005</v>
      </c>
      <c r="G41" s="1006"/>
    </row>
    <row r="42" spans="1:7" ht="12">
      <c r="A42" s="560"/>
      <c r="B42" s="892"/>
      <c r="D42" s="560"/>
      <c r="E42" s="836"/>
      <c r="F42" s="836"/>
      <c r="G42" s="836"/>
    </row>
    <row r="43" spans="1:7" ht="12">
      <c r="A43" s="988">
        <f>A34+1</f>
        <v>1224</v>
      </c>
      <c r="B43" s="910" t="str">
        <f>(CONCATENATE("Overeengekomen bedrag ",Voorblad!D3,""))</f>
        <v>Overeengekomen bedrag 2005</v>
      </c>
      <c r="C43" s="940"/>
      <c r="D43" s="1147">
        <f>0.05*'Prod.1.2'!J44</f>
        <v>0</v>
      </c>
      <c r="E43" s="433"/>
      <c r="F43" s="433"/>
      <c r="G43" s="1010">
        <f>E43-F43</f>
        <v>0</v>
      </c>
    </row>
    <row r="44" spans="1:4" ht="12">
      <c r="A44" s="560"/>
      <c r="B44" s="1146"/>
      <c r="D44" s="847"/>
    </row>
    <row r="45" spans="1:4" ht="12">
      <c r="A45" s="560"/>
      <c r="B45" s="892"/>
      <c r="D45" s="847"/>
    </row>
    <row r="46" spans="1:7" ht="36" customHeight="1">
      <c r="A46" s="1501" t="str">
        <f>CONCATENATE("* Hiervoor kon in ",Voorblad!D3," maximaal 5% van het variabele FB-deel van ",Voorblad!D3," (incl. 1e lijn) additioneel in het budget worden opgenomen. Hieronder kunt u het definitief overeengekomen bedrag ",Voorblad!D3," opgeven. Indien u hier andere projecten heeft verantwoord dan welke bij de voorlopige aanvraag zijn ingediend, dient u deze projecten alsnog bij het CTG aan te melden.")</f>
        <v>* Hiervoor kon in 2005 maximaal 5% van het variabele FB-deel van 2005 (incl. 1e lijn) additioneel in het budget worden opgenomen. Hieronder kunt u het definitief overeengekomen bedrag 2005 opgeven. Indien u hier andere projecten heeft verantwoord dan welke bij de voorlopige aanvraag zijn ingediend, dient u deze projecten alsnog bij het CTG aan te melden.</v>
      </c>
      <c r="B46" s="1501"/>
      <c r="C46" s="1501"/>
      <c r="D46" s="1501"/>
      <c r="E46" s="1501"/>
      <c r="F46" s="1501"/>
      <c r="G46" s="1501"/>
    </row>
    <row r="47" spans="1:4" ht="12">
      <c r="A47" s="560"/>
      <c r="B47" s="1146"/>
      <c r="D47" s="847"/>
    </row>
    <row r="48" spans="1:4" ht="12">
      <c r="A48" s="560"/>
      <c r="B48" s="892"/>
      <c r="D48" s="847"/>
    </row>
    <row r="49" spans="1:7" s="964" customFormat="1" ht="12">
      <c r="A49" s="985"/>
      <c r="B49" s="985"/>
      <c r="C49" s="1266"/>
      <c r="D49" s="985"/>
      <c r="E49" s="985"/>
      <c r="F49" s="1170"/>
      <c r="G49" s="1170"/>
    </row>
    <row r="50" spans="2:7" s="964" customFormat="1" ht="12">
      <c r="B50" s="944"/>
      <c r="C50" s="1267"/>
      <c r="D50" s="985"/>
      <c r="E50" s="985"/>
      <c r="F50" s="1267"/>
      <c r="G50" s="1267"/>
    </row>
    <row r="51" s="964" customFormat="1" ht="12">
      <c r="B51" s="944"/>
    </row>
    <row r="52" spans="1:3" s="964" customFormat="1" ht="12">
      <c r="A52" s="944"/>
      <c r="B52" s="1268"/>
      <c r="C52" s="1265"/>
    </row>
    <row r="53" spans="1:4" s="964" customFormat="1" ht="12">
      <c r="A53" s="944"/>
      <c r="D53" s="1269"/>
    </row>
    <row r="54" spans="1:7" s="964" customFormat="1" ht="12">
      <c r="A54" s="944"/>
      <c r="B54" s="944"/>
      <c r="C54" s="944"/>
      <c r="D54" s="944"/>
      <c r="E54" s="944"/>
      <c r="F54" s="944"/>
      <c r="G54" s="1270"/>
    </row>
    <row r="55" spans="5:7" s="964" customFormat="1" ht="12">
      <c r="E55" s="1271"/>
      <c r="F55" s="868"/>
      <c r="G55" s="868"/>
    </row>
    <row r="56" spans="5:7" s="964" customFormat="1" ht="12">
      <c r="E56" s="1271"/>
      <c r="F56" s="868"/>
      <c r="G56" s="868"/>
    </row>
    <row r="57" spans="1:4" s="964" customFormat="1" ht="12">
      <c r="A57" s="944"/>
      <c r="D57" s="1269"/>
    </row>
  </sheetData>
  <sheetProtection password="CCBC" sheet="1" objects="1" scenarios="1"/>
  <mergeCells count="1">
    <mergeCell ref="A46:G46"/>
  </mergeCells>
  <conditionalFormatting sqref="E43:F43 C12:C30 D26:D30 D12:D23 C10 F10 F12:F32 C31:D32">
    <cfRule type="expression" priority="1" dxfId="0" stopIfTrue="1">
      <formula>$G$2=TRUE</formula>
    </cfRule>
  </conditionalFormatting>
  <printOptions/>
  <pageMargins left="0.3937007874015748" right="0.3937007874015748" top="0.1968503937007874" bottom="0.1968503937007874" header="0.03937007874015748" footer="0.11811023622047245"/>
  <pageSetup horizontalDpi="1200" verticalDpi="12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Admin95</dc:creator>
  <cp:keywords/>
  <dc:description/>
  <cp:lastModifiedBy>Mireille Coebergh</cp:lastModifiedBy>
  <cp:lastPrinted>2006-02-16T10:05:49Z</cp:lastPrinted>
  <dcterms:created xsi:type="dcterms:W3CDTF">2000-02-23T15:17:24Z</dcterms:created>
  <dcterms:modified xsi:type="dcterms:W3CDTF">2006-12-12T09:31:14Z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1801955201</vt:i4>
  </property>
  <property fmtid="{D5CDD505-2E9C-101B-9397-08002B2CF9AE}" pid="3" name="_EmailSubject">
    <vt:lpwstr>6c.b1 nc 2004versie1.2.xls</vt:lpwstr>
  </property>
  <property fmtid="{D5CDD505-2E9C-101B-9397-08002B2CF9AE}" pid="4" name="_AuthorEmail">
    <vt:lpwstr>AdZwart@ctg-zaio.nl</vt:lpwstr>
  </property>
  <property fmtid="{D5CDD505-2E9C-101B-9397-08002B2CF9AE}" pid="5" name="_AuthorEmailDisplayName">
    <vt:lpwstr>Zwart, Anne-Christien de</vt:lpwstr>
  </property>
  <property fmtid="{D5CDD505-2E9C-101B-9397-08002B2CF9AE}" pid="6" name="_PreviousAdHocReviewCycleID">
    <vt:i4>-861271267</vt:i4>
  </property>
  <property fmtid="{D5CDD505-2E9C-101B-9397-08002B2CF9AE}" pid="7" name="_ReviewingToolsShownOnce">
    <vt:lpwstr/>
  </property>
  <property fmtid="{D5CDD505-2E9C-101B-9397-08002B2CF9AE}" pid="8" name="_dlc_DocId">
    <vt:lpwstr>THRFR6N5WDQ4-17-3052</vt:lpwstr>
  </property>
  <property fmtid="{D5CDD505-2E9C-101B-9397-08002B2CF9AE}" pid="9" name="_dlc_DocIdItemGuid">
    <vt:lpwstr>6bf5d569-9d62-4da0-8d03-d6601d308517</vt:lpwstr>
  </property>
  <property fmtid="{D5CDD505-2E9C-101B-9397-08002B2CF9AE}" pid="10" name="_dlc_DocIdUrl">
    <vt:lpwstr>http://kennisnet.nza.nl/publicaties/Aanleveren/_layouts/DocIdRedir.aspx?ID=THRFR6N5WDQ4-17-3052, THRFR6N5WDQ4-17-3052</vt:lpwstr>
  </property>
  <property fmtid="{D5CDD505-2E9C-101B-9397-08002B2CF9AE}" pid="11" name="WorkflowChangePath">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12" name="NZa-zoekwoordenMetadata">
    <vt:lpwstr/>
  </property>
  <property fmtid="{D5CDD505-2E9C-101B-9397-08002B2CF9AE}" pid="13" name="VerzondenAanMetadata">
    <vt:lpwstr/>
  </property>
  <property fmtid="{D5CDD505-2E9C-101B-9397-08002B2CF9AE}" pid="14" name="Sector(en)Metadata">
    <vt:lpwstr>Alle:Ziekenhuiszorg|1a957709-959b-40c0-9640-61f1bd5d07a0</vt:lpwstr>
  </property>
  <property fmtid="{D5CDD505-2E9C-101B-9397-08002B2CF9AE}" pid="15" name="DocumentTypeMetadata">
    <vt:lpwstr>Regels:Formulier|4bc40415-667d-4fea-816d-9688ca6ffa69</vt:lpwstr>
  </property>
  <property fmtid="{D5CDD505-2E9C-101B-9397-08002B2CF9AE}" pid="16" name="ExtraZoekwoordenMetadata">
    <vt:lpwstr/>
  </property>
  <property fmtid="{D5CDD505-2E9C-101B-9397-08002B2CF9AE}" pid="17" name="j85cec29e8c24b8a90feb8db203ff7e2">
    <vt:lpwstr>Ziekenhuiszorg|1a957709-959b-40c0-9640-61f1bd5d07a0</vt:lpwstr>
  </property>
  <property fmtid="{D5CDD505-2E9C-101B-9397-08002B2CF9AE}" pid="18" name="DocumentTypen">
    <vt:lpwstr>103;#Formulier|4bc40415-667d-4fea-816d-9688ca6ffa69</vt:lpwstr>
  </property>
  <property fmtid="{D5CDD505-2E9C-101B-9397-08002B2CF9AE}" pid="19" name="DocumentType">
    <vt:lpwstr/>
  </property>
  <property fmtid="{D5CDD505-2E9C-101B-9397-08002B2CF9AE}" pid="20" name="Sector(en)">
    <vt:lpwstr>134;#Ziekenhuiszorg|1a957709-959b-40c0-9640-61f1bd5d07a0</vt:lpwstr>
  </property>
  <property fmtid="{D5CDD505-2E9C-101B-9397-08002B2CF9AE}" pid="21" name="NZa-zoekwoorden">
    <vt:lpwstr/>
  </property>
  <property fmtid="{D5CDD505-2E9C-101B-9397-08002B2CF9AE}" pid="22" name="ff74c6b610ef44f49114c43de1676156">
    <vt:lpwstr/>
  </property>
  <property fmtid="{D5CDD505-2E9C-101B-9397-08002B2CF9AE}" pid="23" name="n407de7a4204433984b2eeeaba786d56">
    <vt:lpwstr/>
  </property>
  <property fmtid="{D5CDD505-2E9C-101B-9397-08002B2CF9AE}" pid="24" name="Extra zoekwoorden">
    <vt:lpwstr/>
  </property>
  <property fmtid="{D5CDD505-2E9C-101B-9397-08002B2CF9AE}" pid="25" name="l24ea505ea8d4be1bd84e8204c620c6c">
    <vt:lpwstr/>
  </property>
  <property fmtid="{D5CDD505-2E9C-101B-9397-08002B2CF9AE}" pid="26" name="me0f0aaf77cd4640acf557f58a1d2cc0">
    <vt:lpwstr>Formulier|4bc40415-667d-4fea-816d-9688ca6ffa69</vt:lpwstr>
  </property>
  <property fmtid="{D5CDD505-2E9C-101B-9397-08002B2CF9AE}" pid="27" name="TaxCatchAll">
    <vt:lpwstr>103;#Formulier|4bc40415-667d-4fea-816d-9688ca6ffa69;#134;#Ziekenhuiszorg|1a957709-959b-40c0-9640-61f1bd5d07a0</vt:lpwstr>
  </property>
</Properties>
</file>