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704" firstSheet="1" activeTab="1"/>
  </bookViews>
  <sheets>
    <sheet name="Uitvoer" sheetId="1" state="hidden" r:id="rId1"/>
    <sheet name="Voorblad" sheetId="2" r:id="rId2"/>
    <sheet name="Versiebeheer" sheetId="3" r:id="rId3"/>
    <sheet name="Inhoud" sheetId="4" r:id="rId4"/>
    <sheet name="instructie" sheetId="5" r:id="rId5"/>
    <sheet name="Prod1.1" sheetId="6" r:id="rId6"/>
    <sheet name="Prod.1.2 en 1.3" sheetId="7" r:id="rId7"/>
    <sheet name="Opbrengsten" sheetId="8" r:id="rId8"/>
    <sheet name="Afschrijvingen" sheetId="9" r:id="rId9"/>
    <sheet name="WZV" sheetId="10" r:id="rId10"/>
    <sheet name="Instandhouding" sheetId="11" r:id="rId11"/>
    <sheet name="Afschr.inventaris" sheetId="12" r:id="rId12"/>
    <sheet name="Mutaties" sheetId="13" r:id="rId13"/>
    <sheet name="Rentecalc." sheetId="14" r:id="rId14"/>
    <sheet name="A-G" sheetId="15" r:id="rId15"/>
    <sheet name="H" sheetId="16" r:id="rId16"/>
    <sheet name="I-J" sheetId="17" r:id="rId17"/>
    <sheet name="vragen" sheetId="18" r:id="rId18"/>
  </sheets>
  <definedNames>
    <definedName name="_xlnm.Print_Area" localSheetId="8">'Afschrijvingen'!$A$1:$I$32</definedName>
    <definedName name="_xlnm.Print_Area" localSheetId="15">'H'!$A$1:$V$74</definedName>
    <definedName name="_xlnm.Print_Area" localSheetId="16">'I-J'!$A$1:$E$33</definedName>
    <definedName name="_xlnm.Print_Area" localSheetId="4">'instructie'!$A$1:$E$77</definedName>
    <definedName name="_xlnm.Print_Area" localSheetId="7">'Opbrengsten'!$A$1:$J$36</definedName>
    <definedName name="_xlnm.Print_Area" localSheetId="5">'Prod1.1'!$A$1:$I$63</definedName>
    <definedName name="_xlnm.Print_Area" localSheetId="13">'Rentecalc.'!$A$1:$G$37</definedName>
    <definedName name="_xlnm.Print_Area" localSheetId="1">'Voorblad'!$A$31:$N$49</definedName>
    <definedName name="_xlnm.Print_Area" localSheetId="17">'vragen'!$A$1:$G$100</definedName>
    <definedName name="_xlnm.Print_Area" localSheetId="9">'WZV'!$A:$IV</definedName>
    <definedName name="_xlnm.Print_Titles" localSheetId="13">'Rentecalc.'!$2:$2</definedName>
    <definedName name="_xlnm.Print_Titles" localSheetId="1">'Voorblad'!$1:$16</definedName>
    <definedName name="getal_data">#REF!</definedName>
    <definedName name="kolom_data">#REF!</definedName>
    <definedName name="tabblad">#REF!</definedName>
    <definedName name="Z_60683067_AF12_11D4_9642_08005ACCD915_.wvu.PrintArea" localSheetId="14" hidden="1">'A-G'!$A:$XFD</definedName>
    <definedName name="Z_60683067_AF12_11D4_9642_08005ACCD915_.wvu.PrintArea" localSheetId="15" hidden="1">'H'!$A:$XFD</definedName>
    <definedName name="Z_60683067_AF12_11D4_9642_08005ACCD915_.wvu.PrintArea" localSheetId="16" hidden="1">'I-J'!$A:$XFD</definedName>
    <definedName name="Z_60683067_AF12_11D4_9642_08005ACCD915_.wvu.PrintArea" localSheetId="10" hidden="1">'Instandhouding'!$A:$XFD</definedName>
    <definedName name="Z_60683067_AF12_11D4_9642_08005ACCD915_.wvu.PrintArea" localSheetId="7" hidden="1">'Opbrengsten'!$A:$XFD</definedName>
    <definedName name="Z_60683067_AF12_11D4_9642_08005ACCD915_.wvu.PrintArea" localSheetId="9" hidden="1">'WZV'!$A:$XFD</definedName>
    <definedName name="Z_60683067_AF12_11D4_9642_08005ACCD915_.wvu.PrintTitles" localSheetId="13" hidden="1">'Rentecalc.'!$2:$2</definedName>
    <definedName name="Z_60683068_AF12_11D4_9642_08005ACCD915_.wvu.PrintTitles" localSheetId="14" hidden="1">'A-G'!#REF!</definedName>
    <definedName name="Z_60683068_AF12_11D4_9642_08005ACCD915_.wvu.PrintTitles" localSheetId="15" hidden="1">'H'!#REF!</definedName>
    <definedName name="Z_60683068_AF12_11D4_9642_08005ACCD915_.wvu.PrintTitles" localSheetId="16" hidden="1">'I-J'!#REF!</definedName>
    <definedName name="Z_60683068_AF12_11D4_9642_08005ACCD915_.wvu.PrintTitles" localSheetId="3" hidden="1">'Inhoud'!$2:$2</definedName>
    <definedName name="Z_60683068_AF12_11D4_9642_08005ACCD915_.wvu.PrintTitles" localSheetId="10" hidden="1">'Instandhouding'!#REF!</definedName>
    <definedName name="Z_60683068_AF12_11D4_9642_08005ACCD915_.wvu.PrintTitles" localSheetId="4" hidden="1">'instructie'!$2:$2</definedName>
    <definedName name="Z_60683068_AF12_11D4_9642_08005ACCD915_.wvu.PrintTitles" localSheetId="7" hidden="1">'Opbrengsten'!#REF!</definedName>
    <definedName name="Z_60683068_AF12_11D4_9642_08005ACCD915_.wvu.PrintTitles" localSheetId="13" hidden="1">'Rentecalc.'!$2:$2</definedName>
    <definedName name="Z_60683068_AF12_11D4_9642_08005ACCD915_.wvu.PrintTitles" localSheetId="9" hidden="1">'WZV'!#REF!</definedName>
    <definedName name="Z_60683068_AF12_11D4_9642_08005ACCD915_.wvu.Rows" localSheetId="3" hidden="1">'Inhoud'!#REF!,'Inhoud'!#REF!,'Inhoud'!#REF!</definedName>
    <definedName name="Z_60683068_AF12_11D4_9642_08005ACCD915_.wvu.Rows" localSheetId="4" hidden="1">'instructie'!#REF!,'instructie'!#REF!,'instructie'!#REF!</definedName>
    <definedName name="Z_60683068_AF12_11D4_9642_08005ACCD915_.wvu.Rows" localSheetId="13" hidden="1">'Rentecalc.'!#REF!,'Rentecalc.'!#REF!,'Rentecalc.'!#REF!,'Rentecalc.'!#REF!</definedName>
    <definedName name="Z_60683068_AF12_11D4_9642_08005ACCD915_.wvu.Rows" localSheetId="1" hidden="1">'Voorblad'!#REF!,'Voorblad'!#REF!,'Voorblad'!$38:$38,'Voorblad'!#REF!</definedName>
  </definedNames>
  <calcPr fullCalcOnLoad="1" iterate="1" iterateCount="1" iterateDelta="0.001"/>
</workbook>
</file>

<file path=xl/sharedStrings.xml><?xml version="1.0" encoding="utf-8"?>
<sst xmlns="http://schemas.openxmlformats.org/spreadsheetml/2006/main" count="723" uniqueCount="554">
  <si>
    <t>Budgetaanpassing i.v.m. vrijval artikel 2 WMBV functies (voor zover nog niet verrekend in het budget)</t>
  </si>
  <si>
    <t>Budgetaanpassing i.v.m. met goedkeuring WZV voor uitbreiding artikel 2- WBMV functiesgoedkeuringsbrieven VWS toevoegen</t>
  </si>
  <si>
    <t>RUBRIEK 4: Exploitatieresultaat</t>
  </si>
  <si>
    <t>Eventuele vordering vakantiegeldverplichting (volgens de balans per 1 januari van het jaar van invoering van het budgetsysteem)</t>
  </si>
  <si>
    <t>Grond</t>
  </si>
  <si>
    <t>2.6</t>
  </si>
  <si>
    <t>2.8</t>
  </si>
  <si>
    <t xml:space="preserve">Werkelijke </t>
  </si>
  <si>
    <t xml:space="preserve">rente** </t>
  </si>
  <si>
    <t>HOND</t>
  </si>
  <si>
    <t>Code</t>
  </si>
  <si>
    <t>1.8</t>
  </si>
  <si>
    <t>Positie eigen vermogen Ribw</t>
  </si>
  <si>
    <t>CEO</t>
  </si>
  <si>
    <t xml:space="preserve"> (t.b.v. definitieve afrekening met zorgkantoor)</t>
  </si>
  <si>
    <t>Cellen waar met haakjes (    ) is aangegeven dat een negatief bedrag wordt verwacht, kunnen worden gevuld met positieve bedragen. Het programma rekent deze celllen automatisch om; bij een totaaltelling worden ze negatief in de som opgenomen.</t>
  </si>
  <si>
    <t>3.1</t>
  </si>
  <si>
    <t>3.2</t>
  </si>
  <si>
    <t>3.3</t>
  </si>
  <si>
    <t>BIJLAGEN RENTENORMERING</t>
  </si>
  <si>
    <t>K.</t>
  </si>
  <si>
    <t xml:space="preserve">Aanvullende informatie </t>
  </si>
  <si>
    <t xml:space="preserve">onderbesteding </t>
  </si>
  <si>
    <t xml:space="preserve">overbesteding/ </t>
  </si>
  <si>
    <t xml:space="preserve">Exploitatiekosten** </t>
  </si>
  <si>
    <t>nr.</t>
  </si>
  <si>
    <t xml:space="preserve">    Voor de patienten die voor 1-5-2004 al werden behandeld met dit middel blijft de 100% budgettaire vergoedingsregeling bestaan.   </t>
  </si>
  <si>
    <t xml:space="preserve">***** De codes verwijzen naar de Tarieflijst instellingen.  </t>
  </si>
  <si>
    <t>055</t>
  </si>
  <si>
    <t>Onderlinge dienstverlening tussen instellingen (WDS)</t>
  </si>
  <si>
    <t xml:space="preserve">Betalingen door buitenlandse patiënten of verzekeraars, betalingen door werkgevers van patiënten en de in rekening gebrachte tarieven door aan de instelling verbonden dochtermaatschappen (bedrijvenpoliklinieken, buitenpoliklinieken en -praktijken, zotels, etc.) dienen door u als opbrengst verantwoord te worden. </t>
  </si>
  <si>
    <t xml:space="preserve"> De nacalculatie op de lumpsum zelf kan niet via dit formulier worden aangevraagd. U wordt hierover afzonderlijk geïnformeerd.</t>
  </si>
  <si>
    <t xml:space="preserve">Alle activiteiten die in rekening worden gebracht voor gezondheidszorgprestaties dienen als opbrengsten ter dekking voor het wettelijk budget te worden verantwoord met uitzondering van de opbrengsten in het kader van onderlinge dienstverlening tussen zorginstellingen. Vanaf 1 januari 1999 is de beleidsregel 'aanvullende inkomsten zorginstellingen' van kracht. Opbrengsten die vallen onder deze beleidsregel hoeven niet ter dekking van het budget te worden aangewend. </t>
  </si>
  <si>
    <t xml:space="preserve">U dient een samenvatting te geven van de nacalculeerbare afschrijvingskosten met betrekking tot materiële vaste activa, immateriële vaste activa en huur en leasing van gebouwen / installaties. Op de regel huur en lease kunt u het afschrijvingsbestanddeel van de (goedgekeurde) huurbedragen invullen. De afschrijvingen op medische en overige inventarissen, de afschrijvingen op vaste activa, vallend onder de beleidsregel "meldingsprocedure WZV" en de afschrijvingen dubieuze debiteuren, dienen hier buiten beschouwing te blijven. Het betreft hier uitsluitend investeringen op basis van de normale en de zogenoemde verkorte procedures.
</t>
  </si>
  <si>
    <t>Met ingang van 2005 is het protocol voor evenwichtig balansbeheer komen te vervallen</t>
  </si>
  <si>
    <t>parameterwaarden*</t>
  </si>
  <si>
    <t>** Zie berekening op pagina 8.</t>
  </si>
  <si>
    <t>*** Voor de voorwaarden waaronder revalidatieinstellingen in aanmerking kunnen komen voor het opnemen van kosten van</t>
  </si>
  <si>
    <t xml:space="preserve">     ademhalingsondersteuning in de aanvaardbare kosten zij verwezen naar onze circulaire MR/ive/I/98/34c d.d. 28 september 1998</t>
  </si>
  <si>
    <t xml:space="preserve">**** De codes verwijzen naar de Tarieflijst instellingen. </t>
  </si>
  <si>
    <t>190501 Docetaxel*</t>
  </si>
  <si>
    <t>190502 Irinotecan*</t>
  </si>
  <si>
    <t>190503 Gemcitabine*</t>
  </si>
  <si>
    <t>190504 Oxaliplatine*</t>
  </si>
  <si>
    <t>190505 Paclitaxel*</t>
  </si>
  <si>
    <t>190506 Rituximab*</t>
  </si>
  <si>
    <t>190507 Infliximab (bij  M. Crohn)*</t>
  </si>
  <si>
    <t>190508 Immunoglobulines IV*</t>
  </si>
  <si>
    <t>190509 Trastuzumab*</t>
  </si>
  <si>
    <t>190510 Botulinetoxine*</t>
  </si>
  <si>
    <t>190511  Verteporfin*</t>
  </si>
  <si>
    <t>190512 Doxorubicine Liposomal (Caelyx)*</t>
  </si>
  <si>
    <t>190513 Infliximab (Remicade) subcutaan / intramusculair**</t>
  </si>
  <si>
    <t>190514 Infliximab (Remicade) Intraveneus**</t>
  </si>
  <si>
    <t>190513 Infliximab (Remicade) subcutaan / intramusculair ***</t>
  </si>
  <si>
    <t>190514 Infliximab (Remicade) Intraveneus***</t>
  </si>
  <si>
    <t>190515 Infliximab (Spondylitis Ankylopoetica; Bechterew)*</t>
  </si>
  <si>
    <t>190516 Infliximab (bij artitis psoriatica)*</t>
  </si>
  <si>
    <t>190517 Vinorelbine (m.i.v. 1 juli 2005)*</t>
  </si>
  <si>
    <t>**  de tijdelijke regeling Remicade is per 1-5-2004 vervallen. Het middel is toegevoegd aan de stofnamenlijs behorend bij de beleidsregel dure geneesmiddelen.</t>
  </si>
  <si>
    <t>*   maximaal 75% van de werkelijke inkoopkosten (netto-inkoopkosten)</t>
  </si>
  <si>
    <t>*** Voor patienten die na 1-5-2004 beginnen met het middel kan de 75% budgettaire vergoeding worden overeengekomen.</t>
  </si>
  <si>
    <t xml:space="preserve">190518 Bevacizumab* </t>
  </si>
  <si>
    <t xml:space="preserve">190519 Pemetrexed* </t>
  </si>
  <si>
    <t>Specificatie in gebruikgenomen nacalculeerbare investeringen (pagina 12)</t>
  </si>
  <si>
    <t>Investeringen in instandhouding (WZV-meldingsplichtige vaste activa) (pagina 13)</t>
  </si>
  <si>
    <t>Afschrijvingskosten medische en overige inventarissen (pagina 14)</t>
  </si>
  <si>
    <t>Percentages t.b.v. berekening rentekosten</t>
  </si>
  <si>
    <r>
      <t xml:space="preserve">Normatieve rentepercentage kort krediet </t>
    </r>
    <r>
      <rPr>
        <vertAlign val="superscript"/>
        <sz val="9"/>
        <rFont val="Arial"/>
        <family val="2"/>
      </rPr>
      <t>1</t>
    </r>
  </si>
  <si>
    <r>
      <t xml:space="preserve">Inflatievergoeding over eigen vermogen </t>
    </r>
    <r>
      <rPr>
        <vertAlign val="superscript"/>
        <sz val="9"/>
        <rFont val="Arial"/>
        <family val="2"/>
      </rPr>
      <t>2</t>
    </r>
  </si>
  <si>
    <r>
      <t>1</t>
    </r>
    <r>
      <rPr>
        <sz val="9"/>
        <rFont val="Arial"/>
        <family val="2"/>
      </rPr>
      <t xml:space="preserve"> De voor het jaar geldende gemiddelde normatieve rentevoet wordt </t>
    </r>
    <r>
      <rPr>
        <u val="single"/>
        <sz val="9"/>
        <rFont val="Arial"/>
        <family val="2"/>
      </rPr>
      <t>na afloop van het jaar</t>
    </r>
    <r>
      <rPr>
        <sz val="9"/>
        <rFont val="Arial"/>
        <family val="2"/>
      </rPr>
      <t xml:space="preserve"> door CTG/ZAio berekend </t>
    </r>
  </si>
  <si>
    <t>en gepubliceerd. Deze normatieve rentevoet is te vinden op de website van CTG/ZAio (www.ctg-zaio.nl), onder rentenormering -&gt; korte rente.</t>
  </si>
  <si>
    <r>
      <t>2</t>
    </r>
    <r>
      <rPr>
        <sz val="9"/>
        <rFont val="Arial"/>
        <family val="2"/>
      </rPr>
      <t xml:space="preserve"> De inflatievergoeding over het eigen vermogen is gelijk aan de prijsstijging voor de materiële kosten.</t>
    </r>
  </si>
  <si>
    <t>Ontvangt u aanvullende inkomsten die dienen ter dekking van het WTG-budget, die vallen onder artikel 3.2 van de beleidsregel aanvullende inkomsten zorginstellingen? Indien geen aanvullende inkomsten, kies dan 'nvt'.</t>
  </si>
  <si>
    <t>Voldoen de aanvullende inkomsten die worden aangemerkt als vrij besteedbaar, aan de voorwaarden genoemd onder artikel 4 van de beleidsregel aanvullende inkomsten zorginstellingen? Indien geen aanvullende inkomsten, kies dan 'nvt'.</t>
  </si>
  <si>
    <t>Is de berekening van de doorberekende kapitaallasten juist en volledig, conform de beleidsregel aanvullende inkomsten? Indien geen doorberekende kapitaalslaten, kies dan 'nvt'.</t>
  </si>
  <si>
    <t xml:space="preserve">- intakecontacten  (193111) </t>
  </si>
  <si>
    <t>- informatiemodules  (193112)</t>
  </si>
  <si>
    <t>- FIT-modules &lt; 10 sessies  (193113)</t>
  </si>
  <si>
    <t>- FIT-modules &gt;= 10 sessies (193114)</t>
  </si>
  <si>
    <t>- PEP-modules  (193115)</t>
  </si>
  <si>
    <t>cat.</t>
  </si>
  <si>
    <t>materieel</t>
  </si>
  <si>
    <t>Bedrag</t>
  </si>
  <si>
    <t>Nummer brief VWS/CBZ</t>
  </si>
  <si>
    <t>Omschrijving project 1.</t>
  </si>
  <si>
    <t>Goedgekeurd bedrag</t>
  </si>
  <si>
    <t>Omschrijving project 2.</t>
  </si>
  <si>
    <t>Omschrijving project 4.</t>
  </si>
  <si>
    <t>Omschrijving project 3.</t>
  </si>
  <si>
    <t>Te verklaren verschillen</t>
  </si>
  <si>
    <t xml:space="preserve">Totaalbedrag </t>
  </si>
  <si>
    <t>Gegevens meldingsbrief  CbZ</t>
  </si>
  <si>
    <t xml:space="preserve">Normatieve </t>
  </si>
  <si>
    <t xml:space="preserve">afschrijvingen* </t>
  </si>
  <si>
    <t xml:space="preserve">boekwaarde </t>
  </si>
  <si>
    <t>Einddatum</t>
  </si>
  <si>
    <t>Werk.</t>
  </si>
  <si>
    <t>Norm.</t>
  </si>
  <si>
    <t>N,W,</t>
  </si>
  <si>
    <t>of V</t>
  </si>
  <si>
    <t>rentebedrag</t>
  </si>
  <si>
    <t>Aanvaardbaar</t>
  </si>
  <si>
    <t>2.1</t>
  </si>
  <si>
    <t>2.2</t>
  </si>
  <si>
    <t>2.5</t>
  </si>
  <si>
    <t>RUBRIEK 3: KAPITAALSLASTEN</t>
  </si>
  <si>
    <t>3.4</t>
  </si>
  <si>
    <t>3.5</t>
  </si>
  <si>
    <t>RUBRIEK 4: OVERZICHT MUTATIES</t>
  </si>
  <si>
    <t>Algemeen</t>
  </si>
  <si>
    <t>1.1</t>
  </si>
  <si>
    <t>1.2</t>
  </si>
  <si>
    <t>afschrijving</t>
  </si>
  <si>
    <t>Immateriële vaste activa</t>
  </si>
  <si>
    <t>Gebouwen</t>
  </si>
  <si>
    <t>Huur en leasing voor gebouwen / installaties</t>
  </si>
  <si>
    <t>Subtotaal</t>
  </si>
  <si>
    <t>Niet aanvaarde afschrijvingskosten</t>
  </si>
  <si>
    <t>Budgetaanpassing in verband met WZV-goedkeuring medische en overige inventarissen</t>
  </si>
  <si>
    <t>Toepassing kortingspercentages</t>
  </si>
  <si>
    <t>Budgetaanpassing artikel 2 WBMV functies</t>
  </si>
  <si>
    <t>Doorberekende kapitaalslasten</t>
  </si>
  <si>
    <t>Mutatie</t>
  </si>
  <si>
    <t>Opbrengst nevenverrichtingen</t>
  </si>
  <si>
    <t>Vergoedingen voor therapeutische verrichtingen</t>
  </si>
  <si>
    <t>Honoraria voor medisch specialistische hulp (loondienst)</t>
  </si>
  <si>
    <t>Overige vergoedingen ter dekking van het budget</t>
  </si>
  <si>
    <t>Overige opbrengsten</t>
  </si>
  <si>
    <t>Te dekken door opbrengsten</t>
  </si>
  <si>
    <t>Berekende</t>
  </si>
  <si>
    <t xml:space="preserve">rente </t>
  </si>
  <si>
    <t>Normatief</t>
  </si>
  <si>
    <t>Rentekosten langlopende leningen</t>
  </si>
  <si>
    <t>Nog in tarieven te verrekenen 31-12-2003</t>
  </si>
  <si>
    <t>Afschrijving op tot en met 2000 betaalde boeterente van conversies (berekening bijvoegen)</t>
  </si>
  <si>
    <t xml:space="preserve">Gewogen schuld per periode (1 januari-data aflossingen-31 december) </t>
  </si>
  <si>
    <t>Berekening  gewogen schuld en rentekosten</t>
  </si>
  <si>
    <t>normrente</t>
  </si>
  <si>
    <t>schuld</t>
  </si>
  <si>
    <t>Specificatie in gebruikgenomen nacalculeerbare investeringen</t>
  </si>
  <si>
    <t>rentevastper.</t>
  </si>
  <si>
    <t>1)</t>
  </si>
  <si>
    <t>Pag.</t>
  </si>
  <si>
    <t>Kenmerk</t>
  </si>
  <si>
    <t>Onderhanden bouwprojecten  met WZV vergunning (geen investeringen meldingsregeling)</t>
  </si>
  <si>
    <t>Werkelijke boekwaarde instandhoudingsinvesteringen (inclusief onderhanden werk)</t>
  </si>
  <si>
    <t>In rekenstaat</t>
  </si>
  <si>
    <t>Zorgverzekeraar 1</t>
  </si>
  <si>
    <t>Zorgverzekeraar 2</t>
  </si>
  <si>
    <t>Zorgverz. Nederland</t>
  </si>
  <si>
    <t>CALCULATIEMODEL RENTEKOSTEN</t>
  </si>
  <si>
    <t>BIJLAGEN BIJ CALCULATIEMODEL RENTEKOSTEN</t>
  </si>
  <si>
    <t>Bijlagen bij calculatiemodel rentekosten</t>
  </si>
  <si>
    <t>1) Voor oude leningen (w) in de kolom "aanvaardbare rentekosten" het werkelijke rentebedrag vermelden</t>
  </si>
  <si>
    <t xml:space="preserve">3.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</si>
  <si>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Procentuele afwijking van de definitieve productie</t>
  </si>
  <si>
    <t>Correctiebedrag tbv aansluiting ak cf jaarrekening en ak cf nacalculatieformulier</t>
  </si>
  <si>
    <t>Nadat de periode, waarin voor de berekening van de aanvaardbare rentekosten werd uitgegaan van het rentepercentage van de oude lening, is verstreken dient u in de kolom 'einddatum rentevastperiode' de einddatum van de vervangende lening te vermelden en in de kolom '%werkelijk' het werkelijke rentepercentage van de vervangende lening.</t>
  </si>
  <si>
    <t>Nieuwe leningen kunt u in dit overzicht opnemen door de storting te verwerken als een negatieve aflossing. Als op de nieuwe lening in hetzelfde jaar nog wordt afgelost, kunnen deze aflossingen op een aparte regel worden verwerkt.</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</si>
  <si>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</si>
  <si>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</si>
  <si>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</si>
  <si>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</si>
  <si>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</si>
  <si>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</si>
  <si>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</si>
  <si>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</si>
  <si>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</si>
  <si>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</si>
  <si>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</si>
  <si>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</si>
  <si>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</si>
  <si>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</si>
  <si>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Uitgevoerde nog niet</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</si>
  <si>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</si>
  <si>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</si>
  <si>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</si>
  <si>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</si>
  <si>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</si>
  <si>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</si>
  <si>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</si>
  <si>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</si>
  <si>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</si>
  <si>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</si>
  <si>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</si>
  <si>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</si>
  <si>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 xml:space="preserve">in gebruik genomen </t>
  </si>
  <si>
    <t>Aantal extra bijlagen bij het nacalculatieformulier:</t>
  </si>
  <si>
    <t>budget</t>
  </si>
  <si>
    <t>loon</t>
  </si>
  <si>
    <t>Klasse 1</t>
  </si>
  <si>
    <t>Klasse 2A</t>
  </si>
  <si>
    <t>Klasse 2B</t>
  </si>
  <si>
    <t>Klasse 3A</t>
  </si>
  <si>
    <t>Klasse 3B</t>
  </si>
  <si>
    <t>Klasse 3C</t>
  </si>
  <si>
    <t>A201</t>
  </si>
  <si>
    <t>A202</t>
  </si>
  <si>
    <t>A203</t>
  </si>
  <si>
    <t>A204</t>
  </si>
  <si>
    <t>A205</t>
  </si>
  <si>
    <t>A206</t>
  </si>
  <si>
    <t>A002</t>
  </si>
  <si>
    <t>A005</t>
  </si>
  <si>
    <t>Opnametarief</t>
  </si>
  <si>
    <t>Verkeerde bed</t>
  </si>
  <si>
    <t>Verblijf gezonde zuigeling</t>
  </si>
  <si>
    <t>Opbrengst flexizorg / transmuraal</t>
  </si>
  <si>
    <t>Diverse baten en lasten:</t>
  </si>
  <si>
    <t>Zorgprestaties derde compartiment</t>
  </si>
  <si>
    <t>Overige zorgprestaties</t>
  </si>
  <si>
    <t>Overige dienstverlening</t>
  </si>
  <si>
    <t>Overige subsidies</t>
  </si>
  <si>
    <t>Eigen bijdrage clienten</t>
  </si>
  <si>
    <t>Aanvullende inkomsten (niet ter dekking van het budget)</t>
  </si>
  <si>
    <t>Totaal opbrengsten ter dekking van het budget</t>
  </si>
  <si>
    <t>A007</t>
  </si>
  <si>
    <t>Dagbehandeling</t>
  </si>
  <si>
    <t>Gedeclareerde opbrengsten voor dure geneesmiddelen</t>
  </si>
  <si>
    <t>Is de Regeling Jaarverslaggeving Zorginstellingen (inclusief consolidatie) toegepast?</t>
  </si>
  <si>
    <t>Nacalculeerbare afschrijvingskosten (normale en verkorte procedures)</t>
  </si>
  <si>
    <t>Terreinvoorzieningen</t>
  </si>
  <si>
    <t>Verbouwingen</t>
  </si>
  <si>
    <t>Afschrijvings-</t>
  </si>
  <si>
    <t>percentages</t>
  </si>
  <si>
    <t>Afschrijvingen</t>
  </si>
  <si>
    <t>Mutaties aanvaardbare kosten</t>
  </si>
  <si>
    <t>Aanvaardbare</t>
  </si>
  <si>
    <t>kosten</t>
  </si>
  <si>
    <t>Immat. vaste activa</t>
  </si>
  <si>
    <t>Terreinvoorz.</t>
  </si>
  <si>
    <t>Instandhoudingsinvesteringen (WZV-meldingsplichtige vaste activa)</t>
  </si>
  <si>
    <t>Incidentele instandhouding (trekkingsrechten)</t>
  </si>
  <si>
    <t>Saldo</t>
  </si>
  <si>
    <t>Structurele</t>
  </si>
  <si>
    <t>Bedrag investering</t>
  </si>
  <si>
    <t>(in gebruik genomen)</t>
  </si>
  <si>
    <t>t.l.v. jaarl. Insth.</t>
  </si>
  <si>
    <t>Mut.afschr.</t>
  </si>
  <si>
    <t>Is voor de bepaling van de voor nacalculatie in aanmerking te nemen kosten van de geneesmiddelen uitgegaan van de netto inkoopprijs, dat wil zeggen de inkoopprijs (volgens taxe) na aftrek van eventuele kortingen en bonussen?</t>
  </si>
  <si>
    <t>Hebben de lokale partijen verklaard dat zij de projecten die worden gedekt uit de lokale produktiegebonden toeslag hebben beoordeeld met inachtneming van de in de beleidsregel lokale produktiegebonden toeslag opgenomen criteria?</t>
  </si>
  <si>
    <t>Vrijval afschrijving</t>
  </si>
  <si>
    <t>bedrag rekenst.(-/-)</t>
  </si>
  <si>
    <t xml:space="preserve">Jaar </t>
  </si>
  <si>
    <t>Jaar</t>
  </si>
  <si>
    <t xml:space="preserve">bedrag* </t>
  </si>
  <si>
    <t>*) Vermeld hier het aflossingsbedrag per aflossingsmoment</t>
  </si>
  <si>
    <t>realisatie</t>
  </si>
  <si>
    <t>verwerkt in</t>
  </si>
  <si>
    <t>nacalculatie</t>
  </si>
  <si>
    <t>rekenstaat</t>
  </si>
  <si>
    <t>verpleegdagen</t>
  </si>
  <si>
    <t>klinische RBU **</t>
  </si>
  <si>
    <t>poliklinische RBU **</t>
  </si>
  <si>
    <t>eerste onderzoeken</t>
  </si>
  <si>
    <t>opnamen hoge dwarslaesies</t>
  </si>
  <si>
    <t>verpleegdagen ademhalingsondersteuning ***</t>
  </si>
  <si>
    <t>hartrevalidatie ****</t>
  </si>
  <si>
    <t>opbrengst E001-E006, E101, E104 *****</t>
  </si>
  <si>
    <t>opbrengst E102, E103 *****</t>
  </si>
  <si>
    <t>totaal</t>
  </si>
  <si>
    <t>Specificatie RBU</t>
  </si>
  <si>
    <t>(1)</t>
  </si>
  <si>
    <t>(2)</t>
  </si>
  <si>
    <t>poliklinisch (individueel)</t>
  </si>
  <si>
    <t>poliklinisch (groep)</t>
  </si>
  <si>
    <t>klinisch (individueel)</t>
  </si>
  <si>
    <t>klinisch (groep)</t>
  </si>
  <si>
    <t>Revalidatiecentra (100)</t>
  </si>
  <si>
    <t xml:space="preserve">declaraties </t>
  </si>
  <si>
    <t>opbrengst in</t>
  </si>
  <si>
    <t>* Bij een positieve nacalculatie kunnen partijen eventueel een lager bedrag overeenkomen. Een negatieve nacalculatie kan niet worden beperkt.</t>
  </si>
  <si>
    <t>Nacalculatie dure geneesmiddelen</t>
  </si>
  <si>
    <t>RUBRIEK 1: NACALCULATIE PRODUCTIE</t>
  </si>
  <si>
    <t xml:space="preserve">D  </t>
  </si>
  <si>
    <t>Normatieve boekwaarde medische en overige inventarissen artikel 2 WBMV apparatuur</t>
  </si>
  <si>
    <t>F.</t>
  </si>
  <si>
    <t>Nog in tarieven te verrekenen kosten/opbrengsten</t>
  </si>
  <si>
    <t>Eventuele correctie voorgaande jaren</t>
  </si>
  <si>
    <t>1/12 van het budget</t>
  </si>
  <si>
    <t>Gedeclareerd</t>
  </si>
  <si>
    <t>Bestemmingsreserves</t>
  </si>
  <si>
    <t>Reserve afschrijving inventarissen</t>
  </si>
  <si>
    <t xml:space="preserve">Overige reserves </t>
  </si>
  <si>
    <t>Egalisatierekening afschrijving instandhoudingsinvesteringen</t>
  </si>
  <si>
    <t>Overige egalisatierekeningen</t>
  </si>
  <si>
    <t>Voorziening groot onderhoud</t>
  </si>
  <si>
    <t xml:space="preserve">Overige voorzieningen </t>
  </si>
  <si>
    <t>Nacalculatie lokale productiegebonden component</t>
  </si>
  <si>
    <t>Definitief overeen-</t>
  </si>
  <si>
    <t>gekomen bedrag</t>
  </si>
  <si>
    <t>Versie</t>
  </si>
  <si>
    <t>Uitgevoerd en gefactureerd in januari</t>
  </si>
  <si>
    <t>Uitgevoerd en gefactureerd in februari</t>
  </si>
  <si>
    <t>Uitgevoerd en gefactureerd in maart</t>
  </si>
  <si>
    <t>opgenomen</t>
  </si>
  <si>
    <t>De werkbladen zijn met een wachtwoord beveiligd. U kunt zelf werkbladen toevoegen. Indien u een onjuistheid ondekt verzoeken wij u dit via e-mail aan het CTG door te geven (kamer1@ctgzorg.nl).</t>
  </si>
  <si>
    <t>D./E.</t>
  </si>
  <si>
    <t>G.</t>
  </si>
  <si>
    <t>Nog in tarieven te verrekenen</t>
  </si>
  <si>
    <t xml:space="preserve">J. </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</si>
  <si>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</si>
  <si>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</si>
  <si>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</si>
  <si>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</si>
  <si>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</si>
  <si>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</si>
  <si>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</si>
  <si>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</si>
  <si>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</si>
  <si>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(3) = (2) * (1)</t>
  </si>
  <si>
    <t>Vergoedingen voor diagnostische verrichtingen</t>
  </si>
  <si>
    <t>Verrekend in opbrengsten (meest recente opbrengstregistratie)</t>
  </si>
  <si>
    <t>Alle in te vullen velden zijn gearceerd. Dit kunt u hier aan- en uitschakelen. Voor het maken van een duidelijke afdruk van het nacalculatieformulier wordt aanbevolen eerst de arcering van de velden uit te zetten</t>
  </si>
  <si>
    <t>Kolommen</t>
  </si>
  <si>
    <t xml:space="preserve">Algemeen </t>
  </si>
  <si>
    <t>Deze vragenlijst wordt ingevuld door de instelling en gecontroleerd door de accountant.</t>
  </si>
  <si>
    <t>Per vraag aanklikken wat van toepassing is.</t>
  </si>
  <si>
    <t>Indien het antwoord in kolom 2 is aangeklikt dient op een separate bijlage een toelichting te worden gegeven.</t>
  </si>
  <si>
    <t>VRAGENLIJST NACALCULATIE</t>
  </si>
  <si>
    <t>Vervolg VRAGENLIJST NACALCULATIE</t>
  </si>
  <si>
    <t>1.3</t>
  </si>
  <si>
    <t>Nacalculatie productie (pagina 7 t/m 9)</t>
  </si>
  <si>
    <t>Werkelijke opbrengsten (pagina 10)</t>
  </si>
  <si>
    <t>Specificatie aanvullende inkomsten (pagina 10)</t>
  </si>
  <si>
    <t>Nacalculeerbare afschrijvingskosten (pagina 11)</t>
  </si>
  <si>
    <t>Overzicht afschrijvingen + regel 1801 - regel 1802</t>
  </si>
  <si>
    <t>toegerekende boekwaarde automatiseringsapparatuur (27% * regel 1919*10)</t>
  </si>
  <si>
    <t>Totaal 2104 t/m 2117</t>
  </si>
  <si>
    <t>De gedeclareerde bedragen op regel 2118 en 2119 moeten aan elkaar gelijk zijn.</t>
  </si>
  <si>
    <t>Opbrengsten volgens regel 1024</t>
  </si>
  <si>
    <t>(in aanv.kstn)</t>
  </si>
  <si>
    <t>Opbrengst vaste tarieven</t>
  </si>
  <si>
    <t>In gebruik ge-</t>
  </si>
  <si>
    <t>desinvestering</t>
  </si>
  <si>
    <t>Afschrijving v.</t>
  </si>
  <si>
    <t>invest.ruimte</t>
  </si>
  <si>
    <t>investerings-</t>
  </si>
  <si>
    <t>Is voor de langlopende leningen, die zijn afgesloten na 1 januari 2001, het normrentepercentage gehanteerd dat overeenkomt met het normrentepercentage volgens de CTG-website rentenormering? Indien geen langlopende leningen zijn afgesloten na 1 januari 2001 kies dan "nvt".</t>
  </si>
  <si>
    <t>Is bij de leningen (met een rentefixatieperiode van minimaal twee jaar) die vervroegd zijn afgelost en vervangen door een nieuwe leningen, het juiste rente percentage toegepast? Indien er geen vervroegde aflossing en vervanging van leningen heeft plaatsgevonden, kies dan "nvt".</t>
  </si>
  <si>
    <t>Afschrijving investeringen t.l.v. trekkingsrechten</t>
  </si>
  <si>
    <t>Afschrijving inventarissen</t>
  </si>
  <si>
    <t>Afschrijving inventarissen WBMV</t>
  </si>
  <si>
    <t>Flexizorgregeling</t>
  </si>
  <si>
    <t>Budgetaanpassing rentekosten</t>
  </si>
  <si>
    <t>Nog te verwerken overeengekomen nacalculatie productie</t>
  </si>
  <si>
    <t xml:space="preserve">Dure geneesmiddelen </t>
  </si>
  <si>
    <t>Ingebruikgen.</t>
  </si>
  <si>
    <t>trekkingsr.</t>
  </si>
  <si>
    <t>Werkelijke opbrengsten*</t>
  </si>
  <si>
    <t>Opbrengstresultaat</t>
  </si>
  <si>
    <t>Januari</t>
  </si>
  <si>
    <t>Februari</t>
  </si>
  <si>
    <t>Maart</t>
  </si>
  <si>
    <t>April</t>
  </si>
  <si>
    <t>Mei</t>
  </si>
  <si>
    <t>Juni</t>
  </si>
  <si>
    <t>Juli</t>
  </si>
  <si>
    <t>Augustus</t>
  </si>
  <si>
    <t>September</t>
  </si>
  <si>
    <t>Oktober</t>
  </si>
  <si>
    <t>November</t>
  </si>
  <si>
    <t>December</t>
  </si>
  <si>
    <t>Overige mutaties (volgens bijlage)</t>
  </si>
  <si>
    <t>Opbrengst uit</t>
  </si>
  <si>
    <t>Perc.van</t>
  </si>
  <si>
    <t>Opnemen in</t>
  </si>
  <si>
    <t xml:space="preserve">Nacalculatie </t>
  </si>
  <si>
    <t>Ongewogen</t>
  </si>
  <si>
    <t>Gewogen</t>
  </si>
  <si>
    <t>Nacalculatie productie/aanvullende inkomsten</t>
  </si>
  <si>
    <t>Kapitaalslasten</t>
  </si>
  <si>
    <t>Wordt door de instelling voor nacalculeerbare activa gebruik gemaakt van een zogenaamde BTW-constructie? a)</t>
  </si>
  <si>
    <t>Zijn er ex WTG gefinancierde vermogensbestanddelen en / of gebouwen uit de WTG-instelling overgebracht naar een andere rechtspersoon?</t>
  </si>
  <si>
    <t xml:space="preserve">Zijn er WVZ-goedgekeurde onroerende zaken (ook door beheersstichtingen en / of -vennootschappen) verkocht (zie beleidsregel Verrekening Boekwinsten)? </t>
  </si>
  <si>
    <t>Vervolg kapitaalslasten</t>
  </si>
  <si>
    <t>Zijn de aanvaardbare rentekosten berekend conform het door het CTG opgestelde calculatiemodel rentekosten?</t>
  </si>
  <si>
    <t>Overige vragen</t>
  </si>
  <si>
    <t>Zijn in het lokaal overleg overige afspraken gemaakt die van invloed zijn op de aanvaardbare kosten?</t>
  </si>
  <si>
    <t>Handtekening</t>
  </si>
  <si>
    <t>KAFOV</t>
  </si>
  <si>
    <t>KRENTE</t>
  </si>
  <si>
    <t>KDOOKA</t>
  </si>
  <si>
    <t>KHUERF</t>
  </si>
  <si>
    <t>LPRIV</t>
  </si>
  <si>
    <t>VOORL</t>
  </si>
  <si>
    <t>Regel</t>
  </si>
  <si>
    <t>Registratienummer CTG</t>
  </si>
  <si>
    <t xml:space="preserve">Instelling </t>
  </si>
  <si>
    <t>Plaats</t>
  </si>
  <si>
    <t>Omschrijving</t>
  </si>
  <si>
    <t>KPVP</t>
  </si>
  <si>
    <t>%</t>
  </si>
  <si>
    <t>Installaties</t>
  </si>
  <si>
    <t>Rekenstaat</t>
  </si>
  <si>
    <t>Gewogen boekwaarde</t>
  </si>
  <si>
    <t>Factor</t>
  </si>
  <si>
    <t>Geldgever</t>
  </si>
  <si>
    <t xml:space="preserve">Saldo </t>
  </si>
  <si>
    <t>Fictief berekende lening met betrekking tot huur/leasing van inventarissen</t>
  </si>
  <si>
    <t>Kapitaal</t>
  </si>
  <si>
    <t>Algemene reserves</t>
  </si>
  <si>
    <t>Reserve aanvaardbare kosten</t>
  </si>
  <si>
    <t>Saldo resultatenrekening</t>
  </si>
  <si>
    <t>Intrest leasingcontracten</t>
  </si>
  <si>
    <t>Datum</t>
  </si>
  <si>
    <t>Voorlopige budgetmutatie</t>
  </si>
  <si>
    <t>Mutatie aanvaardbare kosten</t>
  </si>
  <si>
    <t>* In rekenstaat te vinden bij onderbouwing van de regel</t>
  </si>
  <si>
    <t>Berekening exploitatieresultaat</t>
  </si>
  <si>
    <t>&lt;&lt;&lt;</t>
  </si>
  <si>
    <t>Toelichting bij electronisch formulier:</t>
  </si>
  <si>
    <t>Instandhoudingsinvestering</t>
  </si>
  <si>
    <t>dag</t>
  </si>
  <si>
    <t>ma(a)nd(en)</t>
  </si>
  <si>
    <t>Egalisatierekening annuïteitenrente en nog te verrekenen (aanvaardbare) boeterente [(beginbalans + eindbalans) : 2]</t>
  </si>
  <si>
    <t xml:space="preserve">% </t>
  </si>
  <si>
    <t xml:space="preserve">Bedrag </t>
  </si>
  <si>
    <t xml:space="preserve">bedrag </t>
  </si>
  <si>
    <t>Afschrijving op geactiveerde rente van annuïteitenleningen</t>
  </si>
  <si>
    <t xml:space="preserve">Boekwaarde vergunningsplichtige investeringen zonder vergunning. </t>
  </si>
  <si>
    <t xml:space="preserve">Gewogen </t>
  </si>
  <si>
    <t xml:space="preserve">Factor </t>
  </si>
  <si>
    <t xml:space="preserve">Onderhanden </t>
  </si>
  <si>
    <t xml:space="preserve"> VKP´s </t>
  </si>
  <si>
    <t xml:space="preserve">In gebruik </t>
  </si>
  <si>
    <t xml:space="preserve"> genomen VKP´s </t>
  </si>
  <si>
    <t xml:space="preserve">Nog niet in </t>
  </si>
  <si>
    <t xml:space="preserve">genomen </t>
  </si>
  <si>
    <t xml:space="preserve">investeringen </t>
  </si>
  <si>
    <t xml:space="preserve">Boekwaarde </t>
  </si>
  <si>
    <t xml:space="preserve">Afschrijving </t>
  </si>
  <si>
    <t>Afschrijving</t>
  </si>
  <si>
    <t>investeringen</t>
  </si>
  <si>
    <t xml:space="preserve">gebruik genomen </t>
  </si>
  <si>
    <t xml:space="preserve">in gebruik </t>
  </si>
  <si>
    <t xml:space="preserve"> </t>
  </si>
  <si>
    <t>RUBRIEK 2: KAPITAALSLASTEN</t>
  </si>
  <si>
    <t>Jaarlijkse instandhouding</t>
  </si>
  <si>
    <t>1.5</t>
  </si>
  <si>
    <t xml:space="preserve">1.1 </t>
  </si>
  <si>
    <t xml:space="preserve">1.2 </t>
  </si>
  <si>
    <t xml:space="preserve">1.3 </t>
  </si>
  <si>
    <t xml:space="preserve">1.6 </t>
  </si>
  <si>
    <t>Totaal</t>
  </si>
  <si>
    <t>Tarief*</t>
  </si>
  <si>
    <t xml:space="preserve">2.1 </t>
  </si>
  <si>
    <t>Nacalculeerbare afschrijvingskosten</t>
  </si>
  <si>
    <t xml:space="preserve">Totaal </t>
  </si>
  <si>
    <t xml:space="preserve">Aantal </t>
  </si>
  <si>
    <t xml:space="preserve">2.2 </t>
  </si>
  <si>
    <t>Niet-nacalculeerbare afschrijvingskosten</t>
  </si>
  <si>
    <t>Instandhoudingsinvesteringen</t>
  </si>
  <si>
    <t>2.3</t>
  </si>
  <si>
    <t xml:space="preserve">Jaarlijks </t>
  </si>
  <si>
    <t xml:space="preserve">Incidenteel </t>
  </si>
  <si>
    <t>Huren onroerende goederen en erfpacht</t>
  </si>
  <si>
    <t>2.4</t>
  </si>
  <si>
    <t>Activa</t>
  </si>
  <si>
    <t>Passiva</t>
  </si>
  <si>
    <t xml:space="preserve">Aanvaardbare </t>
  </si>
  <si>
    <t xml:space="preserve">kosten </t>
  </si>
  <si>
    <t>2.7</t>
  </si>
  <si>
    <t>Doorbelaste kapitaalslasten</t>
  </si>
  <si>
    <t xml:space="preserve">Mutatie </t>
  </si>
  <si>
    <t>4.1</t>
  </si>
  <si>
    <t xml:space="preserve">Werkelijk </t>
  </si>
  <si>
    <t xml:space="preserve">Rekenstaat </t>
  </si>
  <si>
    <t xml:space="preserve">Aanschafwaarde </t>
  </si>
  <si>
    <t xml:space="preserve">Afschrijvingen </t>
  </si>
  <si>
    <t xml:space="preserve">Datum </t>
  </si>
  <si>
    <t xml:space="preserve">Besteed </t>
  </si>
  <si>
    <t>Onderhanden bouwprojecten normale WZV-procedures</t>
  </si>
  <si>
    <t xml:space="preserve">A. </t>
  </si>
  <si>
    <t>B.</t>
  </si>
  <si>
    <t xml:space="preserve">C. </t>
  </si>
  <si>
    <t>Werkelijke boekwaarde instandhoudingsinvesteringen</t>
  </si>
  <si>
    <t xml:space="preserve">D. </t>
  </si>
  <si>
    <t xml:space="preserve">E. </t>
  </si>
  <si>
    <t>Normatieve boekwaarde medische en overige inventarissen</t>
  </si>
  <si>
    <t xml:space="preserve">Afschrijvingen* </t>
  </si>
  <si>
    <t xml:space="preserve">F. </t>
  </si>
  <si>
    <t>Lokale prod.gebonden toeslag</t>
  </si>
  <si>
    <t>Afschrijving op afsluitkosten, emissie- en leningskosten (voor zover niet in afschrijvingen immat. activa en exclusief afschr. disagio waarborgfonds)</t>
  </si>
  <si>
    <t>A231</t>
  </si>
  <si>
    <t>Revalidatiebehandeluur (RBU)</t>
  </si>
  <si>
    <t>A021</t>
  </si>
  <si>
    <t>A022</t>
  </si>
  <si>
    <t>Revalidatiebehandeluur</t>
  </si>
  <si>
    <t>Revalidatiebehandeluur complexe hartrevalidatie</t>
  </si>
  <si>
    <t>Verpleeggelden / RBU´s (excl. vaste tarieven)</t>
  </si>
  <si>
    <t>Berekening nog te verwerken nacalculatie productie</t>
  </si>
  <si>
    <t>nomen t/m 2002</t>
  </si>
  <si>
    <t xml:space="preserve">Voor de definitieve nacalculatie van de gerealiseerde productie is een overzicht in het nacalculatieformulier opgenomen. </t>
  </si>
  <si>
    <t>H.</t>
  </si>
  <si>
    <t>I.</t>
  </si>
  <si>
    <t>Aanvaardbare kosten op kasbasis conform nacalculatieformulier voor budgetaanpassing rente (regel 1615)</t>
  </si>
  <si>
    <t>Is voor de langlopende leningen die geborgd zijn door het Waarborgfonds van 22 november 1999 tot 1 januari 2001, de werkelijke verschuldigde rente verhoogd met 0,6%? Indien geen langlopende leningen zijn geborgd tussen genoemde periode, kies dan "nvt".'</t>
  </si>
  <si>
    <t xml:space="preserve">a) Indien  gebruik wordt gemaakt van zo'n BTW-constructie voor (een deel van) de nacalculeerbare activa kunt u het CTG verzoeken om de kapitaalslasten conform de beleidsregel BTW-constructies vast te stellen. </t>
  </si>
  <si>
    <t>1a</t>
  </si>
  <si>
    <t>VERSIEBEHEER</t>
  </si>
  <si>
    <t>Omschrijving wijzigingen</t>
  </si>
  <si>
    <t>Distributie</t>
  </si>
  <si>
    <t>Nadat de periode, waarin voor de berekening van de aanvaardbare rentekosten werd uitgegaan van het rentepercentage van de oude lening, is verstreken dient u in de kolom ´einddatum rentevastperiode´ de einddatum van de vervangende lening te vermelden en in de kolom ´% werkelijk´ het werkelijke rentepercentage van de vervangende lening.</t>
  </si>
  <si>
    <t>3. In de kolom ´N, W, of V´ moet een ´W` worden  vermeld voor bestaande leningen waarvoor de werkelijke rentekosten aanvaardbaar zijn. U vermeldt een ´V´als sprake is van een na 31 december 2000 afgesloten lening waarvoor eeen normrente is vastgesteld en die in de plaats komt van een vervroegd afgeloste lening. U vermeld een ´N´ wanneer voor de lening een normatief percentage is vastgesteld en er geen sprake is van vervanging van een vervroegd afgeloste lening.</t>
  </si>
  <si>
    <t>Normatief werkkapitaal</t>
  </si>
  <si>
    <t xml:space="preserve">Norm. Boekwaarde </t>
  </si>
  <si>
    <t>Langlopende leningen (incl. langlopende leasecontracten)</t>
  </si>
  <si>
    <t xml:space="preserve">G. </t>
  </si>
  <si>
    <t xml:space="preserve">H. </t>
  </si>
  <si>
    <t>Eigen vermogen</t>
  </si>
  <si>
    <t xml:space="preserve">I. </t>
  </si>
  <si>
    <t>4.2</t>
  </si>
  <si>
    <t>4.3</t>
  </si>
  <si>
    <t>Nog in de tarieven te verrekenen</t>
  </si>
  <si>
    <t>TOELICHTING / INVULINSTRUCTIE</t>
  </si>
  <si>
    <t>Boekwaarde investeringen waarvoor vergunning is verleend</t>
  </si>
  <si>
    <t>Vrijvallende afschrijvingen</t>
  </si>
  <si>
    <t>Afschrijvingen nieuw</t>
  </si>
  <si>
    <t xml:space="preserve">Aanschafw. </t>
  </si>
  <si>
    <t>1.7</t>
  </si>
  <si>
    <t>Nacalculatie</t>
  </si>
  <si>
    <t>Contactpersoon</t>
  </si>
  <si>
    <t>Telefoon</t>
  </si>
  <si>
    <t>Fax</t>
  </si>
  <si>
    <t>E-mail</t>
  </si>
  <si>
    <t>(datum)</t>
  </si>
  <si>
    <t>(naam)</t>
  </si>
  <si>
    <t>(handtekening)</t>
  </si>
  <si>
    <t>Ondertekening namens het orgaan voor de gezondheidszorg:</t>
  </si>
  <si>
    <t>Medewerker</t>
  </si>
  <si>
    <t>Niet invullen</t>
  </si>
  <si>
    <t>Aanvraag</t>
  </si>
  <si>
    <t>INHOUDSOPGAVE</t>
  </si>
  <si>
    <t>1.4</t>
  </si>
  <si>
    <t>RUBRIEK 3: OVERZICHT MUTATIES</t>
  </si>
  <si>
    <t>december</t>
  </si>
  <si>
    <t>A003</t>
  </si>
  <si>
    <t>Specificatie investeringen in instandhouding (WZV-meldingsplichtige vaste activa)</t>
  </si>
  <si>
    <t>t.l.v. trekk.recht.</t>
  </si>
  <si>
    <t>Afschrijvingskosten medische en overige inventarissen</t>
  </si>
  <si>
    <t>Budgetaanpassing medische en overige inventarissen(goedkeuringsbrieven VWS toevoegen)</t>
  </si>
  <si>
    <t>Korting toepassing beleidsregel investeringen(zie berekening hieronder)</t>
  </si>
  <si>
    <t>Totaal budgetaanpassing</t>
  </si>
  <si>
    <t>Goedgekeurde investeringsbedrag</t>
  </si>
  <si>
    <t>Kortingspercentage</t>
  </si>
  <si>
    <t>1.0</t>
  </si>
  <si>
    <t xml:space="preserve">Productieaantallen en realisatie 2004 </t>
  </si>
  <si>
    <t>Nieuwe leningen kunt u in dit overzicht opnemen door de storting te verwerken als een negatieve aflossing. Als op de nieuwe lening in hetzelfde jaar nog wordt afgelost kunnen deze aflossingen op een aparte regel worden verwerkt.</t>
  </si>
  <si>
    <t>Dieetadvisering</t>
  </si>
  <si>
    <t>definitief</t>
  </si>
  <si>
    <t>publiek</t>
  </si>
  <si>
    <t>Bijlage 1 bij circulaire JHYM/jprn/CI/06/14c</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</si>
</sst>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d\ mmmm\ yyyy"/>
    <numFmt numFmtId="173" formatCode="0.0%"/>
    <numFmt numFmtId="174" formatCode="0.00000"/>
    <numFmt numFmtId="175" formatCode="#,##0.0000"/>
    <numFmt numFmtId="176" formatCode="dd/mm/yy"/>
    <numFmt numFmtId="177" formatCode="#,##0_ \ ;\(#,##0_ \ \);"/>
    <numFmt numFmtId="178" formatCode="#,##0;\(#,##0_ \ \);"/>
    <numFmt numFmtId="179" formatCode="#,##0_ \ ;\(#,##0\)_ ;"/>
    <numFmt numFmtId="180" formatCode="#,##0\ ;\(#,##0\);"/>
    <numFmt numFmtId="181" formatCode="#,##0_ \ ;\(#,##0\)_ ;\ \ "/>
    <numFmt numFmtId="182" formatCode="#,##0_ ;\(#,##0\);"/>
    <numFmt numFmtId="183" formatCode="dd/mm/yy_ "/>
    <numFmt numFmtId="184" formatCode="\(#,##0\)_ ;#,##0_ \ ;\ \(* \)_ "/>
    <numFmt numFmtId="185" formatCode="#,##0_ ;;"/>
    <numFmt numFmtId="186" formatCode="General\ "/>
    <numFmt numFmtId="187" formatCode="0\ ;"/>
    <numFmt numFmtId="188" formatCode="\ \ƒ* #,##0_ \ ;\ \ƒ* ;\ \ƒ* "/>
    <numFmt numFmtId="189" formatCode="\ \ \ \ 0"/>
    <numFmt numFmtId="190" formatCode="0_ "/>
    <numFmt numFmtId="191" formatCode="0;;"/>
    <numFmt numFmtId="192" formatCode="0%;\(0%\);\%"/>
    <numFmt numFmtId="193" formatCode="#,##0_ ;\-#,##0\ "/>
  </numFmts>
  <fonts count="29">
    <font>
      <sz val="10"/>
      <name val="Arial"/>
      <family val="0"/>
    </font>
    <font>
      <b/>
      <sz val="10"/>
      <name val="Arial"/>
      <family val="2"/>
    </font>
    <font>
      <sz val="8"/>
      <name val="Arial"/>
      <family val="2"/>
    </font>
    <font>
      <b/>
      <sz val="8"/>
      <name val="Arial"/>
      <family val="2"/>
    </font>
    <font>
      <sz val="9"/>
      <name val="Arial"/>
      <family val="2"/>
    </font>
    <font>
      <b/>
      <sz val="9"/>
      <name val="Arial"/>
      <family val="2"/>
    </font>
    <font>
      <sz val="8"/>
      <color indexed="9"/>
      <name val="Arial"/>
      <family val="2"/>
    </font>
    <font>
      <sz val="10"/>
      <name val="Helv"/>
      <family val="0"/>
    </font>
    <font>
      <b/>
      <sz val="14"/>
      <name val="Helv"/>
      <family val="0"/>
    </font>
    <font>
      <sz val="24"/>
      <color indexed="13"/>
      <name val="Helv"/>
      <family val="0"/>
    </font>
    <font>
      <b/>
      <i/>
      <sz val="8"/>
      <name val="Arial"/>
      <family val="2"/>
    </font>
    <font>
      <sz val="10"/>
      <color indexed="9"/>
      <name val="Arial"/>
      <family val="2"/>
    </font>
    <font>
      <sz val="8"/>
      <name val="Tahoma"/>
      <family val="2"/>
    </font>
    <font>
      <b/>
      <sz val="8"/>
      <color indexed="9"/>
      <name val="Arial"/>
      <family val="2"/>
    </font>
    <font>
      <b/>
      <i/>
      <sz val="9"/>
      <name val="Arial"/>
      <family val="2"/>
    </font>
    <font>
      <sz val="9"/>
      <color indexed="9"/>
      <name val="Arial"/>
      <family val="2"/>
    </font>
    <font>
      <b/>
      <sz val="9"/>
      <color indexed="9"/>
      <name val="Arial"/>
      <family val="2"/>
    </font>
    <font>
      <sz val="12"/>
      <name val="Arial"/>
      <family val="2"/>
    </font>
    <font>
      <sz val="20"/>
      <name val="Arial"/>
      <family val="2"/>
    </font>
    <font>
      <sz val="9"/>
      <color indexed="61"/>
      <name val="Arial"/>
      <family val="2"/>
    </font>
    <font>
      <i/>
      <sz val="9"/>
      <name val="Arial"/>
      <family val="2"/>
    </font>
    <font>
      <b/>
      <sz val="9"/>
      <color indexed="8"/>
      <name val="Arial"/>
      <family val="2"/>
    </font>
    <font>
      <u val="single"/>
      <sz val="10"/>
      <color indexed="12"/>
      <name val="Arial"/>
      <family val="0"/>
    </font>
    <font>
      <u val="single"/>
      <sz val="10"/>
      <color indexed="36"/>
      <name val="Arial"/>
      <family val="0"/>
    </font>
    <font>
      <b/>
      <sz val="12"/>
      <name val="Arial"/>
      <family val="2"/>
    </font>
    <font>
      <sz val="9"/>
      <color indexed="47"/>
      <name val="Arial"/>
      <family val="2"/>
    </font>
    <font>
      <sz val="9"/>
      <color indexed="8"/>
      <name val="Arial"/>
      <family val="2"/>
    </font>
    <font>
      <vertAlign val="superscript"/>
      <sz val="9"/>
      <name val="Arial"/>
      <family val="2"/>
    </font>
    <font>
      <u val="single"/>
      <sz val="9"/>
      <name val="Arial"/>
      <family val="2"/>
    </font>
  </fonts>
  <fills count="10">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60"/>
        <bgColor indexed="64"/>
      </patternFill>
    </fill>
    <fill>
      <patternFill patternType="solid">
        <fgColor indexed="16"/>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84">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style="hair"/>
      <top style="hair"/>
      <bottom>
        <color indexed="63"/>
      </bottom>
    </border>
    <border>
      <left>
        <color indexed="63"/>
      </left>
      <right>
        <color indexed="63"/>
      </right>
      <top style="hair"/>
      <bottom style="hair"/>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thin"/>
      <right style="thin"/>
      <top style="thin"/>
      <bottom>
        <color indexed="63"/>
      </bottom>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color indexed="63"/>
      </top>
      <bottom style="hair"/>
    </border>
    <border>
      <left style="thin"/>
      <right style="hair"/>
      <top style="hair"/>
      <bottom style="hair"/>
    </border>
    <border>
      <left style="thin"/>
      <right style="hair"/>
      <top style="hair"/>
      <bottom style="thin"/>
    </border>
    <border>
      <left style="thin"/>
      <right>
        <color indexed="63"/>
      </right>
      <top style="hair"/>
      <bottom style="hair"/>
    </border>
    <border>
      <left style="thin"/>
      <right>
        <color indexed="63"/>
      </right>
      <top style="hair"/>
      <bottom style="thin"/>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style="hair"/>
      <top style="hair"/>
      <bottom style="thin"/>
    </border>
    <border>
      <left>
        <color indexed="63"/>
      </left>
      <right style="thin"/>
      <top style="thin"/>
      <bottom>
        <color indexed="63"/>
      </bottom>
    </border>
    <border>
      <left style="hair"/>
      <right style="hair"/>
      <top>
        <color indexed="63"/>
      </top>
      <bottom style="hair"/>
    </border>
    <border>
      <left>
        <color indexed="63"/>
      </left>
      <right style="hair"/>
      <top style="thin"/>
      <bottom style="hair"/>
    </border>
    <border>
      <left style="hair"/>
      <right>
        <color indexed="63"/>
      </right>
      <top style="hair"/>
      <bottom style="thin"/>
    </border>
    <border>
      <left style="hair"/>
      <right>
        <color indexed="63"/>
      </right>
      <top style="thin"/>
      <bottom style="thin"/>
    </border>
    <border>
      <left>
        <color indexed="63"/>
      </left>
      <right style="hair"/>
      <top>
        <color indexed="63"/>
      </top>
      <bottom style="thin"/>
    </border>
    <border>
      <left style="hair"/>
      <right style="hair"/>
      <top>
        <color indexed="63"/>
      </top>
      <bottom style="thin"/>
    </border>
    <border>
      <left style="hair"/>
      <right style="hair"/>
      <top style="thin"/>
      <bottom style="thin"/>
    </border>
    <border>
      <left style="thin"/>
      <right style="hair"/>
      <top>
        <color indexed="63"/>
      </top>
      <bottom style="hair"/>
    </border>
    <border>
      <left style="thin"/>
      <right style="hair"/>
      <top style="hair"/>
      <bottom>
        <color indexed="63"/>
      </bottom>
    </border>
    <border>
      <left>
        <color indexed="63"/>
      </left>
      <right style="hair"/>
      <top>
        <color indexed="63"/>
      </top>
      <bottom style="hair"/>
    </border>
    <border>
      <left>
        <color indexed="63"/>
      </left>
      <right>
        <color indexed="63"/>
      </right>
      <top style="thin"/>
      <bottom style="hair"/>
    </border>
    <border>
      <left style="hair"/>
      <right>
        <color indexed="63"/>
      </right>
      <top style="hair"/>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style="hair"/>
      <bottom style="thin"/>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medium"/>
    </border>
    <border>
      <left>
        <color indexed="63"/>
      </left>
      <right style="thin"/>
      <top style="hair"/>
      <bottom>
        <color indexed="63"/>
      </bottom>
    </border>
    <border>
      <left>
        <color indexed="63"/>
      </left>
      <right style="thin"/>
      <top>
        <color indexed="63"/>
      </top>
      <bottom style="hair"/>
    </border>
    <border>
      <left style="thin"/>
      <right style="hair"/>
      <top style="thin"/>
      <bottom style="thin"/>
    </border>
    <border>
      <left style="hair"/>
      <right style="thin"/>
      <top style="thin"/>
      <bottom style="thin"/>
    </border>
    <border>
      <left style="hair"/>
      <right style="hair"/>
      <top>
        <color indexed="63"/>
      </top>
      <bottom>
        <color indexed="63"/>
      </bottom>
    </border>
    <border>
      <left style="hair"/>
      <right>
        <color indexed="63"/>
      </right>
      <top>
        <color indexed="63"/>
      </top>
      <bottom style="hair"/>
    </border>
    <border>
      <left style="hair"/>
      <right style="thin"/>
      <top style="thin"/>
      <bottom style="hair"/>
    </border>
    <border>
      <left style="hair"/>
      <right style="thin"/>
      <top style="hair"/>
      <bottom style="hair"/>
    </border>
    <border>
      <left style="thin"/>
      <right style="hair"/>
      <top style="thin"/>
      <bottom style="hair"/>
    </border>
    <border>
      <left>
        <color indexed="63"/>
      </left>
      <right style="thin"/>
      <top style="hair"/>
      <bottom style="hair"/>
    </border>
    <border>
      <left style="thin"/>
      <right>
        <color indexed="63"/>
      </right>
      <top>
        <color indexed="63"/>
      </top>
      <bottom style="hair"/>
    </border>
    <border>
      <left style="hair"/>
      <right style="thin"/>
      <top style="hair"/>
      <bottom style="thin"/>
    </border>
    <border>
      <left style="hair"/>
      <right>
        <color indexed="63"/>
      </right>
      <top style="thin"/>
      <bottom style="hair"/>
    </border>
    <border>
      <left style="hair"/>
      <right style="thin"/>
      <top>
        <color indexed="63"/>
      </top>
      <bottom>
        <color indexed="63"/>
      </bottom>
    </border>
  </borders>
  <cellStyleXfs count="45">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1">
      <alignment/>
      <protection/>
    </xf>
    <xf numFmtId="0" fontId="23"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8"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7" fillId="0" borderId="0">
      <alignment/>
      <protection/>
    </xf>
    <xf numFmtId="0" fontId="0" fillId="0" borderId="0">
      <alignment/>
      <protection/>
    </xf>
    <xf numFmtId="0" fontId="0" fillId="0" borderId="0" applyFill="0" applyBorder="0">
      <alignment/>
      <protection/>
    </xf>
    <xf numFmtId="179" fontId="4" fillId="0" borderId="2" applyFill="0" applyBorder="0">
      <alignment/>
      <protection/>
    </xf>
    <xf numFmtId="188" fontId="4" fillId="0" borderId="2" applyFill="0" applyBorder="0">
      <alignment/>
      <protection/>
    </xf>
    <xf numFmtId="184" fontId="4" fillId="0" borderId="2" applyFill="0" applyBorder="0">
      <alignment/>
      <protection/>
    </xf>
    <xf numFmtId="179" fontId="5" fillId="3" borderId="3">
      <alignment/>
      <protection/>
    </xf>
    <xf numFmtId="184" fontId="5" fillId="3" borderId="3">
      <alignment/>
      <protection/>
    </xf>
    <xf numFmtId="0" fontId="7" fillId="0" borderId="1">
      <alignment/>
      <protection/>
    </xf>
    <xf numFmtId="0" fontId="9" fillId="4" borderId="0">
      <alignment/>
      <protection/>
    </xf>
    <xf numFmtId="0" fontId="8" fillId="0" borderId="4">
      <alignment/>
      <protection/>
    </xf>
    <xf numFmtId="0" fontId="8"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447">
    <xf numFmtId="0" fontId="0" fillId="0" borderId="0" xfId="0" applyAlignment="1">
      <alignment/>
    </xf>
    <xf numFmtId="0" fontId="1" fillId="0" borderId="0" xfId="0" applyNumberFormat="1"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protection hidden="1"/>
    </xf>
    <xf numFmtId="0" fontId="1" fillId="0" borderId="0" xfId="0" applyFont="1" applyBorder="1" applyAlignment="1" applyProtection="1">
      <alignment/>
      <protection hidden="1"/>
    </xf>
    <xf numFmtId="0" fontId="0" fillId="0" borderId="0" xfId="0" applyBorder="1" applyAlignment="1" applyProtection="1">
      <alignment/>
      <protection hidden="1"/>
    </xf>
    <xf numFmtId="0" fontId="2" fillId="0" borderId="5" xfId="0" applyNumberFormat="1" applyFont="1" applyBorder="1" applyAlignment="1" applyProtection="1">
      <alignment vertical="center"/>
      <protection hidden="1"/>
    </xf>
    <xf numFmtId="0" fontId="2" fillId="0" borderId="5" xfId="0" applyFont="1" applyBorder="1" applyAlignment="1" applyProtection="1">
      <alignment vertical="center"/>
      <protection hidden="1"/>
    </xf>
    <xf numFmtId="0" fontId="13" fillId="0" borderId="5" xfId="0" applyNumberFormat="1" applyFont="1" applyBorder="1" applyAlignment="1" applyProtection="1">
      <alignment vertical="center"/>
      <protection hidden="1"/>
    </xf>
    <xf numFmtId="0" fontId="6" fillId="0" borderId="5" xfId="0" applyFont="1" applyBorder="1" applyAlignment="1" applyProtection="1">
      <alignment vertical="center"/>
      <protection hidden="1"/>
    </xf>
    <xf numFmtId="187" fontId="2" fillId="0" borderId="6" xfId="0" applyNumberFormat="1" applyFont="1" applyBorder="1" applyAlignment="1" applyProtection="1">
      <alignment horizontal="right" vertical="center"/>
      <protection hidden="1"/>
    </xf>
    <xf numFmtId="0" fontId="2"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NumberFormat="1" applyFont="1" applyBorder="1" applyAlignment="1" applyProtection="1">
      <alignment horizontal="left"/>
      <protection hidden="1"/>
    </xf>
    <xf numFmtId="37" fontId="0" fillId="0" borderId="0" xfId="0" applyNumberFormat="1" applyAlignment="1" applyProtection="1">
      <alignment/>
      <protection hidden="1"/>
    </xf>
    <xf numFmtId="2" fontId="0" fillId="0" borderId="0" xfId="0" applyNumberFormat="1" applyFont="1" applyAlignment="1" applyProtection="1">
      <alignment/>
      <protection hidden="1"/>
    </xf>
    <xf numFmtId="37" fontId="0" fillId="0" borderId="0" xfId="0" applyNumberFormat="1" applyFont="1" applyAlignment="1" applyProtection="1">
      <alignment/>
      <protection hidden="1"/>
    </xf>
    <xf numFmtId="37" fontId="1" fillId="0" borderId="0" xfId="0" applyNumberFormat="1" applyFont="1" applyBorder="1" applyAlignment="1" applyProtection="1">
      <alignment horizontal="left"/>
      <protection hidden="1"/>
    </xf>
    <xf numFmtId="37" fontId="1" fillId="0" borderId="0" xfId="0" applyNumberFormat="1" applyFont="1" applyBorder="1" applyAlignment="1" applyProtection="1">
      <alignment horizontal="center"/>
      <protection hidden="1"/>
    </xf>
    <xf numFmtId="0" fontId="1" fillId="0" borderId="0" xfId="32" applyFont="1" applyBorder="1" applyAlignment="1" applyProtection="1">
      <alignment horizontal="left"/>
      <protection hidden="1"/>
    </xf>
    <xf numFmtId="0"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left" vertical="center"/>
      <protection hidden="1"/>
    </xf>
    <xf numFmtId="37" fontId="3" fillId="3" borderId="7" xfId="0" applyNumberFormat="1" applyFont="1" applyFill="1" applyBorder="1" applyAlignment="1" applyProtection="1">
      <alignment horizontal="right" vertical="center"/>
      <protection hidden="1"/>
    </xf>
    <xf numFmtId="37"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right" vertical="center"/>
      <protection hidden="1"/>
    </xf>
    <xf numFmtId="0" fontId="5" fillId="0" borderId="0" xfId="0" applyNumberFormat="1" applyFont="1" applyBorder="1" applyAlignment="1" applyProtection="1">
      <alignment/>
      <protection hidden="1"/>
    </xf>
    <xf numFmtId="37" fontId="5" fillId="0" borderId="0" xfId="0" applyNumberFormat="1" applyFont="1" applyBorder="1" applyAlignment="1" applyProtection="1">
      <alignment/>
      <protection hidden="1"/>
    </xf>
    <xf numFmtId="0" fontId="5" fillId="0" borderId="0" xfId="0" applyFont="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5" fillId="0" borderId="0" xfId="0" applyFont="1" applyBorder="1" applyAlignment="1" applyProtection="1">
      <alignment horizontal="right"/>
      <protection hidden="1"/>
    </xf>
    <xf numFmtId="0" fontId="5" fillId="3" borderId="8" xfId="0" applyNumberFormat="1" applyFont="1" applyFill="1" applyBorder="1" applyAlignment="1" applyProtection="1">
      <alignment horizontal="left"/>
      <protection hidden="1"/>
    </xf>
    <xf numFmtId="0" fontId="5" fillId="3" borderId="9" xfId="0" applyNumberFormat="1" applyFont="1" applyFill="1" applyBorder="1" applyAlignment="1" applyProtection="1">
      <alignment horizontal="left"/>
      <protection hidden="1"/>
    </xf>
    <xf numFmtId="37" fontId="5" fillId="0" borderId="0" xfId="0" applyNumberFormat="1" applyFont="1" applyBorder="1" applyAlignment="1" applyProtection="1">
      <alignment horizontal="left"/>
      <protection hidden="1"/>
    </xf>
    <xf numFmtId="0" fontId="5" fillId="3" borderId="10" xfId="0" applyNumberFormat="1" applyFont="1" applyFill="1" applyBorder="1" applyAlignment="1" applyProtection="1">
      <alignment horizontal="left"/>
      <protection hidden="1"/>
    </xf>
    <xf numFmtId="0" fontId="5" fillId="3" borderId="11" xfId="0" applyNumberFormat="1" applyFont="1" applyFill="1" applyBorder="1" applyAlignment="1" applyProtection="1">
      <alignment horizontal="left"/>
      <protection hidden="1"/>
    </xf>
    <xf numFmtId="37" fontId="4" fillId="0" borderId="12" xfId="0" applyNumberFormat="1" applyFont="1" applyFill="1" applyBorder="1" applyAlignment="1" applyProtection="1">
      <alignment/>
      <protection hidden="1"/>
    </xf>
    <xf numFmtId="0" fontId="5" fillId="3" borderId="3" xfId="0" applyNumberFormat="1" applyFont="1" applyFill="1" applyBorder="1" applyAlignment="1" applyProtection="1">
      <alignment horizontal="left"/>
      <protection hidden="1"/>
    </xf>
    <xf numFmtId="37" fontId="5" fillId="3" borderId="5" xfId="0" applyNumberFormat="1" applyFont="1" applyFill="1" applyBorder="1" applyAlignment="1" applyProtection="1">
      <alignment/>
      <protection hidden="1"/>
    </xf>
    <xf numFmtId="185" fontId="4" fillId="3" borderId="5" xfId="34" applyNumberFormat="1" applyFont="1" applyFill="1" applyBorder="1" applyAlignment="1" applyProtection="1">
      <alignment horizontal="left"/>
      <protection hidden="1"/>
    </xf>
    <xf numFmtId="185" fontId="4" fillId="3" borderId="5" xfId="36" applyNumberFormat="1" applyFont="1" applyFill="1" applyBorder="1" applyAlignment="1" applyProtection="1">
      <alignment/>
      <protection hidden="1"/>
    </xf>
    <xf numFmtId="0" fontId="5" fillId="0" borderId="0" xfId="0" applyNumberFormat="1" applyFont="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lef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protection hidden="1"/>
    </xf>
    <xf numFmtId="185" fontId="4" fillId="3" borderId="7" xfId="36" applyNumberFormat="1" applyFont="1" applyFill="1" applyBorder="1" applyAlignment="1" applyProtection="1">
      <alignment/>
      <protection hidden="1"/>
    </xf>
    <xf numFmtId="0" fontId="5" fillId="0" borderId="0" xfId="0" applyFont="1" applyAlignment="1" applyProtection="1">
      <alignment/>
      <protection hidden="1"/>
    </xf>
    <xf numFmtId="0" fontId="4" fillId="0" borderId="0" xfId="0" applyFont="1" applyAlignment="1" applyProtection="1">
      <alignment vertical="top"/>
      <protection hidden="1"/>
    </xf>
    <xf numFmtId="37" fontId="4" fillId="0" borderId="13" xfId="0" applyNumberFormat="1" applyFont="1" applyFill="1" applyBorder="1" applyAlignment="1" applyProtection="1">
      <alignment/>
      <protection hidden="1" locked="0"/>
    </xf>
    <xf numFmtId="0" fontId="4" fillId="0" borderId="13" xfId="0" applyFont="1" applyFill="1" applyBorder="1" applyAlignment="1" applyProtection="1">
      <alignment/>
      <protection hidden="1" locked="0"/>
    </xf>
    <xf numFmtId="0" fontId="5" fillId="3" borderId="14" xfId="0" applyNumberFormat="1" applyFont="1" applyFill="1" applyBorder="1" applyAlignment="1" applyProtection="1">
      <alignment horizontal="left"/>
      <protection hidden="1"/>
    </xf>
    <xf numFmtId="0" fontId="4" fillId="3" borderId="5" xfId="0" applyFont="1" applyFill="1" applyBorder="1" applyAlignment="1" applyProtection="1">
      <alignment/>
      <protection hidden="1"/>
    </xf>
    <xf numFmtId="0" fontId="1" fillId="0" borderId="0" xfId="0" applyNumberFormat="1" applyFont="1" applyBorder="1" applyAlignment="1" applyProtection="1">
      <alignment/>
      <protection hidden="1"/>
    </xf>
    <xf numFmtId="0" fontId="5" fillId="3" borderId="15" xfId="0" applyNumberFormat="1" applyFont="1" applyFill="1" applyBorder="1" applyAlignment="1" applyProtection="1">
      <alignment horizontal="left"/>
      <protection hidden="1"/>
    </xf>
    <xf numFmtId="37" fontId="4" fillId="0" borderId="6" xfId="0" applyNumberFormat="1" applyFont="1" applyFill="1" applyBorder="1" applyAlignment="1" applyProtection="1">
      <alignment/>
      <protection hidden="1" locked="0"/>
    </xf>
    <xf numFmtId="0" fontId="4" fillId="0" borderId="6" xfId="0" applyFont="1" applyFill="1" applyBorder="1" applyAlignment="1" applyProtection="1">
      <alignment/>
      <protection hidden="1" locked="0"/>
    </xf>
    <xf numFmtId="166" fontId="4" fillId="0" borderId="0" xfId="0" applyNumberFormat="1" applyFont="1" applyBorder="1" applyAlignment="1" applyProtection="1">
      <alignment horizontal="center"/>
      <protection hidden="1"/>
    </xf>
    <xf numFmtId="179" fontId="4" fillId="0" borderId="0" xfId="34" applyFont="1" applyBorder="1" applyAlignment="1" applyProtection="1">
      <alignment/>
      <protection hidden="1"/>
    </xf>
    <xf numFmtId="37" fontId="5" fillId="3" borderId="16" xfId="0" applyNumberFormat="1"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7" xfId="0" applyFont="1" applyFill="1" applyBorder="1" applyAlignment="1" applyProtection="1">
      <alignment/>
      <protection hidden="1"/>
    </xf>
    <xf numFmtId="37" fontId="3" fillId="0" borderId="0" xfId="0" applyNumberFormat="1" applyFont="1" applyFill="1" applyBorder="1" applyAlignment="1" applyProtection="1">
      <alignment horizontal="right" vertical="center"/>
      <protection hidden="1"/>
    </xf>
    <xf numFmtId="186" fontId="3" fillId="0" borderId="0"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protection hidden="1"/>
    </xf>
    <xf numFmtId="37" fontId="3" fillId="0" borderId="0" xfId="0" applyNumberFormat="1" applyFont="1" applyBorder="1" applyAlignment="1" applyProtection="1">
      <alignment/>
      <protection hidden="1"/>
    </xf>
    <xf numFmtId="0" fontId="1" fillId="0" borderId="0" xfId="0" applyFont="1" applyBorder="1" applyAlignment="1" applyProtection="1">
      <alignment horizontal="right" vertical="top"/>
      <protection hidden="1"/>
    </xf>
    <xf numFmtId="0" fontId="1" fillId="0" borderId="0" xfId="0" applyFont="1" applyBorder="1" applyAlignment="1" applyProtection="1">
      <alignment horizontal="right"/>
      <protection hidden="1"/>
    </xf>
    <xf numFmtId="37" fontId="3" fillId="0" borderId="0" xfId="0" applyNumberFormat="1" applyFont="1" applyFill="1" applyBorder="1" applyAlignment="1" applyProtection="1">
      <alignment/>
      <protection hidden="1"/>
    </xf>
    <xf numFmtId="0" fontId="1" fillId="0" borderId="0" xfId="0" applyFont="1" applyFill="1" applyBorder="1" applyAlignment="1" applyProtection="1">
      <alignment horizontal="right" vertical="top"/>
      <protection hidden="1"/>
    </xf>
    <xf numFmtId="0" fontId="1" fillId="0" borderId="0" xfId="0" applyFont="1" applyFill="1" applyBorder="1" applyAlignment="1" applyProtection="1">
      <alignment horizontal="right"/>
      <protection hidden="1"/>
    </xf>
    <xf numFmtId="0" fontId="5"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10" fillId="0" borderId="17" xfId="0" applyNumberFormat="1" applyFont="1" applyFill="1" applyBorder="1" applyAlignment="1" applyProtection="1">
      <alignment horizontal="right"/>
      <protection hidden="1"/>
    </xf>
    <xf numFmtId="0" fontId="1"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5" fillId="0" borderId="17" xfId="0" applyFont="1" applyFill="1" applyBorder="1" applyAlignment="1" applyProtection="1">
      <alignment horizontal="right"/>
      <protection hidden="1"/>
    </xf>
    <xf numFmtId="0" fontId="4" fillId="0" borderId="18" xfId="0" applyFont="1" applyFill="1" applyBorder="1" applyAlignment="1" applyProtection="1">
      <alignment/>
      <protection hidden="1"/>
    </xf>
    <xf numFmtId="179" fontId="4" fillId="0" borderId="19" xfId="34" applyFont="1" applyFill="1" applyBorder="1" applyAlignment="1" applyProtection="1">
      <alignment/>
      <protection hidden="1"/>
    </xf>
    <xf numFmtId="179" fontId="4" fillId="3" borderId="7" xfId="34" applyFont="1" applyFill="1" applyBorder="1" applyAlignment="1" applyProtection="1">
      <alignment/>
      <protection hidden="1"/>
    </xf>
    <xf numFmtId="0" fontId="5" fillId="3" borderId="2" xfId="0" applyNumberFormat="1" applyFont="1" applyFill="1" applyBorder="1" applyAlignment="1" applyProtection="1">
      <alignment horizontal="left"/>
      <protection hidden="1"/>
    </xf>
    <xf numFmtId="0" fontId="5" fillId="0" borderId="20" xfId="0" applyFont="1" applyFill="1" applyBorder="1" applyAlignment="1" applyProtection="1">
      <alignment horizontal="right"/>
      <protection hidden="1"/>
    </xf>
    <xf numFmtId="0" fontId="5"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1" fillId="0" borderId="0" xfId="0" applyFont="1" applyFill="1" applyBorder="1" applyAlignment="1" applyProtection="1">
      <alignment/>
      <protection hidden="1"/>
    </xf>
    <xf numFmtId="0" fontId="1" fillId="0" borderId="0" xfId="0" applyNumberFormat="1" applyFont="1" applyFill="1" applyAlignment="1" applyProtection="1">
      <alignment/>
      <protection hidden="1"/>
    </xf>
    <xf numFmtId="0" fontId="0" fillId="0" borderId="0" xfId="0" applyFill="1" applyAlignment="1" applyProtection="1">
      <alignment/>
      <protection hidden="1"/>
    </xf>
    <xf numFmtId="0" fontId="10" fillId="0" borderId="13" xfId="0" applyFont="1" applyFill="1" applyBorder="1" applyAlignment="1" applyProtection="1">
      <alignment horizontal="right"/>
      <protection hidden="1"/>
    </xf>
    <xf numFmtId="179" fontId="4" fillId="3" borderId="5" xfId="34"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0" fillId="0" borderId="0" xfId="0" applyFont="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protection hidden="1"/>
    </xf>
    <xf numFmtId="0" fontId="0" fillId="0" borderId="0" xfId="0" applyFont="1" applyBorder="1" applyAlignment="1" applyProtection="1">
      <alignment/>
      <protection hidden="1"/>
    </xf>
    <xf numFmtId="2" fontId="0" fillId="0" borderId="0" xfId="0" applyNumberFormat="1" applyFont="1" applyAlignment="1" applyProtection="1">
      <alignment horizontal="left"/>
      <protection hidden="1"/>
    </xf>
    <xf numFmtId="0" fontId="1" fillId="0" borderId="0" xfId="0" applyNumberFormat="1" applyFont="1" applyBorder="1" applyAlignment="1" applyProtection="1">
      <alignment horizontal="left"/>
      <protection hidden="1"/>
    </xf>
    <xf numFmtId="0" fontId="3" fillId="0" borderId="0" xfId="0" applyFont="1" applyFill="1" applyBorder="1" applyAlignment="1" applyProtection="1">
      <alignment horizontal="left"/>
      <protection hidden="1"/>
    </xf>
    <xf numFmtId="170" fontId="3"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protection hidden="1"/>
    </xf>
    <xf numFmtId="37"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right"/>
      <protection hidden="1"/>
    </xf>
    <xf numFmtId="0" fontId="3" fillId="0" borderId="0" xfId="0" applyFont="1" applyFill="1" applyAlignment="1" applyProtection="1">
      <alignment/>
      <protection hidden="1"/>
    </xf>
    <xf numFmtId="37" fontId="3" fillId="3" borderId="21" xfId="0" applyNumberFormat="1" applyFont="1" applyFill="1" applyBorder="1" applyAlignment="1" applyProtection="1">
      <alignment horizontal="right" vertical="center"/>
      <protection hidden="1"/>
    </xf>
    <xf numFmtId="190" fontId="3" fillId="3" borderId="14" xfId="0" applyNumberFormat="1" applyFont="1" applyFill="1" applyBorder="1" applyAlignment="1" applyProtection="1">
      <alignment horizontal="right" vertical="center"/>
      <protection hidden="1"/>
    </xf>
    <xf numFmtId="0" fontId="3" fillId="3" borderId="22" xfId="0" applyFont="1" applyFill="1" applyBorder="1" applyAlignment="1" applyProtection="1">
      <alignment horizontal="right" vertical="center"/>
      <protection hidden="1"/>
    </xf>
    <xf numFmtId="0" fontId="3" fillId="3" borderId="3" xfId="0" applyFont="1" applyFill="1" applyBorder="1" applyAlignment="1" applyProtection="1">
      <alignment horizontal="right" vertical="center"/>
      <protection hidden="1"/>
    </xf>
    <xf numFmtId="0" fontId="3" fillId="3" borderId="14" xfId="0" applyFont="1" applyFill="1" applyBorder="1" applyAlignment="1" applyProtection="1">
      <alignment horizontal="right" vertical="center"/>
      <protection hidden="1"/>
    </xf>
    <xf numFmtId="170" fontId="5" fillId="0" borderId="0"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2" fillId="0" borderId="0" xfId="0" applyNumberFormat="1" applyFont="1" applyBorder="1" applyAlignment="1" applyProtection="1">
      <alignment horizontal="left"/>
      <protection hidden="1"/>
    </xf>
    <xf numFmtId="0" fontId="3" fillId="0" borderId="0" xfId="0" applyFont="1" applyBorder="1" applyAlignment="1" applyProtection="1">
      <alignment horizontal="left"/>
      <protection hidden="1"/>
    </xf>
    <xf numFmtId="0" fontId="2"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Alignment="1" applyProtection="1">
      <alignment/>
      <protection hidden="1"/>
    </xf>
    <xf numFmtId="37" fontId="5" fillId="0" borderId="0" xfId="0" applyNumberFormat="1" applyFont="1" applyFill="1" applyBorder="1" applyAlignment="1" applyProtection="1">
      <alignment horizontal="right"/>
      <protection hidden="1"/>
    </xf>
    <xf numFmtId="0" fontId="10" fillId="0" borderId="0" xfId="0" applyFont="1" applyBorder="1" applyAlignment="1" applyProtection="1">
      <alignment horizontal="right"/>
      <protection hidden="1"/>
    </xf>
    <xf numFmtId="0" fontId="4" fillId="0" borderId="17" xfId="0" applyFont="1" applyFill="1" applyBorder="1" applyAlignment="1" applyProtection="1">
      <alignment/>
      <protection hidden="1"/>
    </xf>
    <xf numFmtId="170" fontId="0" fillId="0" borderId="0" xfId="0" applyNumberFormat="1" applyAlignment="1" applyProtection="1">
      <alignment horizontal="left"/>
      <protection hidden="1"/>
    </xf>
    <xf numFmtId="37" fontId="5" fillId="0" borderId="0" xfId="0" applyNumberFormat="1" applyFont="1" applyFill="1" applyBorder="1" applyAlignment="1" applyProtection="1">
      <alignment horizontal="right" vertical="center"/>
      <protection hidden="1"/>
    </xf>
    <xf numFmtId="0" fontId="5" fillId="0" borderId="0" xfId="32" applyFont="1" applyAlignment="1" applyProtection="1">
      <alignment horizontal="left"/>
      <protection hidden="1"/>
    </xf>
    <xf numFmtId="0" fontId="5" fillId="3" borderId="8" xfId="32" applyFont="1" applyFill="1" applyBorder="1" applyAlignment="1" applyProtection="1">
      <alignment horizontal="left"/>
      <protection hidden="1"/>
    </xf>
    <xf numFmtId="0" fontId="5" fillId="3" borderId="10" xfId="32" applyFont="1" applyFill="1" applyBorder="1" applyAlignment="1" applyProtection="1">
      <alignment horizontal="left"/>
      <protection hidden="1"/>
    </xf>
    <xf numFmtId="0" fontId="4" fillId="0" borderId="0" xfId="32" applyFont="1" applyBorder="1" applyAlignment="1" applyProtection="1">
      <alignment horizontal="center"/>
      <protection hidden="1"/>
    </xf>
    <xf numFmtId="0" fontId="5" fillId="3" borderId="15" xfId="32" applyFont="1" applyFill="1" applyBorder="1" applyAlignment="1" applyProtection="1">
      <alignment horizontal="left"/>
      <protection hidden="1"/>
    </xf>
    <xf numFmtId="0" fontId="5" fillId="3" borderId="3" xfId="32" applyFont="1" applyFill="1" applyBorder="1" applyAlignment="1" applyProtection="1">
      <alignment horizontal="left"/>
      <protection hidden="1"/>
    </xf>
    <xf numFmtId="0" fontId="5" fillId="3" borderId="3" xfId="0" applyFont="1" applyFill="1" applyBorder="1" applyAlignment="1" applyProtection="1">
      <alignment horizontal="left"/>
      <protection hidden="1"/>
    </xf>
    <xf numFmtId="0" fontId="4" fillId="0" borderId="0" xfId="32" applyFont="1" applyAlignment="1" applyProtection="1">
      <alignment horizontal="left"/>
      <protection hidden="1"/>
    </xf>
    <xf numFmtId="37" fontId="5" fillId="0" borderId="0" xfId="0" applyNumberFormat="1" applyFont="1" applyFill="1" applyBorder="1" applyAlignment="1" applyProtection="1">
      <alignment/>
      <protection hidden="1"/>
    </xf>
    <xf numFmtId="0" fontId="5" fillId="3" borderId="8" xfId="0" applyFont="1" applyFill="1" applyBorder="1" applyAlignment="1" applyProtection="1">
      <alignment horizontal="left"/>
      <protection hidden="1"/>
    </xf>
    <xf numFmtId="0" fontId="4" fillId="0" borderId="13" xfId="0" applyFont="1" applyFill="1" applyBorder="1" applyAlignment="1" applyProtection="1">
      <alignment/>
      <protection hidden="1"/>
    </xf>
    <xf numFmtId="0" fontId="5" fillId="3" borderId="10" xfId="0" applyFont="1" applyFill="1" applyBorder="1" applyAlignment="1" applyProtection="1">
      <alignment horizontal="left"/>
      <protection hidden="1"/>
    </xf>
    <xf numFmtId="183" fontId="4" fillId="0" borderId="23" xfId="0" applyNumberFormat="1" applyFont="1" applyFill="1" applyBorder="1" applyAlignment="1" applyProtection="1">
      <alignment horizontal="left"/>
      <protection hidden="1" locked="0"/>
    </xf>
    <xf numFmtId="2" fontId="0" fillId="0" borderId="0" xfId="0" applyNumberFormat="1" applyAlignment="1" applyProtection="1">
      <alignment/>
      <protection hidden="1"/>
    </xf>
    <xf numFmtId="37" fontId="0" fillId="0" borderId="0" xfId="0" applyNumberFormat="1" applyAlignment="1" applyProtection="1">
      <alignment horizontal="center"/>
      <protection hidden="1"/>
    </xf>
    <xf numFmtId="37" fontId="0" fillId="0" borderId="0" xfId="0" applyNumberFormat="1" applyBorder="1" applyAlignment="1" applyProtection="1">
      <alignment/>
      <protection hidden="1"/>
    </xf>
    <xf numFmtId="37" fontId="0" fillId="0" borderId="0" xfId="0" applyNumberFormat="1" applyBorder="1" applyAlignment="1" applyProtection="1">
      <alignment horizontal="center"/>
      <protection hidden="1"/>
    </xf>
    <xf numFmtId="189" fontId="4" fillId="0" borderId="23" xfId="0" applyNumberFormat="1" applyFont="1" applyFill="1" applyBorder="1" applyAlignment="1" applyProtection="1">
      <alignment horizontal="left"/>
      <protection hidden="1"/>
    </xf>
    <xf numFmtId="0" fontId="4" fillId="0" borderId="23" xfId="0" applyNumberFormat="1" applyFont="1" applyFill="1" applyBorder="1" applyAlignment="1" applyProtection="1">
      <alignment horizontal="left"/>
      <protection hidden="1"/>
    </xf>
    <xf numFmtId="0" fontId="4" fillId="5" borderId="24" xfId="0" applyNumberFormat="1" applyFont="1" applyFill="1" applyBorder="1" applyAlignment="1" applyProtection="1">
      <alignment horizontal="left"/>
      <protection hidden="1"/>
    </xf>
    <xf numFmtId="189" fontId="4" fillId="5" borderId="24" xfId="0" applyNumberFormat="1" applyFont="1" applyFill="1" applyBorder="1" applyAlignment="1" applyProtection="1">
      <alignment horizontal="left"/>
      <protection hidden="1"/>
    </xf>
    <xf numFmtId="0" fontId="4" fillId="3" borderId="5" xfId="0" applyNumberFormat="1" applyFont="1" applyFill="1" applyBorder="1" applyAlignment="1" applyProtection="1">
      <alignment horizontal="left"/>
      <protection hidden="1"/>
    </xf>
    <xf numFmtId="179" fontId="4" fillId="0" borderId="0" xfId="0" applyNumberFormat="1" applyFont="1" applyBorder="1" applyAlignment="1" applyProtection="1">
      <alignment/>
      <protection hidden="1"/>
    </xf>
    <xf numFmtId="49" fontId="4" fillId="0" borderId="0" xfId="0" applyNumberFormat="1" applyFont="1" applyBorder="1" applyAlignment="1" applyProtection="1">
      <alignment horizontal="center"/>
      <protection hidden="1"/>
    </xf>
    <xf numFmtId="184" fontId="4" fillId="6" borderId="23" xfId="36" applyFont="1" applyFill="1" applyBorder="1" applyAlignment="1" applyProtection="1">
      <alignment horizontal="right"/>
      <protection hidden="1"/>
    </xf>
    <xf numFmtId="49" fontId="5" fillId="6" borderId="25" xfId="0" applyNumberFormat="1" applyFont="1" applyFill="1" applyBorder="1" applyAlignment="1" applyProtection="1">
      <alignment horizontal="left"/>
      <protection hidden="1"/>
    </xf>
    <xf numFmtId="184" fontId="4" fillId="0" borderId="0" xfId="36" applyFont="1" applyFill="1" applyBorder="1" applyAlignment="1" applyProtection="1">
      <alignment horizontal="right"/>
      <protection hidden="1"/>
    </xf>
    <xf numFmtId="49" fontId="5" fillId="0" borderId="0" xfId="0" applyNumberFormat="1" applyFont="1" applyFill="1" applyBorder="1" applyAlignment="1" applyProtection="1">
      <alignment horizontal="left"/>
      <protection hidden="1"/>
    </xf>
    <xf numFmtId="49" fontId="5" fillId="0" borderId="13" xfId="0" applyNumberFormat="1" applyFont="1" applyFill="1" applyBorder="1" applyAlignment="1" applyProtection="1">
      <alignment horizontal="left"/>
      <protection hidden="1"/>
    </xf>
    <xf numFmtId="49" fontId="5" fillId="0" borderId="6" xfId="0" applyNumberFormat="1" applyFont="1" applyFill="1" applyBorder="1" applyAlignment="1" applyProtection="1">
      <alignment horizontal="left"/>
      <protection hidden="1"/>
    </xf>
    <xf numFmtId="49" fontId="5" fillId="3" borderId="5" xfId="0" applyNumberFormat="1" applyFont="1" applyFill="1" applyBorder="1" applyAlignment="1" applyProtection="1">
      <alignment horizontal="left"/>
      <protection hidden="1"/>
    </xf>
    <xf numFmtId="49" fontId="0" fillId="0" borderId="0" xfId="0" applyNumberFormat="1" applyFont="1" applyBorder="1" applyAlignment="1" applyProtection="1">
      <alignment horizontal="center"/>
      <protection hidden="1"/>
    </xf>
    <xf numFmtId="49" fontId="5" fillId="0" borderId="0" xfId="0" applyNumberFormat="1" applyFont="1" applyFill="1" applyBorder="1" applyAlignment="1" applyProtection="1">
      <alignment horizontal="right"/>
      <protection hidden="1"/>
    </xf>
    <xf numFmtId="49" fontId="4" fillId="0" borderId="0" xfId="0" applyNumberFormat="1" applyFont="1" applyAlignment="1" applyProtection="1">
      <alignment/>
      <protection hidden="1"/>
    </xf>
    <xf numFmtId="49" fontId="4" fillId="0" borderId="13" xfId="0" applyNumberFormat="1" applyFont="1" applyFill="1" applyBorder="1" applyAlignment="1" applyProtection="1">
      <alignment horizontal="left"/>
      <protection hidden="1"/>
    </xf>
    <xf numFmtId="0" fontId="5" fillId="0" borderId="6" xfId="0" applyNumberFormat="1" applyFont="1" applyBorder="1" applyAlignment="1" applyProtection="1">
      <alignment horizontal="left"/>
      <protection hidden="1"/>
    </xf>
    <xf numFmtId="37" fontId="5" fillId="0" borderId="0" xfId="0" applyNumberFormat="1" applyFont="1" applyBorder="1" applyAlignment="1" applyProtection="1">
      <alignment horizontal="right"/>
      <protection hidden="1"/>
    </xf>
    <xf numFmtId="37" fontId="5" fillId="0" borderId="0" xfId="0" applyNumberFormat="1" applyFont="1" applyBorder="1" applyAlignment="1" applyProtection="1">
      <alignment horizontal="right" vertical="top"/>
      <protection hidden="1"/>
    </xf>
    <xf numFmtId="0" fontId="2" fillId="0" borderId="0" xfId="0" applyNumberFormat="1" applyFont="1" applyBorder="1" applyAlignment="1" applyProtection="1">
      <alignment/>
      <protection hidden="1"/>
    </xf>
    <xf numFmtId="37" fontId="4" fillId="0" borderId="0" xfId="0" applyNumberFormat="1" applyFont="1" applyBorder="1" applyAlignment="1" applyProtection="1">
      <alignment/>
      <protection hidden="1"/>
    </xf>
    <xf numFmtId="37" fontId="4" fillId="0" borderId="0" xfId="0" applyNumberFormat="1" applyFont="1" applyBorder="1" applyAlignment="1" applyProtection="1">
      <alignment horizontal="left"/>
      <protection hidden="1"/>
    </xf>
    <xf numFmtId="37" fontId="4" fillId="0" borderId="0" xfId="0" applyNumberFormat="1" applyFont="1" applyBorder="1" applyAlignment="1" applyProtection="1">
      <alignment horizontal="center"/>
      <protection hidden="1"/>
    </xf>
    <xf numFmtId="0" fontId="4" fillId="0" borderId="0" xfId="0" applyNumberFormat="1" applyFont="1" applyBorder="1" applyAlignment="1" applyProtection="1">
      <alignment/>
      <protection hidden="1"/>
    </xf>
    <xf numFmtId="3" fontId="4" fillId="0" borderId="0" xfId="0" applyNumberFormat="1" applyFont="1" applyAlignment="1" applyProtection="1">
      <alignment horizontal="left"/>
      <protection hidden="1"/>
    </xf>
    <xf numFmtId="3" fontId="4" fillId="0" borderId="0" xfId="0" applyNumberFormat="1" applyFont="1" applyAlignment="1" applyProtection="1">
      <alignment/>
      <protection hidden="1"/>
    </xf>
    <xf numFmtId="0" fontId="5" fillId="0" borderId="0" xfId="0" applyNumberFormat="1" applyFont="1" applyAlignment="1" applyProtection="1">
      <alignment vertical="center"/>
      <protection hidden="1"/>
    </xf>
    <xf numFmtId="0" fontId="4" fillId="3" borderId="26"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4" fillId="3" borderId="0" xfId="0" applyFont="1" applyFill="1" applyBorder="1" applyAlignment="1" applyProtection="1">
      <alignment/>
      <protection hidden="1"/>
    </xf>
    <xf numFmtId="0" fontId="5" fillId="3" borderId="5" xfId="0" applyFont="1" applyFill="1" applyBorder="1" applyAlignment="1" applyProtection="1">
      <alignment horizontal="left"/>
      <protection hidden="1"/>
    </xf>
    <xf numFmtId="0" fontId="3" fillId="0" borderId="0" xfId="0" applyNumberFormat="1" applyFont="1" applyFill="1" applyBorder="1" applyAlignment="1" applyProtection="1">
      <alignment horizontal="left"/>
      <protection hidden="1"/>
    </xf>
    <xf numFmtId="0" fontId="5" fillId="0" borderId="0" xfId="0" applyFont="1" applyBorder="1" applyAlignment="1" applyProtection="1">
      <alignment horizontal="center"/>
      <protection hidden="1"/>
    </xf>
    <xf numFmtId="0" fontId="4" fillId="0" borderId="27" xfId="0" applyFont="1" applyFill="1" applyBorder="1" applyAlignment="1" applyProtection="1">
      <alignment horizontal="left"/>
      <protection hidden="1"/>
    </xf>
    <xf numFmtId="0" fontId="4" fillId="0" borderId="28" xfId="0" applyFont="1" applyFill="1" applyBorder="1" applyAlignment="1" applyProtection="1">
      <alignment/>
      <protection hidden="1"/>
    </xf>
    <xf numFmtId="0" fontId="4" fillId="0" borderId="0" xfId="0" applyFont="1" applyFill="1" applyAlignment="1" applyProtection="1">
      <alignment vertical="center"/>
      <protection hidden="1"/>
    </xf>
    <xf numFmtId="37" fontId="4" fillId="0" borderId="0" xfId="0" applyNumberFormat="1" applyFont="1" applyFill="1" applyAlignment="1" applyProtection="1">
      <alignment vertical="center"/>
      <protection hidden="1"/>
    </xf>
    <xf numFmtId="3" fontId="4" fillId="0" borderId="29" xfId="0" applyNumberFormat="1"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3" fontId="4" fillId="0" borderId="30" xfId="0" applyNumberFormat="1" applyFont="1" applyFill="1" applyBorder="1" applyAlignment="1" applyProtection="1">
      <alignment horizontal="left"/>
      <protection hidden="1"/>
    </xf>
    <xf numFmtId="0" fontId="4" fillId="0" borderId="19" xfId="0" applyFont="1" applyFill="1" applyBorder="1" applyAlignment="1" applyProtection="1">
      <alignment/>
      <protection hidden="1"/>
    </xf>
    <xf numFmtId="0" fontId="0" fillId="0" borderId="0" xfId="0" applyFill="1" applyBorder="1" applyAlignment="1" applyProtection="1">
      <alignment vertical="center"/>
      <protection hidden="1"/>
    </xf>
    <xf numFmtId="0" fontId="4" fillId="0" borderId="0" xfId="0" applyFont="1" applyAlignment="1" applyProtection="1">
      <alignment horizontal="center"/>
      <protection hidden="1"/>
    </xf>
    <xf numFmtId="0" fontId="4" fillId="3" borderId="16" xfId="0" applyNumberFormat="1" applyFont="1" applyFill="1" applyBorder="1" applyAlignment="1" applyProtection="1">
      <alignment horizontal="left"/>
      <protection hidden="1"/>
    </xf>
    <xf numFmtId="0" fontId="4" fillId="0" borderId="31" xfId="0" applyNumberFormat="1" applyFont="1" applyFill="1" applyBorder="1" applyAlignment="1" applyProtection="1">
      <alignment horizontal="center"/>
      <protection hidden="1"/>
    </xf>
    <xf numFmtId="0" fontId="4" fillId="3" borderId="3"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0" fillId="0" borderId="17" xfId="0" applyBorder="1" applyAlignment="1" applyProtection="1">
      <alignment/>
      <protection hidden="1"/>
    </xf>
    <xf numFmtId="0" fontId="4" fillId="0" borderId="32" xfId="0" applyFont="1" applyFill="1" applyBorder="1" applyAlignment="1" applyProtection="1">
      <alignment/>
      <protection hidden="1"/>
    </xf>
    <xf numFmtId="0" fontId="0" fillId="0" borderId="12" xfId="0" applyBorder="1" applyAlignment="1" applyProtection="1">
      <alignment/>
      <protection hidden="1"/>
    </xf>
    <xf numFmtId="0" fontId="5" fillId="0" borderId="5" xfId="0" applyFont="1" applyFill="1" applyBorder="1" applyAlignment="1" applyProtection="1">
      <alignment/>
      <protection hidden="1"/>
    </xf>
    <xf numFmtId="0" fontId="0" fillId="0" borderId="7" xfId="0" applyFill="1" applyBorder="1" applyAlignment="1" applyProtection="1">
      <alignment/>
      <protection hidden="1"/>
    </xf>
    <xf numFmtId="179" fontId="5" fillId="3" borderId="3" xfId="37" applyAlignment="1">
      <alignment/>
      <protection/>
    </xf>
    <xf numFmtId="0" fontId="5" fillId="0" borderId="33" xfId="0" applyFont="1" applyFill="1" applyBorder="1" applyAlignment="1" applyProtection="1">
      <alignment horizontal="right" vertical="top"/>
      <protection hidden="1"/>
    </xf>
    <xf numFmtId="0" fontId="3" fillId="0" borderId="0" xfId="0" applyNumberFormat="1" applyFont="1" applyFill="1" applyBorder="1" applyAlignment="1" applyProtection="1">
      <alignment vertical="center"/>
      <protection hidden="1"/>
    </xf>
    <xf numFmtId="0" fontId="3" fillId="3" borderId="21" xfId="0" applyFont="1" applyFill="1" applyBorder="1" applyAlignment="1" applyProtection="1">
      <alignment horizontal="right" vertical="center"/>
      <protection hidden="1"/>
    </xf>
    <xf numFmtId="37" fontId="3" fillId="0" borderId="34" xfId="0" applyNumberFormat="1" applyFont="1"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NumberFormat="1" applyFont="1" applyBorder="1" applyAlignment="1" applyProtection="1">
      <alignment horizontal="center" vertical="center"/>
      <protection hidden="1"/>
    </xf>
    <xf numFmtId="0" fontId="3" fillId="3" borderId="21" xfId="0" applyNumberFormat="1" applyFont="1" applyFill="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37" fontId="3" fillId="0" borderId="0" xfId="0" applyNumberFormat="1" applyFont="1" applyBorder="1" applyAlignment="1" applyProtection="1">
      <alignment horizontal="center" vertical="center"/>
      <protection hidden="1"/>
    </xf>
    <xf numFmtId="37" fontId="3" fillId="3" borderId="14" xfId="0" applyNumberFormat="1" applyFont="1" applyFill="1" applyBorder="1" applyAlignment="1" applyProtection="1">
      <alignment horizontal="right" vertical="center"/>
      <protection hidden="1"/>
    </xf>
    <xf numFmtId="49" fontId="3" fillId="3" borderId="3" xfId="0" applyNumberFormat="1" applyFont="1" applyFill="1" applyBorder="1" applyAlignment="1" applyProtection="1">
      <alignment horizontal="center" vertical="center"/>
      <protection hidden="1"/>
    </xf>
    <xf numFmtId="0" fontId="3" fillId="3" borderId="3" xfId="0" applyFont="1" applyFill="1" applyBorder="1" applyAlignment="1" applyProtection="1">
      <alignment horizontal="right"/>
      <protection hidden="1"/>
    </xf>
    <xf numFmtId="37" fontId="3" fillId="0" borderId="34" xfId="0" applyNumberFormat="1" applyFont="1" applyBorder="1" applyAlignment="1" applyProtection="1">
      <alignment vertical="center"/>
      <protection hidden="1"/>
    </xf>
    <xf numFmtId="37" fontId="3" fillId="3" borderId="16" xfId="0" applyNumberFormat="1" applyFont="1" applyFill="1" applyBorder="1" applyAlignment="1" applyProtection="1">
      <alignment horizontal="center" vertical="center"/>
      <protection hidden="1"/>
    </xf>
    <xf numFmtId="37" fontId="3" fillId="3" borderId="2"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horizontal="left" vertical="center"/>
      <protection hidden="1"/>
    </xf>
    <xf numFmtId="37" fontId="3" fillId="3" borderId="3" xfId="0" applyNumberFormat="1" applyFont="1" applyFill="1" applyBorder="1" applyAlignment="1" applyProtection="1">
      <alignment horizontal="center" vertical="center"/>
      <protection hidden="1"/>
    </xf>
    <xf numFmtId="0" fontId="3" fillId="0" borderId="34" xfId="0" applyNumberFormat="1" applyFont="1" applyBorder="1" applyAlignment="1" applyProtection="1">
      <alignment horizontal="left" vertical="center"/>
      <protection hidden="1"/>
    </xf>
    <xf numFmtId="3" fontId="3" fillId="3" borderId="21" xfId="0" applyNumberFormat="1" applyFont="1" applyFill="1" applyBorder="1" applyAlignment="1" applyProtection="1">
      <alignment horizontal="left" vertical="center"/>
      <protection hidden="1"/>
    </xf>
    <xf numFmtId="3" fontId="3" fillId="3" borderId="21" xfId="0" applyNumberFormat="1" applyFont="1" applyFill="1" applyBorder="1" applyAlignment="1" applyProtection="1">
      <alignment horizontal="right" vertical="center"/>
      <protection hidden="1"/>
    </xf>
    <xf numFmtId="0" fontId="3" fillId="0" borderId="34" xfId="0" applyNumberFormat="1" applyFont="1" applyBorder="1" applyAlignment="1" applyProtection="1">
      <alignment horizontal="center" vertical="center"/>
      <protection hidden="1"/>
    </xf>
    <xf numFmtId="3" fontId="3" fillId="3" borderId="14" xfId="0" applyNumberFormat="1"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right" vertical="center"/>
      <protection hidden="1"/>
    </xf>
    <xf numFmtId="3" fontId="3" fillId="3" borderId="6" xfId="0" applyNumberFormat="1" applyFont="1" applyFill="1" applyBorder="1" applyAlignment="1" applyProtection="1">
      <alignment horizontal="right" vertical="center"/>
      <protection hidden="1"/>
    </xf>
    <xf numFmtId="3" fontId="3" fillId="3" borderId="3" xfId="0" applyNumberFormat="1" applyFont="1" applyFill="1" applyBorder="1" applyAlignment="1" applyProtection="1">
      <alignment horizontal="center" vertical="center"/>
      <protection hidden="1"/>
    </xf>
    <xf numFmtId="37" fontId="3" fillId="3" borderId="3" xfId="0" applyNumberFormat="1" applyFont="1" applyFill="1" applyBorder="1" applyAlignment="1" applyProtection="1">
      <alignment horizontal="right"/>
      <protection hidden="1"/>
    </xf>
    <xf numFmtId="0" fontId="2" fillId="0" borderId="0" xfId="0" applyFont="1" applyBorder="1" applyAlignment="1" applyProtection="1">
      <alignment horizontal="center" vertical="center"/>
      <protection hidden="1"/>
    </xf>
    <xf numFmtId="14" fontId="3" fillId="3" borderId="3" xfId="0" applyNumberFormat="1" applyFont="1" applyFill="1" applyBorder="1" applyAlignment="1" applyProtection="1">
      <alignment horizontal="right" vertical="center"/>
      <protection hidden="1"/>
    </xf>
    <xf numFmtId="49" fontId="4" fillId="0" borderId="18" xfId="0" applyNumberFormat="1" applyFont="1" applyFill="1" applyBorder="1" applyAlignment="1" applyProtection="1">
      <alignment horizontal="left"/>
      <protection hidden="1"/>
    </xf>
    <xf numFmtId="0" fontId="5" fillId="0" borderId="0" xfId="0" applyFont="1" applyFill="1" applyBorder="1" applyAlignment="1" applyProtection="1">
      <alignment/>
      <protection hidden="1"/>
    </xf>
    <xf numFmtId="37" fontId="20" fillId="0" borderId="13" xfId="0" applyNumberFormat="1" applyFont="1" applyFill="1" applyBorder="1" applyAlignment="1" applyProtection="1">
      <alignment/>
      <protection hidden="1" locked="0"/>
    </xf>
    <xf numFmtId="0" fontId="2" fillId="0" borderId="0" xfId="0" applyFont="1" applyAlignment="1" applyProtection="1">
      <alignment horizontal="left"/>
      <protection hidden="1"/>
    </xf>
    <xf numFmtId="49" fontId="4" fillId="0" borderId="0" xfId="0" applyNumberFormat="1" applyFont="1" applyFill="1" applyBorder="1" applyAlignment="1" applyProtection="1">
      <alignment horizontal="left"/>
      <protection hidden="1"/>
    </xf>
    <xf numFmtId="9" fontId="5" fillId="3" borderId="5" xfId="37" applyNumberFormat="1" applyFont="1" applyFill="1" applyBorder="1" applyAlignment="1" applyProtection="1">
      <alignment horizontal="right"/>
      <protection hidden="1"/>
    </xf>
    <xf numFmtId="0" fontId="10" fillId="0" borderId="0" xfId="32" applyFont="1" applyBorder="1" applyAlignment="1" applyProtection="1">
      <alignment horizontal="right"/>
      <protection hidden="1"/>
    </xf>
    <xf numFmtId="0" fontId="14" fillId="0" borderId="0" xfId="0" applyNumberFormat="1" applyFont="1" applyBorder="1" applyAlignment="1" applyProtection="1">
      <alignment horizontal="left"/>
      <protection hidden="1"/>
    </xf>
    <xf numFmtId="37" fontId="2" fillId="0" borderId="0" xfId="0" applyNumberFormat="1" applyFont="1" applyBorder="1" applyAlignment="1" applyProtection="1">
      <alignment vertical="center"/>
      <protection hidden="1"/>
    </xf>
    <xf numFmtId="0" fontId="3" fillId="3" borderId="3"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Alignment="1" applyProtection="1">
      <alignment horizontal="right"/>
      <protection hidden="1"/>
    </xf>
    <xf numFmtId="37" fontId="4" fillId="0" borderId="32" xfId="0" applyNumberFormat="1" applyFont="1" applyFill="1" applyBorder="1" applyAlignment="1" applyProtection="1">
      <alignment/>
      <protection hidden="1"/>
    </xf>
    <xf numFmtId="0" fontId="4" fillId="0" borderId="33" xfId="0" applyFont="1" applyBorder="1" applyAlignment="1" applyProtection="1">
      <alignment horizontal="left"/>
      <protection hidden="1"/>
    </xf>
    <xf numFmtId="184" fontId="4" fillId="0" borderId="25" xfId="36" applyBorder="1" applyAlignment="1" applyProtection="1">
      <alignment/>
      <protection hidden="1"/>
    </xf>
    <xf numFmtId="49" fontId="4" fillId="0" borderId="35"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vertical="center"/>
      <protection hidden="1"/>
    </xf>
    <xf numFmtId="49" fontId="3" fillId="0" borderId="0"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179" fontId="4" fillId="0" borderId="36" xfId="34" applyBorder="1" applyAlignment="1" applyProtection="1">
      <alignment/>
      <protection hidden="1"/>
    </xf>
    <xf numFmtId="0" fontId="3" fillId="3" borderId="21" xfId="0" applyFont="1" applyFill="1" applyBorder="1" applyAlignment="1" applyProtection="1">
      <alignment horizontal="right"/>
      <protection hidden="1"/>
    </xf>
    <xf numFmtId="0" fontId="3" fillId="3" borderId="7" xfId="0" applyFont="1" applyFill="1" applyBorder="1" applyAlignment="1" applyProtection="1">
      <alignment horizontal="right"/>
      <protection hidden="1"/>
    </xf>
    <xf numFmtId="0" fontId="3" fillId="3" borderId="14" xfId="0" applyFont="1" applyFill="1" applyBorder="1" applyAlignment="1" applyProtection="1">
      <alignment horizontal="right"/>
      <protection hidden="1"/>
    </xf>
    <xf numFmtId="49" fontId="4" fillId="0" borderId="19" xfId="0" applyNumberFormat="1" applyFont="1" applyFill="1" applyBorder="1" applyAlignment="1" applyProtection="1">
      <alignment horizontal="left"/>
      <protection hidden="1" locked="0"/>
    </xf>
    <xf numFmtId="49" fontId="4" fillId="0" borderId="32" xfId="0" applyNumberFormat="1" applyFont="1" applyFill="1" applyBorder="1" applyAlignment="1" applyProtection="1">
      <alignment horizontal="left"/>
      <protection hidden="1" locked="0"/>
    </xf>
    <xf numFmtId="49" fontId="4" fillId="0" borderId="0" xfId="0" applyNumberFormat="1" applyFont="1" applyFill="1" applyBorder="1" applyAlignment="1" applyProtection="1">
      <alignment horizontal="left"/>
      <protection hidden="1" locked="0"/>
    </xf>
    <xf numFmtId="0" fontId="3" fillId="3" borderId="37" xfId="0" applyFont="1" applyFill="1" applyBorder="1" applyAlignment="1" applyProtection="1">
      <alignment horizontal="right"/>
      <protection hidden="1"/>
    </xf>
    <xf numFmtId="0" fontId="4" fillId="0" borderId="38" xfId="0" applyNumberFormat="1" applyFont="1" applyFill="1" applyBorder="1" applyAlignment="1" applyProtection="1">
      <alignment horizontal="left"/>
      <protection hidden="1"/>
    </xf>
    <xf numFmtId="0" fontId="4" fillId="0" borderId="32" xfId="0" applyNumberFormat="1" applyFont="1" applyFill="1" applyBorder="1" applyAlignment="1" applyProtection="1">
      <alignment horizontal="left"/>
      <protection hidden="1"/>
    </xf>
    <xf numFmtId="189" fontId="4" fillId="0" borderId="39" xfId="0" applyNumberFormat="1" applyFont="1" applyFill="1" applyBorder="1" applyAlignment="1" applyProtection="1">
      <alignment horizontal="left"/>
      <protection hidden="1"/>
    </xf>
    <xf numFmtId="0" fontId="4" fillId="0" borderId="12" xfId="0" applyFont="1" applyFill="1" applyBorder="1" applyAlignment="1" applyProtection="1">
      <alignment/>
      <protection hidden="1"/>
    </xf>
    <xf numFmtId="0" fontId="20" fillId="0" borderId="29" xfId="0" applyFont="1" applyFill="1" applyBorder="1" applyAlignment="1" applyProtection="1">
      <alignment horizontal="left"/>
      <protection hidden="1"/>
    </xf>
    <xf numFmtId="3" fontId="20" fillId="0" borderId="29" xfId="0" applyNumberFormat="1" applyFont="1" applyFill="1" applyBorder="1" applyAlignment="1" applyProtection="1">
      <alignment horizontal="left"/>
      <protection hidden="1"/>
    </xf>
    <xf numFmtId="3" fontId="20" fillId="0" borderId="35" xfId="0" applyNumberFormat="1" applyFont="1" applyFill="1" applyBorder="1" applyAlignment="1" applyProtection="1">
      <alignment horizontal="left"/>
      <protection hidden="1"/>
    </xf>
    <xf numFmtId="3" fontId="20" fillId="0" borderId="30" xfId="0" applyNumberFormat="1" applyFont="1" applyFill="1" applyBorder="1" applyAlignment="1" applyProtection="1">
      <alignment horizontal="left"/>
      <protection hidden="1"/>
    </xf>
    <xf numFmtId="0" fontId="2" fillId="0" borderId="0" xfId="0" applyNumberFormat="1" applyFont="1" applyBorder="1" applyAlignment="1" applyProtection="1">
      <alignment vertical="center"/>
      <protection hidden="1"/>
    </xf>
    <xf numFmtId="0" fontId="2" fillId="0" borderId="0" xfId="0" applyNumberFormat="1" applyFont="1" applyAlignment="1" applyProtection="1">
      <alignment/>
      <protection hidden="1"/>
    </xf>
    <xf numFmtId="0" fontId="3" fillId="3" borderId="8" xfId="0" applyNumberFormat="1" applyFont="1" applyFill="1" applyBorder="1" applyAlignment="1" applyProtection="1">
      <alignment horizontal="left"/>
      <protection hidden="1"/>
    </xf>
    <xf numFmtId="179" fontId="5" fillId="3" borderId="3" xfId="37" applyFont="1" applyFill="1" applyBorder="1" applyAlignment="1" applyProtection="1">
      <alignment/>
      <protection hidden="1"/>
    </xf>
    <xf numFmtId="191" fontId="4" fillId="0" borderId="13" xfId="0" applyNumberFormat="1" applyFont="1" applyFill="1" applyBorder="1" applyAlignment="1" applyProtection="1">
      <alignment/>
      <protection hidden="1" locked="0"/>
    </xf>
    <xf numFmtId="191" fontId="4" fillId="0" borderId="40" xfId="0" applyNumberFormat="1" applyFont="1" applyFill="1" applyBorder="1" applyAlignment="1" applyProtection="1">
      <alignment horizontal="left"/>
      <protection hidden="1" locked="0"/>
    </xf>
    <xf numFmtId="191" fontId="4" fillId="0" borderId="23" xfId="0" applyNumberFormat="1" applyFont="1" applyFill="1" applyBorder="1" applyAlignment="1" applyProtection="1">
      <alignment horizontal="center"/>
      <protection hidden="1" locked="0"/>
    </xf>
    <xf numFmtId="179" fontId="4" fillId="0" borderId="23" xfId="34" applyFill="1" applyBorder="1" applyAlignment="1" applyProtection="1">
      <alignment/>
      <protection hidden="1" locked="0"/>
    </xf>
    <xf numFmtId="188" fontId="4" fillId="0" borderId="23" xfId="35" applyFill="1" applyBorder="1" applyAlignment="1" applyProtection="1">
      <alignment/>
      <protection hidden="1" locked="0"/>
    </xf>
    <xf numFmtId="188" fontId="4" fillId="0" borderId="23" xfId="35" applyFill="1" applyBorder="1" applyAlignment="1" applyProtection="1">
      <alignment/>
      <protection hidden="1"/>
    </xf>
    <xf numFmtId="179" fontId="4" fillId="0" borderId="23" xfId="34" applyFont="1" applyFill="1" applyBorder="1" applyAlignment="1" applyProtection="1">
      <alignment/>
      <protection hidden="1" locked="0"/>
    </xf>
    <xf numFmtId="0" fontId="4" fillId="0" borderId="5" xfId="0" applyFont="1" applyFill="1" applyBorder="1" applyAlignment="1" applyProtection="1">
      <alignment/>
      <protection hidden="1"/>
    </xf>
    <xf numFmtId="0" fontId="3" fillId="3" borderId="16" xfId="0" applyFont="1" applyFill="1" applyBorder="1" applyAlignment="1" applyProtection="1">
      <alignment horizontal="center"/>
      <protection hidden="1"/>
    </xf>
    <xf numFmtId="0" fontId="0" fillId="0" borderId="7" xfId="0" applyBorder="1" applyAlignment="1">
      <alignment horizontal="center"/>
    </xf>
    <xf numFmtId="0" fontId="2" fillId="0" borderId="0" xfId="0" applyNumberFormat="1" applyFont="1" applyAlignment="1" applyProtection="1">
      <alignment horizontal="justify"/>
      <protection hidden="1"/>
    </xf>
    <xf numFmtId="0" fontId="2" fillId="0" borderId="0" xfId="0" applyFont="1" applyAlignment="1">
      <alignment horizontal="justify"/>
    </xf>
    <xf numFmtId="49" fontId="3" fillId="3" borderId="16" xfId="0" applyNumberFormat="1" applyFont="1" applyFill="1" applyBorder="1" applyAlignment="1" applyProtection="1">
      <alignment horizontal="center" vertical="center"/>
      <protection hidden="1"/>
    </xf>
    <xf numFmtId="49" fontId="3" fillId="3" borderId="5" xfId="0" applyNumberFormat="1" applyFont="1" applyFill="1" applyBorder="1" applyAlignment="1" applyProtection="1">
      <alignment horizontal="center" vertical="center"/>
      <protection hidden="1"/>
    </xf>
    <xf numFmtId="49" fontId="3" fillId="3" borderId="16" xfId="0" applyNumberFormat="1" applyFont="1" applyFill="1" applyBorder="1" applyAlignment="1" applyProtection="1">
      <alignment horizontal="right" vertical="center"/>
      <protection hidden="1"/>
    </xf>
    <xf numFmtId="49" fontId="3" fillId="3" borderId="7" xfId="0" applyNumberFormat="1" applyFont="1" applyFill="1" applyBorder="1" applyAlignment="1" applyProtection="1">
      <alignment horizontal="right" vertical="center"/>
      <protection hidden="1"/>
    </xf>
    <xf numFmtId="179" fontId="4" fillId="0" borderId="41" xfId="34" applyFill="1" applyBorder="1" applyAlignment="1" applyProtection="1">
      <alignment/>
      <protection hidden="1" locked="0"/>
    </xf>
    <xf numFmtId="179" fontId="4" fillId="0" borderId="20" xfId="34" applyFill="1" applyBorder="1" applyAlignment="1" applyProtection="1">
      <alignment/>
      <protection hidden="1" locked="0"/>
    </xf>
    <xf numFmtId="179" fontId="5" fillId="0" borderId="0" xfId="34" applyFont="1" applyFill="1" applyBorder="1" applyAlignment="1" applyProtection="1">
      <alignment horizontal="right"/>
      <protection hidden="1"/>
    </xf>
    <xf numFmtId="179" fontId="14" fillId="0" borderId="0" xfId="34" applyFont="1" applyFill="1" applyBorder="1" applyAlignment="1" applyProtection="1">
      <alignment horizontal="right"/>
      <protection hidden="1"/>
    </xf>
    <xf numFmtId="0" fontId="4" fillId="0" borderId="0" xfId="32" applyFont="1" applyFill="1" applyBorder="1" applyAlignment="1" applyProtection="1">
      <alignment horizontal="left"/>
      <protection hidden="1"/>
    </xf>
    <xf numFmtId="37" fontId="4"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3" borderId="26" xfId="0" applyNumberFormat="1" applyFont="1" applyFill="1" applyBorder="1" applyAlignment="1" applyProtection="1">
      <alignment horizontal="left"/>
      <protection hidden="1"/>
    </xf>
    <xf numFmtId="0" fontId="5" fillId="3" borderId="5" xfId="0" applyNumberFormat="1" applyFont="1" applyFill="1" applyBorder="1" applyAlignment="1" applyProtection="1">
      <alignment horizontal="left"/>
      <protection hidden="1"/>
    </xf>
    <xf numFmtId="0" fontId="5" fillId="3" borderId="0" xfId="0" applyNumberFormat="1" applyFont="1" applyFill="1" applyBorder="1" applyAlignment="1" applyProtection="1">
      <alignment horizontal="left"/>
      <protection hidden="1"/>
    </xf>
    <xf numFmtId="179" fontId="4" fillId="3" borderId="23" xfId="34" applyFill="1" applyBorder="1" applyAlignment="1" applyProtection="1">
      <alignment/>
      <protection hidden="1"/>
    </xf>
    <xf numFmtId="179" fontId="5" fillId="3" borderId="3" xfId="37"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179" fontId="4" fillId="0" borderId="24" xfId="34" applyFill="1" applyBorder="1" applyAlignment="1" applyProtection="1">
      <alignment/>
      <protection hidden="1" locked="0"/>
    </xf>
    <xf numFmtId="37" fontId="4" fillId="0" borderId="6" xfId="0" applyNumberFormat="1" applyFont="1" applyFill="1" applyBorder="1" applyAlignment="1" applyProtection="1">
      <alignment/>
      <protection hidden="1"/>
    </xf>
    <xf numFmtId="37" fontId="4" fillId="0" borderId="42" xfId="0" applyNumberFormat="1" applyFont="1" applyFill="1" applyBorder="1" applyAlignment="1" applyProtection="1">
      <alignment/>
      <protection hidden="1"/>
    </xf>
    <xf numFmtId="179" fontId="4" fillId="0" borderId="43" xfId="34" applyFill="1" applyBorder="1" applyAlignment="1" applyProtection="1">
      <alignment/>
      <protection hidden="1"/>
    </xf>
    <xf numFmtId="37" fontId="3" fillId="3" borderId="7" xfId="0" applyNumberFormat="1"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184" fontId="4" fillId="0" borderId="23" xfId="36" applyFill="1" applyBorder="1" applyAlignment="1" applyProtection="1">
      <alignment/>
      <protection hidden="1" locked="0"/>
    </xf>
    <xf numFmtId="179" fontId="4" fillId="0" borderId="23" xfId="34" applyFill="1" applyBorder="1" applyAlignment="1" applyProtection="1">
      <alignment/>
      <protection hidden="1"/>
    </xf>
    <xf numFmtId="184" fontId="4" fillId="0" borderId="36" xfId="36" applyFill="1" applyBorder="1" applyAlignment="1" applyProtection="1">
      <alignment/>
      <protection hidden="1" locked="0"/>
    </xf>
    <xf numFmtId="179" fontId="5" fillId="3" borderId="3" xfId="37" applyFill="1" applyAlignment="1" applyProtection="1">
      <alignment/>
      <protection hidden="1"/>
    </xf>
    <xf numFmtId="184" fontId="5" fillId="3" borderId="3" xfId="38" applyAlignment="1" applyProtection="1">
      <alignment/>
      <protection hidden="1"/>
    </xf>
    <xf numFmtId="179" fontId="4" fillId="0" borderId="0" xfId="34" applyFont="1" applyFill="1" applyBorder="1" applyAlignment="1" applyProtection="1">
      <alignment/>
      <protection hidden="1"/>
    </xf>
    <xf numFmtId="179" fontId="5" fillId="0" borderId="5" xfId="37" applyFill="1" applyBorder="1" applyAlignment="1" applyProtection="1">
      <alignment/>
      <protection hidden="1"/>
    </xf>
    <xf numFmtId="179" fontId="5" fillId="3" borderId="5" xfId="34" applyFont="1" applyFill="1" applyBorder="1" applyAlignment="1" applyProtection="1">
      <alignment/>
      <protection hidden="1"/>
    </xf>
    <xf numFmtId="0" fontId="3" fillId="0" borderId="0" xfId="0" applyNumberFormat="1" applyFont="1" applyBorder="1" applyAlignment="1" applyProtection="1">
      <alignment horizontal="left"/>
      <protection hidden="1"/>
    </xf>
    <xf numFmtId="37" fontId="4" fillId="0" borderId="0" xfId="32" applyNumberFormat="1" applyFont="1" applyAlignment="1" applyProtection="1">
      <alignment/>
      <protection hidden="1"/>
    </xf>
    <xf numFmtId="0" fontId="4" fillId="0" borderId="0" xfId="32" applyFont="1" applyAlignment="1" applyProtection="1">
      <alignment/>
      <protection hidden="1"/>
    </xf>
    <xf numFmtId="0" fontId="5" fillId="0" borderId="0" xfId="32" applyFont="1" applyAlignment="1" applyProtection="1">
      <alignment/>
      <protection hidden="1"/>
    </xf>
    <xf numFmtId="0" fontId="4" fillId="0" borderId="27" xfId="32" applyFont="1" applyFill="1" applyBorder="1" applyAlignment="1" applyProtection="1">
      <alignment/>
      <protection hidden="1"/>
    </xf>
    <xf numFmtId="179" fontId="4" fillId="0" borderId="25" xfId="34" applyFill="1" applyBorder="1" applyAlignment="1" applyProtection="1">
      <alignment/>
      <protection hidden="1" locked="0"/>
    </xf>
    <xf numFmtId="0" fontId="4" fillId="0" borderId="0" xfId="32" applyFont="1" applyBorder="1" applyAlignment="1" applyProtection="1">
      <alignment/>
      <protection hidden="1"/>
    </xf>
    <xf numFmtId="184" fontId="4" fillId="0" borderId="38" xfId="36" applyFill="1" applyBorder="1" applyAlignment="1" applyProtection="1">
      <alignment/>
      <protection hidden="1" locked="0"/>
    </xf>
    <xf numFmtId="0" fontId="4" fillId="0" borderId="28" xfId="32" applyFont="1" applyFill="1" applyBorder="1" applyAlignment="1" applyProtection="1">
      <alignment/>
      <protection hidden="1"/>
    </xf>
    <xf numFmtId="179" fontId="4" fillId="5" borderId="36" xfId="34" applyFill="1" applyBorder="1" applyAlignment="1" applyProtection="1">
      <alignment/>
      <protection hidden="1"/>
    </xf>
    <xf numFmtId="179" fontId="4" fillId="0" borderId="44" xfId="34" applyFill="1" applyBorder="1" applyAlignment="1" applyProtection="1">
      <alignment/>
      <protection hidden="1"/>
    </xf>
    <xf numFmtId="0" fontId="5" fillId="3" borderId="3" xfId="32" applyFont="1" applyFill="1" applyBorder="1" applyAlignment="1" applyProtection="1">
      <alignment/>
      <protection hidden="1"/>
    </xf>
    <xf numFmtId="0" fontId="4" fillId="0" borderId="0" xfId="32" applyFont="1" applyFill="1" applyBorder="1" applyAlignment="1" applyProtection="1">
      <alignment/>
      <protection hidden="1"/>
    </xf>
    <xf numFmtId="37" fontId="4" fillId="0" borderId="0" xfId="0" applyNumberFormat="1" applyFont="1" applyFill="1" applyBorder="1" applyAlignment="1" applyProtection="1">
      <alignment/>
      <protection hidden="1"/>
    </xf>
    <xf numFmtId="179" fontId="4" fillId="0" borderId="0" xfId="34" applyFill="1" applyBorder="1" applyAlignment="1" applyProtection="1">
      <alignment/>
      <protection hidden="1"/>
    </xf>
    <xf numFmtId="0" fontId="5" fillId="0" borderId="0" xfId="32" applyFont="1" applyFill="1" applyBorder="1" applyAlignment="1" applyProtection="1">
      <alignment/>
      <protection hidden="1"/>
    </xf>
    <xf numFmtId="179" fontId="5" fillId="0" borderId="0" xfId="37" applyFill="1" applyBorder="1" applyAlignment="1" applyProtection="1">
      <alignment/>
      <protection hidden="1"/>
    </xf>
    <xf numFmtId="184" fontId="5" fillId="3" borderId="3" xfId="38" applyAlignment="1">
      <alignment/>
      <protection/>
    </xf>
    <xf numFmtId="0" fontId="20" fillId="0" borderId="0" xfId="0" applyFont="1" applyFill="1" applyBorder="1" applyAlignment="1" applyProtection="1">
      <alignment/>
      <protection hidden="1"/>
    </xf>
    <xf numFmtId="184" fontId="4" fillId="0" borderId="0" xfId="36" applyFill="1" applyBorder="1" applyAlignment="1">
      <alignment/>
      <protection/>
    </xf>
    <xf numFmtId="179" fontId="4" fillId="0" borderId="17" xfId="34" applyFill="1" applyBorder="1" applyAlignment="1" applyProtection="1">
      <alignment/>
      <protection hidden="1" locked="0"/>
    </xf>
    <xf numFmtId="49" fontId="4" fillId="0" borderId="0" xfId="0" applyNumberFormat="1" applyFont="1" applyBorder="1" applyAlignment="1" applyProtection="1">
      <alignment/>
      <protection hidden="1"/>
    </xf>
    <xf numFmtId="0" fontId="4" fillId="0" borderId="27" xfId="0" applyFont="1" applyFill="1" applyBorder="1" applyAlignment="1" applyProtection="1">
      <alignment/>
      <protection hidden="1"/>
    </xf>
    <xf numFmtId="179" fontId="4" fillId="0" borderId="25" xfId="34" applyBorder="1" applyAlignment="1" applyProtection="1">
      <alignment/>
      <protection hidden="1"/>
    </xf>
    <xf numFmtId="179" fontId="4" fillId="0" borderId="23" xfId="34" applyBorder="1" applyAlignment="1" applyProtection="1">
      <alignment/>
      <protection hidden="1"/>
    </xf>
    <xf numFmtId="0" fontId="5" fillId="3" borderId="3" xfId="0" applyFont="1" applyFill="1" applyBorder="1" applyAlignment="1" applyProtection="1">
      <alignment/>
      <protection hidden="1"/>
    </xf>
    <xf numFmtId="179" fontId="4" fillId="5" borderId="12" xfId="34" applyFill="1" applyBorder="1" applyAlignment="1" applyProtection="1">
      <alignment/>
      <protection hidden="1"/>
    </xf>
    <xf numFmtId="0" fontId="4" fillId="0" borderId="45" xfId="0" applyFont="1" applyFill="1" applyBorder="1" applyAlignment="1" applyProtection="1">
      <alignment/>
      <protection hidden="1"/>
    </xf>
    <xf numFmtId="184" fontId="4" fillId="0" borderId="12" xfId="36" applyFill="1" applyBorder="1" applyAlignment="1" applyProtection="1">
      <alignment/>
      <protection hidden="1" locked="0"/>
    </xf>
    <xf numFmtId="184" fontId="4" fillId="0" borderId="23" xfId="36" applyBorder="1" applyAlignment="1" applyProtection="1">
      <alignment/>
      <protection hidden="1"/>
    </xf>
    <xf numFmtId="0" fontId="4" fillId="0" borderId="46" xfId="0" applyFont="1" applyFill="1" applyBorder="1" applyAlignment="1" applyProtection="1">
      <alignment/>
      <protection hidden="1"/>
    </xf>
    <xf numFmtId="179" fontId="4" fillId="0" borderId="47" xfId="34" applyFill="1" applyBorder="1" applyAlignment="1" applyProtection="1">
      <alignment/>
      <protection hidden="1" locked="0"/>
    </xf>
    <xf numFmtId="179" fontId="5" fillId="3" borderId="7" xfId="37" applyFont="1" applyBorder="1" applyAlignment="1" applyProtection="1">
      <alignment/>
      <protection hidden="1"/>
    </xf>
    <xf numFmtId="179" fontId="5" fillId="0" borderId="0" xfId="37" applyFont="1" applyFill="1" applyBorder="1" applyAlignment="1" applyProtection="1">
      <alignment/>
      <protection hidden="1"/>
    </xf>
    <xf numFmtId="179" fontId="4" fillId="0" borderId="31" xfId="34" applyFont="1" applyFill="1" applyBorder="1" applyAlignment="1" applyProtection="1">
      <alignment/>
      <protection hidden="1"/>
    </xf>
    <xf numFmtId="179" fontId="5" fillId="3" borderId="5" xfId="37" applyFont="1" applyBorder="1" applyAlignment="1" applyProtection="1">
      <alignment/>
      <protection hidden="1"/>
    </xf>
    <xf numFmtId="179" fontId="5" fillId="3" borderId="3" xfId="37" applyBorder="1" applyAlignment="1" applyProtection="1">
      <alignment/>
      <protection hidden="1"/>
    </xf>
    <xf numFmtId="179" fontId="4" fillId="0" borderId="13" xfId="37" applyFont="1" applyFill="1" applyBorder="1" applyAlignment="1" applyProtection="1">
      <alignment/>
      <protection hidden="1"/>
    </xf>
    <xf numFmtId="179" fontId="4" fillId="0" borderId="17" xfId="37" applyFont="1" applyFill="1" applyBorder="1" applyAlignment="1" applyProtection="1">
      <alignment/>
      <protection hidden="1"/>
    </xf>
    <xf numFmtId="0" fontId="4" fillId="0" borderId="13" xfId="0" applyFont="1" applyBorder="1" applyAlignment="1" applyProtection="1">
      <alignment/>
      <protection hidden="1"/>
    </xf>
    <xf numFmtId="184" fontId="4" fillId="0" borderId="13" xfId="36" applyBorder="1" applyAlignment="1" applyProtection="1">
      <alignment/>
      <protection hidden="1"/>
    </xf>
    <xf numFmtId="184" fontId="4" fillId="6" borderId="17" xfId="36" applyFont="1" applyFill="1" applyBorder="1" applyAlignment="1" applyProtection="1">
      <alignment/>
      <protection hidden="1"/>
    </xf>
    <xf numFmtId="184" fontId="4" fillId="0" borderId="23" xfId="36" applyFont="1" applyBorder="1" applyAlignment="1" applyProtection="1">
      <alignment/>
      <protection hidden="1"/>
    </xf>
    <xf numFmtId="184" fontId="4" fillId="0" borderId="0" xfId="36" applyFont="1" applyFill="1" applyBorder="1" applyAlignment="1" applyProtection="1">
      <alignment/>
      <protection hidden="1"/>
    </xf>
    <xf numFmtId="0" fontId="4" fillId="0" borderId="0" xfId="0" applyFont="1" applyFill="1" applyAlignment="1" applyProtection="1">
      <alignment/>
      <protection hidden="1"/>
    </xf>
    <xf numFmtId="0" fontId="4" fillId="0" borderId="29" xfId="0" applyFont="1" applyFill="1" applyBorder="1" applyAlignment="1" applyProtection="1">
      <alignment/>
      <protection hidden="1"/>
    </xf>
    <xf numFmtId="184" fontId="4" fillId="0" borderId="13" xfId="36" applyFont="1" applyFill="1" applyBorder="1" applyAlignment="1" applyProtection="1">
      <alignment/>
      <protection hidden="1"/>
    </xf>
    <xf numFmtId="184" fontId="4" fillId="0" borderId="17" xfId="36" applyFont="1" applyFill="1" applyBorder="1" applyAlignment="1" applyProtection="1">
      <alignment/>
      <protection hidden="1"/>
    </xf>
    <xf numFmtId="184" fontId="4" fillId="0" borderId="6" xfId="36" applyFont="1" applyFill="1" applyBorder="1" applyAlignment="1" applyProtection="1">
      <alignment/>
      <protection hidden="1"/>
    </xf>
    <xf numFmtId="184" fontId="4" fillId="0" borderId="42" xfId="36" applyFont="1" applyFill="1" applyBorder="1" applyAlignment="1" applyProtection="1">
      <alignment/>
      <protection hidden="1"/>
    </xf>
    <xf numFmtId="0" fontId="5" fillId="3" borderId="16" xfId="0" applyFont="1" applyFill="1" applyBorder="1" applyAlignment="1" applyProtection="1">
      <alignment/>
      <protection hidden="1"/>
    </xf>
    <xf numFmtId="184" fontId="5" fillId="3" borderId="5" xfId="36" applyFont="1" applyFill="1" applyBorder="1" applyAlignment="1" applyProtection="1">
      <alignment/>
      <protection hidden="1"/>
    </xf>
    <xf numFmtId="184" fontId="5" fillId="3" borderId="7" xfId="36" applyFont="1" applyFill="1" applyBorder="1" applyAlignment="1" applyProtection="1">
      <alignment/>
      <protection hidden="1"/>
    </xf>
    <xf numFmtId="179" fontId="5" fillId="3" borderId="3" xfId="37" applyFont="1" applyFill="1" applyAlignment="1" applyProtection="1">
      <alignment/>
      <protection hidden="1"/>
    </xf>
    <xf numFmtId="37" fontId="2" fillId="0" borderId="0" xfId="0" applyNumberFormat="1" applyFont="1" applyBorder="1" applyAlignment="1" applyProtection="1">
      <alignment/>
      <protection hidden="1"/>
    </xf>
    <xf numFmtId="179" fontId="4" fillId="0" borderId="23" xfId="34" applyFont="1" applyBorder="1" applyAlignment="1" applyProtection="1">
      <alignment/>
      <protection hidden="1"/>
    </xf>
    <xf numFmtId="0" fontId="4" fillId="0" borderId="35" xfId="0" applyFont="1" applyFill="1" applyBorder="1" applyAlignment="1" applyProtection="1">
      <alignment/>
      <protection hidden="1"/>
    </xf>
    <xf numFmtId="179" fontId="4" fillId="0" borderId="0" xfId="34" applyAlignment="1" applyProtection="1">
      <alignment/>
      <protection hidden="1"/>
    </xf>
    <xf numFmtId="0" fontId="4" fillId="0" borderId="30" xfId="0" applyFont="1" applyFill="1" applyBorder="1" applyAlignment="1" applyProtection="1">
      <alignment/>
      <protection hidden="1"/>
    </xf>
    <xf numFmtId="0" fontId="4" fillId="0" borderId="18" xfId="0" applyFont="1" applyBorder="1" applyAlignment="1" applyProtection="1">
      <alignment/>
      <protection hidden="1"/>
    </xf>
    <xf numFmtId="179" fontId="4" fillId="0" borderId="19" xfId="34" applyBorder="1" applyAlignment="1" applyProtection="1">
      <alignment/>
      <protection hidden="1"/>
    </xf>
    <xf numFmtId="179" fontId="5" fillId="3" borderId="5" xfId="37" applyFont="1" applyFill="1" applyBorder="1" applyAlignment="1" applyProtection="1">
      <alignment/>
      <protection hidden="1"/>
    </xf>
    <xf numFmtId="184" fontId="5" fillId="3" borderId="7" xfId="38" applyFont="1" applyBorder="1" applyAlignment="1" applyProtection="1">
      <alignment/>
      <protection hidden="1"/>
    </xf>
    <xf numFmtId="169" fontId="4" fillId="0" borderId="13" xfId="0" applyNumberFormat="1" applyFont="1" applyFill="1" applyBorder="1" applyAlignment="1" applyProtection="1">
      <alignment/>
      <protection hidden="1"/>
    </xf>
    <xf numFmtId="0" fontId="4" fillId="0" borderId="48" xfId="0" applyFont="1" applyFill="1" applyBorder="1" applyAlignment="1" applyProtection="1">
      <alignment/>
      <protection hidden="1"/>
    </xf>
    <xf numFmtId="179" fontId="4" fillId="0" borderId="48" xfId="34" applyFont="1" applyFill="1" applyBorder="1" applyAlignment="1" applyProtection="1">
      <alignment/>
      <protection hidden="1"/>
    </xf>
    <xf numFmtId="179" fontId="4" fillId="0" borderId="39" xfId="34" applyFont="1" applyFill="1" applyBorder="1" applyAlignment="1" applyProtection="1">
      <alignment/>
      <protection hidden="1"/>
    </xf>
    <xf numFmtId="179" fontId="4" fillId="0" borderId="18" xfId="34" applyFont="1" applyFill="1" applyBorder="1" applyAlignment="1" applyProtection="1">
      <alignment/>
      <protection hidden="1" locked="0"/>
    </xf>
    <xf numFmtId="179" fontId="4" fillId="0" borderId="19" xfId="34" applyFont="1" applyFill="1" applyBorder="1" applyAlignment="1" applyProtection="1">
      <alignment/>
      <protection hidden="1" locked="0"/>
    </xf>
    <xf numFmtId="0" fontId="20" fillId="0" borderId="29" xfId="0" applyFont="1" applyFill="1" applyBorder="1" applyAlignment="1" applyProtection="1">
      <alignment/>
      <protection hidden="1"/>
    </xf>
    <xf numFmtId="0" fontId="20" fillId="0" borderId="35" xfId="0" applyFont="1" applyFill="1" applyBorder="1" applyAlignment="1" applyProtection="1">
      <alignment/>
      <protection hidden="1"/>
    </xf>
    <xf numFmtId="0" fontId="4" fillId="0" borderId="49" xfId="0" applyFont="1" applyBorder="1" applyAlignment="1" applyProtection="1">
      <alignment/>
      <protection hidden="1"/>
    </xf>
    <xf numFmtId="192" fontId="4" fillId="0" borderId="23" xfId="34" applyNumberFormat="1" applyBorder="1" applyAlignment="1" applyProtection="1">
      <alignment/>
      <protection hidden="1"/>
    </xf>
    <xf numFmtId="0" fontId="14" fillId="3" borderId="16" xfId="0" applyFont="1" applyFill="1" applyBorder="1" applyAlignment="1" applyProtection="1">
      <alignment/>
      <protection hidden="1"/>
    </xf>
    <xf numFmtId="184" fontId="5" fillId="3" borderId="5" xfId="38" applyFont="1" applyBorder="1" applyAlignment="1" applyProtection="1">
      <alignment/>
      <protection hidden="1"/>
    </xf>
    <xf numFmtId="2" fontId="4" fillId="0" borderId="0" xfId="0" applyNumberFormat="1" applyFont="1" applyAlignment="1" applyProtection="1">
      <alignment/>
      <protection hidden="1"/>
    </xf>
    <xf numFmtId="37" fontId="4" fillId="0" borderId="27" xfId="0" applyNumberFormat="1" applyFont="1" applyFill="1" applyBorder="1" applyAlignment="1" applyProtection="1">
      <alignment/>
      <protection hidden="1"/>
    </xf>
    <xf numFmtId="179" fontId="4" fillId="0" borderId="17" xfId="34" applyFont="1" applyFill="1" applyBorder="1" applyAlignment="1" applyProtection="1">
      <alignment/>
      <protection hidden="1" locked="0"/>
    </xf>
    <xf numFmtId="184" fontId="4" fillId="0" borderId="23" xfId="36" applyFont="1" applyFill="1" applyBorder="1" applyAlignment="1" applyProtection="1">
      <alignment/>
      <protection hidden="1" locked="0"/>
    </xf>
    <xf numFmtId="184" fontId="19" fillId="6" borderId="25" xfId="36" applyFont="1" applyFill="1" applyBorder="1" applyAlignment="1" applyProtection="1">
      <alignment/>
      <protection hidden="1"/>
    </xf>
    <xf numFmtId="184" fontId="4" fillId="0" borderId="25" xfId="36" applyFont="1" applyFill="1" applyBorder="1" applyAlignment="1" applyProtection="1">
      <alignment/>
      <protection hidden="1" locked="0"/>
    </xf>
    <xf numFmtId="37" fontId="4" fillId="0" borderId="28" xfId="0" applyNumberFormat="1" applyFont="1" applyFill="1" applyBorder="1" applyAlignment="1" applyProtection="1">
      <alignment/>
      <protection hidden="1"/>
    </xf>
    <xf numFmtId="179" fontId="5" fillId="3" borderId="16" xfId="34" applyFont="1" applyFill="1" applyBorder="1" applyAlignment="1" applyProtection="1">
      <alignment/>
      <protection hidden="1"/>
    </xf>
    <xf numFmtId="184" fontId="5" fillId="3" borderId="16" xfId="38" applyBorder="1" applyAlignment="1" applyProtection="1">
      <alignment horizontal="right"/>
      <protection hidden="1"/>
    </xf>
    <xf numFmtId="184" fontId="5" fillId="3" borderId="5" xfId="38" applyBorder="1" applyAlignment="1" applyProtection="1">
      <alignment horizontal="right"/>
      <protection hidden="1"/>
    </xf>
    <xf numFmtId="184" fontId="4" fillId="5" borderId="23" xfId="36" applyFont="1" applyFill="1" applyBorder="1" applyAlignment="1" applyProtection="1">
      <alignment/>
      <protection hidden="1"/>
    </xf>
    <xf numFmtId="184" fontId="4" fillId="5" borderId="36" xfId="36" applyFont="1" applyFill="1" applyBorder="1" applyAlignment="1" applyProtection="1">
      <alignment/>
      <protection hidden="1"/>
    </xf>
    <xf numFmtId="179" fontId="5" fillId="3" borderId="5" xfId="37" applyBorder="1" applyAlignment="1" applyProtection="1">
      <alignment/>
      <protection hidden="1"/>
    </xf>
    <xf numFmtId="184" fontId="5" fillId="3" borderId="5" xfId="38" applyBorder="1" applyAlignment="1" applyProtection="1">
      <alignment/>
      <protection hidden="1"/>
    </xf>
    <xf numFmtId="179" fontId="5" fillId="3" borderId="7" xfId="37" applyBorder="1" applyAlignment="1" applyProtection="1">
      <alignment/>
      <protection hidden="1"/>
    </xf>
    <xf numFmtId="179" fontId="4" fillId="0" borderId="3" xfId="34" applyFont="1" applyFill="1" applyBorder="1" applyAlignment="1" applyProtection="1">
      <alignment/>
      <protection hidden="1" locked="0"/>
    </xf>
    <xf numFmtId="179" fontId="4" fillId="5" borderId="23" xfId="34" applyFont="1" applyFill="1" applyBorder="1" applyAlignment="1" applyProtection="1">
      <alignment/>
      <protection hidden="1"/>
    </xf>
    <xf numFmtId="37" fontId="3" fillId="3" borderId="50" xfId="0" applyNumberFormat="1" applyFont="1" applyFill="1" applyBorder="1" applyAlignment="1" applyProtection="1">
      <alignment horizontal="right" vertical="center"/>
      <protection hidden="1"/>
    </xf>
    <xf numFmtId="0" fontId="2" fillId="0" borderId="37" xfId="0" applyFont="1" applyBorder="1" applyAlignment="1">
      <alignment horizontal="right" vertical="center"/>
    </xf>
    <xf numFmtId="0" fontId="3" fillId="3" borderId="51" xfId="0" applyFont="1" applyFill="1" applyBorder="1" applyAlignment="1" applyProtection="1">
      <alignment horizontal="right" vertical="center"/>
      <protection hidden="1"/>
    </xf>
    <xf numFmtId="0" fontId="2" fillId="0" borderId="22" xfId="0" applyFont="1" applyBorder="1" applyAlignment="1">
      <alignment horizontal="right" vertical="center"/>
    </xf>
    <xf numFmtId="37" fontId="4" fillId="0" borderId="26" xfId="0" applyNumberFormat="1" applyFont="1" applyFill="1" applyBorder="1" applyAlignment="1" applyProtection="1">
      <alignment/>
      <protection hidden="1"/>
    </xf>
    <xf numFmtId="184" fontId="4" fillId="0" borderId="49" xfId="36" applyFont="1" applyFill="1" applyBorder="1" applyAlignment="1" applyProtection="1">
      <alignment/>
      <protection hidden="1" locked="0"/>
    </xf>
    <xf numFmtId="179" fontId="4" fillId="0" borderId="17" xfId="34" applyFont="1" applyFill="1" applyBorder="1" applyAlignment="1" applyProtection="1">
      <alignment/>
      <protection hidden="1"/>
    </xf>
    <xf numFmtId="3" fontId="3" fillId="3" borderId="16" xfId="0" applyNumberFormat="1" applyFont="1" applyFill="1" applyBorder="1" applyAlignment="1" applyProtection="1">
      <alignment horizontal="center" vertical="center"/>
      <protection hidden="1"/>
    </xf>
    <xf numFmtId="3" fontId="3" fillId="3" borderId="5" xfId="0" applyNumberFormat="1" applyFont="1" applyFill="1" applyBorder="1" applyAlignment="1" applyProtection="1">
      <alignment horizontal="center" vertical="center"/>
      <protection hidden="1"/>
    </xf>
    <xf numFmtId="3" fontId="3" fillId="3" borderId="7" xfId="0" applyNumberFormat="1" applyFont="1" applyFill="1" applyBorder="1" applyAlignment="1" applyProtection="1">
      <alignment horizontal="center" vertical="center"/>
      <protection hidden="1"/>
    </xf>
    <xf numFmtId="191" fontId="4" fillId="0" borderId="23" xfId="0" applyNumberFormat="1" applyFont="1" applyFill="1" applyBorder="1" applyAlignment="1" applyProtection="1">
      <alignment/>
      <protection hidden="1" locked="0"/>
    </xf>
    <xf numFmtId="2" fontId="4" fillId="0" borderId="23" xfId="0" applyNumberFormat="1" applyFont="1" applyFill="1" applyBorder="1" applyAlignment="1" applyProtection="1">
      <alignment/>
      <protection hidden="1" locked="0"/>
    </xf>
    <xf numFmtId="182" fontId="5" fillId="3" borderId="16" xfId="34" applyNumberFormat="1" applyFont="1" applyFill="1" applyBorder="1" applyAlignment="1" applyProtection="1">
      <alignment/>
      <protection hidden="1"/>
    </xf>
    <xf numFmtId="182" fontId="5" fillId="3" borderId="5" xfId="34" applyNumberFormat="1" applyFont="1" applyFill="1" applyBorder="1" applyAlignment="1" applyProtection="1">
      <alignment/>
      <protection hidden="1"/>
    </xf>
    <xf numFmtId="3" fontId="5" fillId="0" borderId="0" xfId="0" applyNumberFormat="1" applyFont="1" applyAlignment="1" applyProtection="1">
      <alignment/>
      <protection hidden="1"/>
    </xf>
    <xf numFmtId="184" fontId="4" fillId="0" borderId="36" xfId="36" applyFont="1" applyFill="1" applyBorder="1" applyAlignment="1" applyProtection="1">
      <alignment/>
      <protection hidden="1" locked="0"/>
    </xf>
    <xf numFmtId="184" fontId="4" fillId="0" borderId="36" xfId="36" applyFont="1" applyFill="1" applyBorder="1" applyAlignment="1" applyProtection="1">
      <alignment/>
      <protection hidden="1"/>
    </xf>
    <xf numFmtId="37" fontId="14" fillId="3" borderId="5" xfId="0" applyNumberFormat="1" applyFont="1" applyFill="1" applyBorder="1" applyAlignment="1" applyProtection="1">
      <alignment/>
      <protection hidden="1"/>
    </xf>
    <xf numFmtId="0" fontId="3" fillId="3" borderId="3" xfId="0" applyFont="1" applyFill="1" applyBorder="1" applyAlignment="1" applyProtection="1">
      <alignment/>
      <protection hidden="1"/>
    </xf>
    <xf numFmtId="179" fontId="4" fillId="0" borderId="0" xfId="34" applyFont="1" applyFill="1" applyBorder="1" applyAlignment="1" applyProtection="1">
      <alignment/>
      <protection hidden="1" locked="0"/>
    </xf>
    <xf numFmtId="179" fontId="4" fillId="0" borderId="13" xfId="34" applyFont="1" applyFill="1" applyBorder="1" applyAlignment="1" applyProtection="1">
      <alignment/>
      <protection hidden="1" locked="0"/>
    </xf>
    <xf numFmtId="179" fontId="4" fillId="0" borderId="26" xfId="34" applyFont="1" applyFill="1" applyBorder="1" applyAlignment="1" applyProtection="1">
      <alignment/>
      <protection hidden="1" locked="0"/>
    </xf>
    <xf numFmtId="179" fontId="4" fillId="0" borderId="52" xfId="34" applyFont="1" applyFill="1" applyBorder="1" applyAlignment="1" applyProtection="1">
      <alignment/>
      <protection hidden="1"/>
    </xf>
    <xf numFmtId="179" fontId="5" fillId="3" borderId="21" xfId="37" applyFont="1" applyFill="1" applyBorder="1" applyAlignment="1" applyProtection="1">
      <alignment/>
      <protection hidden="1"/>
    </xf>
    <xf numFmtId="179" fontId="4" fillId="3" borderId="14" xfId="34" applyFont="1" applyFill="1" applyBorder="1" applyAlignment="1" applyProtection="1">
      <alignment/>
      <protection hidden="1" locked="0"/>
    </xf>
    <xf numFmtId="179" fontId="4" fillId="0" borderId="32" xfId="34" applyFont="1" applyFill="1" applyBorder="1" applyAlignment="1" applyProtection="1">
      <alignment/>
      <protection hidden="1"/>
    </xf>
    <xf numFmtId="179" fontId="4" fillId="0" borderId="25" xfId="34" applyFont="1" applyFill="1" applyBorder="1" applyAlignment="1" applyProtection="1">
      <alignment/>
      <protection hidden="1" locked="0"/>
    </xf>
    <xf numFmtId="179" fontId="4" fillId="0" borderId="38" xfId="34" applyFont="1" applyBorder="1" applyAlignment="1" applyProtection="1">
      <alignment/>
      <protection hidden="1"/>
    </xf>
    <xf numFmtId="179" fontId="4" fillId="0" borderId="23" xfId="34" applyFont="1" applyFill="1" applyBorder="1" applyProtection="1">
      <alignment/>
      <protection locked="0"/>
    </xf>
    <xf numFmtId="0" fontId="1" fillId="0" borderId="0" xfId="0" applyNumberFormat="1" applyFont="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2" fillId="0" borderId="5"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2" fillId="0" borderId="5" xfId="0" applyFont="1" applyBorder="1" applyAlignment="1" applyProtection="1">
      <alignment horizontal="left" vertical="center"/>
      <protection/>
    </xf>
    <xf numFmtId="0" fontId="3" fillId="0" borderId="5" xfId="0" applyNumberFormat="1" applyFont="1" applyBorder="1" applyAlignment="1" applyProtection="1">
      <alignment vertical="center"/>
      <protection/>
    </xf>
    <xf numFmtId="187" fontId="2" fillId="0" borderId="6" xfId="0" applyNumberFormat="1" applyFont="1" applyBorder="1" applyAlignment="1" applyProtection="1">
      <alignment horizontal="righ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5" fillId="0" borderId="0" xfId="0" applyNumberFormat="1" applyFont="1" applyBorder="1" applyAlignment="1" applyProtection="1">
      <alignment horizontal="left"/>
      <protection/>
    </xf>
    <xf numFmtId="37" fontId="5" fillId="0" borderId="0" xfId="0" applyNumberFormat="1" applyFont="1" applyBorder="1" applyAlignment="1" applyProtection="1">
      <alignment/>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right" vertical="top"/>
      <protection/>
    </xf>
    <xf numFmtId="0" fontId="5" fillId="0" borderId="0" xfId="0" applyFont="1" applyBorder="1" applyAlignment="1" applyProtection="1">
      <alignment horizontal="right"/>
      <protection/>
    </xf>
    <xf numFmtId="0" fontId="4" fillId="0" borderId="0" xfId="0" applyFont="1" applyBorder="1" applyAlignment="1" applyProtection="1">
      <alignment/>
      <protection/>
    </xf>
    <xf numFmtId="37" fontId="5" fillId="0" borderId="0" xfId="0" applyNumberFormat="1" applyFont="1" applyBorder="1" applyAlignment="1" applyProtection="1">
      <alignment horizontal="left"/>
      <protection/>
    </xf>
    <xf numFmtId="0" fontId="4" fillId="0" borderId="0" xfId="0" applyFont="1" applyAlignment="1" applyProtection="1">
      <alignment/>
      <protection/>
    </xf>
    <xf numFmtId="0" fontId="5" fillId="0" borderId="0" xfId="0" applyNumberFormat="1" applyFont="1"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Border="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protection/>
    </xf>
    <xf numFmtId="0" fontId="0" fillId="0" borderId="0" xfId="0" applyBorder="1" applyAlignment="1" applyProtection="1">
      <alignment/>
      <protection/>
    </xf>
    <xf numFmtId="0" fontId="0" fillId="0" borderId="0" xfId="0" applyFill="1" applyAlignment="1" applyProtection="1">
      <alignment/>
      <protection/>
    </xf>
    <xf numFmtId="0" fontId="5" fillId="0" borderId="0" xfId="0" applyNumberFormat="1" applyFont="1" applyAlignment="1" applyProtection="1">
      <alignment/>
      <protection/>
    </xf>
    <xf numFmtId="0" fontId="5" fillId="0" borderId="0" xfId="0" applyFont="1" applyAlignment="1" applyProtection="1">
      <alignment/>
      <protection/>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1" fillId="0" borderId="0" xfId="0" applyNumberFormat="1" applyFont="1" applyAlignment="1" applyProtection="1">
      <alignment/>
      <protection/>
    </xf>
    <xf numFmtId="0" fontId="4" fillId="0" borderId="0" xfId="0" applyFont="1" applyFill="1" applyAlignment="1" applyProtection="1">
      <alignment vertical="center"/>
      <protection/>
    </xf>
    <xf numFmtId="37" fontId="4" fillId="0" borderId="0" xfId="0" applyNumberFormat="1" applyFont="1" applyAlignment="1" applyProtection="1">
      <alignment horizontal="left"/>
      <protection/>
    </xf>
    <xf numFmtId="2" fontId="4" fillId="0" borderId="0" xfId="0" applyNumberFormat="1" applyFont="1" applyAlignment="1" applyProtection="1">
      <alignment/>
      <protection/>
    </xf>
    <xf numFmtId="37" fontId="4" fillId="0" borderId="0" xfId="0" applyNumberFormat="1" applyFont="1" applyAlignment="1" applyProtection="1">
      <alignment/>
      <protection/>
    </xf>
    <xf numFmtId="0" fontId="4" fillId="0" borderId="0" xfId="0" applyFont="1" applyFill="1" applyBorder="1" applyAlignment="1" applyProtection="1">
      <alignment/>
      <protection/>
    </xf>
    <xf numFmtId="0" fontId="5" fillId="0" borderId="0" xfId="0" applyFont="1" applyBorder="1" applyAlignment="1" applyProtection="1">
      <alignment/>
      <protection/>
    </xf>
    <xf numFmtId="37" fontId="5" fillId="3" borderId="3" xfId="0" applyNumberFormat="1" applyFont="1" applyFill="1" applyBorder="1" applyAlignment="1" applyProtection="1">
      <alignment horizontal="right"/>
      <protection/>
    </xf>
    <xf numFmtId="0" fontId="4" fillId="0" borderId="0" xfId="0" applyFont="1" applyBorder="1" applyAlignment="1" applyProtection="1">
      <alignment horizontal="left"/>
      <protection/>
    </xf>
    <xf numFmtId="0" fontId="5" fillId="0" borderId="0" xfId="0" applyNumberFormat="1" applyFont="1" applyBorder="1" applyAlignment="1" applyProtection="1">
      <alignment/>
      <protection/>
    </xf>
    <xf numFmtId="49" fontId="4" fillId="0" borderId="23" xfId="0" applyNumberFormat="1" applyFont="1" applyFill="1" applyBorder="1" applyAlignment="1" applyProtection="1">
      <alignment horizontal="left"/>
      <protection locked="0"/>
    </xf>
    <xf numFmtId="179" fontId="4" fillId="0" borderId="23" xfId="34" applyFont="1" applyBorder="1" applyProtection="1">
      <alignment/>
      <protection/>
    </xf>
    <xf numFmtId="0" fontId="2" fillId="0" borderId="0" xfId="0" applyNumberFormat="1" applyFont="1" applyBorder="1" applyAlignment="1" applyProtection="1">
      <alignment/>
      <protection/>
    </xf>
    <xf numFmtId="0" fontId="5" fillId="0" borderId="0" xfId="0" applyFont="1" applyFill="1" applyBorder="1" applyAlignment="1" applyProtection="1">
      <alignment/>
      <protection/>
    </xf>
    <xf numFmtId="49" fontId="4" fillId="0" borderId="0" xfId="0" applyNumberFormat="1" applyFont="1" applyBorder="1" applyAlignment="1" applyProtection="1">
      <alignment horizontal="center"/>
      <protection/>
    </xf>
    <xf numFmtId="0" fontId="4" fillId="0" borderId="0" xfId="0" applyFont="1" applyFill="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37" fontId="4" fillId="0" borderId="0" xfId="0" applyNumberFormat="1" applyFont="1" applyAlignment="1" applyProtection="1">
      <alignment/>
      <protection/>
    </xf>
    <xf numFmtId="179" fontId="4" fillId="0" borderId="17" xfId="34" applyFont="1" applyFill="1" applyBorder="1" applyProtection="1">
      <alignment/>
      <protection locked="0"/>
    </xf>
    <xf numFmtId="184" fontId="4" fillId="0" borderId="23" xfId="36" applyFont="1" applyFill="1" applyBorder="1" applyProtection="1">
      <alignment/>
      <protection locked="0"/>
    </xf>
    <xf numFmtId="179" fontId="4" fillId="0" borderId="25" xfId="34" applyFont="1" applyBorder="1" applyAlignment="1" applyProtection="1">
      <alignment/>
      <protection/>
    </xf>
    <xf numFmtId="184" fontId="4" fillId="0" borderId="25" xfId="36" applyFont="1" applyFill="1" applyBorder="1" applyProtection="1">
      <alignment/>
      <protection locked="0"/>
    </xf>
    <xf numFmtId="37" fontId="5" fillId="0" borderId="0" xfId="0" applyNumberFormat="1" applyFont="1" applyBorder="1" applyAlignment="1" applyProtection="1">
      <alignment horizontal="right"/>
      <protection/>
    </xf>
    <xf numFmtId="179" fontId="4" fillId="0" borderId="25" xfId="34" applyFont="1" applyBorder="1" applyProtection="1">
      <alignment/>
      <protection/>
    </xf>
    <xf numFmtId="184" fontId="4" fillId="0" borderId="23" xfId="36" applyFont="1" applyFill="1" applyBorder="1" applyProtection="1">
      <alignment/>
      <protection/>
    </xf>
    <xf numFmtId="0" fontId="2" fillId="0" borderId="0" xfId="0" applyFont="1" applyBorder="1" applyAlignment="1" applyProtection="1">
      <alignment vertical="center"/>
      <protection/>
    </xf>
    <xf numFmtId="37" fontId="5" fillId="0" borderId="0" xfId="0" applyNumberFormat="1" applyFont="1" applyBorder="1" applyAlignment="1" applyProtection="1">
      <alignment horizontal="right" vertical="top"/>
      <protection/>
    </xf>
    <xf numFmtId="37" fontId="4" fillId="0" borderId="0" xfId="0" applyNumberFormat="1" applyFont="1" applyBorder="1" applyAlignment="1" applyProtection="1">
      <alignment/>
      <protection/>
    </xf>
    <xf numFmtId="167" fontId="4" fillId="0" borderId="23" xfId="0" applyNumberFormat="1" applyFont="1" applyFill="1" applyBorder="1" applyAlignment="1" applyProtection="1">
      <alignment horizontal="center"/>
      <protection/>
    </xf>
    <xf numFmtId="0" fontId="4" fillId="0" borderId="13" xfId="0" applyFont="1" applyFill="1" applyBorder="1" applyAlignment="1" applyProtection="1">
      <alignment/>
      <protection/>
    </xf>
    <xf numFmtId="0" fontId="2"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23" xfId="0" applyNumberFormat="1" applyFont="1" applyFill="1" applyBorder="1" applyAlignment="1" applyProtection="1">
      <alignment horizontal="center"/>
      <protection locked="0"/>
    </xf>
    <xf numFmtId="3" fontId="4" fillId="0" borderId="0" xfId="0" applyNumberFormat="1" applyFont="1" applyBorder="1" applyAlignment="1" applyProtection="1">
      <alignment horizontal="center"/>
      <protection/>
    </xf>
    <xf numFmtId="0" fontId="2" fillId="0" borderId="0" xfId="0" applyFont="1" applyBorder="1" applyAlignment="1" applyProtection="1">
      <alignment/>
      <protection/>
    </xf>
    <xf numFmtId="179" fontId="2" fillId="0" borderId="13" xfId="34" applyFont="1" applyFill="1" applyBorder="1" applyAlignment="1" applyProtection="1">
      <alignment horizontal="right"/>
      <protection/>
    </xf>
    <xf numFmtId="179" fontId="2" fillId="0" borderId="17" xfId="34" applyFont="1" applyFill="1" applyBorder="1" applyAlignment="1" applyProtection="1">
      <alignment horizontal="right"/>
      <protection/>
    </xf>
    <xf numFmtId="179" fontId="2" fillId="0" borderId="0" xfId="0" applyNumberFormat="1" applyFont="1" applyBorder="1" applyAlignment="1" applyProtection="1">
      <alignment/>
      <protection/>
    </xf>
    <xf numFmtId="37" fontId="4" fillId="0" borderId="0" xfId="0" applyNumberFormat="1" applyFont="1" applyFill="1" applyAlignment="1" applyProtection="1">
      <alignment vertical="center"/>
      <protection/>
    </xf>
    <xf numFmtId="168" fontId="4" fillId="0" borderId="23" xfId="0" applyNumberFormat="1" applyFont="1" applyFill="1" applyBorder="1" applyAlignment="1" applyProtection="1">
      <alignment/>
      <protection locked="0"/>
    </xf>
    <xf numFmtId="0" fontId="4" fillId="0" borderId="0" xfId="0" applyFont="1" applyAlignment="1" applyProtection="1">
      <alignment horizontal="justify"/>
      <protection/>
    </xf>
    <xf numFmtId="0" fontId="3" fillId="0" borderId="0" xfId="0" applyFont="1" applyAlignment="1" applyProtection="1">
      <alignment/>
      <protection/>
    </xf>
    <xf numFmtId="0" fontId="17" fillId="0" borderId="0" xfId="0" applyFont="1" applyAlignment="1" applyProtection="1">
      <alignment/>
      <protection/>
    </xf>
    <xf numFmtId="0" fontId="0" fillId="0" borderId="0" xfId="0" applyAlignment="1" applyProtection="1">
      <alignment horizontal="justify" wrapText="1"/>
      <protection/>
    </xf>
    <xf numFmtId="0" fontId="0" fillId="0" borderId="53" xfId="0" applyBorder="1" applyAlignment="1" applyProtection="1">
      <alignment/>
      <protection/>
    </xf>
    <xf numFmtId="0" fontId="1" fillId="0" borderId="54" xfId="0" applyFont="1" applyBorder="1" applyAlignment="1" applyProtection="1">
      <alignment/>
      <protection/>
    </xf>
    <xf numFmtId="0" fontId="0" fillId="0" borderId="54" xfId="0"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57" xfId="0" applyBorder="1" applyAlignment="1" applyProtection="1">
      <alignment/>
      <protection/>
    </xf>
    <xf numFmtId="0" fontId="1" fillId="0" borderId="16" xfId="0" applyFont="1" applyBorder="1" applyAlignment="1" applyProtection="1">
      <alignment vertical="top"/>
      <protection/>
    </xf>
    <xf numFmtId="0" fontId="0" fillId="0" borderId="7" xfId="0" applyBorder="1" applyAlignment="1" applyProtection="1">
      <alignment vertical="top" wrapText="1"/>
      <protection/>
    </xf>
    <xf numFmtId="0" fontId="0" fillId="0" borderId="0" xfId="0" applyBorder="1" applyAlignment="1" applyProtection="1">
      <alignment vertical="top" wrapText="1"/>
      <protection/>
    </xf>
    <xf numFmtId="0" fontId="0" fillId="0" borderId="57" xfId="0" applyBorder="1" applyAlignment="1" applyProtection="1">
      <alignment/>
      <protection/>
    </xf>
    <xf numFmtId="0" fontId="0" fillId="0" borderId="58" xfId="0" applyFill="1" applyBorder="1" applyAlignment="1" applyProtection="1">
      <alignment/>
      <protection/>
    </xf>
    <xf numFmtId="0" fontId="0" fillId="0" borderId="59" xfId="0" applyFill="1" applyBorder="1" applyAlignment="1" applyProtection="1">
      <alignment/>
      <protection/>
    </xf>
    <xf numFmtId="0" fontId="0" fillId="0" borderId="59" xfId="0" applyFill="1" applyBorder="1" applyAlignment="1" applyProtection="1">
      <alignment vertical="top" wrapText="1"/>
      <protection/>
    </xf>
    <xf numFmtId="0" fontId="0" fillId="0" borderId="59" xfId="0" applyFill="1" applyBorder="1" applyAlignment="1" applyProtection="1">
      <alignment vertical="top"/>
      <protection/>
    </xf>
    <xf numFmtId="0" fontId="0" fillId="0" borderId="60" xfId="0" applyFill="1" applyBorder="1" applyAlignment="1" applyProtection="1">
      <alignment/>
      <protection/>
    </xf>
    <xf numFmtId="0" fontId="4" fillId="0" borderId="0" xfId="0" applyFont="1" applyBorder="1" applyAlignment="1" applyProtection="1">
      <alignment horizontal="center" wrapText="1"/>
      <protection/>
    </xf>
    <xf numFmtId="0" fontId="4" fillId="0" borderId="0" xfId="0" applyFont="1" applyAlignment="1" applyProtection="1">
      <alignment horizontal="justify" wrapText="1"/>
      <protection/>
    </xf>
    <xf numFmtId="0" fontId="4" fillId="0" borderId="5" xfId="0" applyFont="1" applyBorder="1" applyAlignment="1" applyProtection="1">
      <alignment vertical="center"/>
      <protection/>
    </xf>
    <xf numFmtId="0" fontId="0" fillId="0" borderId="0" xfId="0" applyBorder="1" applyAlignment="1" applyProtection="1">
      <alignment vertical="center"/>
      <protection/>
    </xf>
    <xf numFmtId="0" fontId="5" fillId="0" borderId="0" xfId="0" applyFont="1" applyBorder="1" applyAlignment="1" applyProtection="1">
      <alignment vertical="center" wrapText="1"/>
      <protection/>
    </xf>
    <xf numFmtId="0" fontId="4" fillId="0" borderId="6" xfId="0" applyFont="1" applyBorder="1" applyAlignment="1" applyProtection="1">
      <alignment vertical="center"/>
      <protection/>
    </xf>
    <xf numFmtId="0" fontId="5" fillId="0" borderId="0" xfId="0" applyFont="1" applyBorder="1" applyAlignment="1" applyProtection="1">
      <alignment vertical="center"/>
      <protection/>
    </xf>
    <xf numFmtId="37" fontId="4" fillId="0" borderId="0" xfId="0" applyNumberFormat="1" applyFont="1" applyBorder="1" applyAlignment="1" applyProtection="1">
      <alignment vertical="center"/>
      <protection/>
    </xf>
    <xf numFmtId="0" fontId="0" fillId="0" borderId="0" xfId="0" applyFont="1" applyAlignment="1" applyProtection="1">
      <alignment horizontal="left"/>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170" fontId="4" fillId="0" borderId="0" xfId="0" applyNumberFormat="1" applyFont="1" applyAlignment="1" applyProtection="1">
      <alignment/>
      <protection/>
    </xf>
    <xf numFmtId="37" fontId="5"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Font="1" applyAlignment="1" applyProtection="1">
      <alignment wrapText="1"/>
      <protection/>
    </xf>
    <xf numFmtId="0" fontId="4" fillId="0" borderId="0" xfId="0" applyFont="1" applyBorder="1" applyAlignment="1" applyProtection="1">
      <alignment horizontal="justify"/>
      <protection/>
    </xf>
    <xf numFmtId="37" fontId="4" fillId="0" borderId="0" xfId="0" applyNumberFormat="1" applyFont="1" applyAlignment="1" applyProtection="1">
      <alignment horizontal="justify"/>
      <protection/>
    </xf>
    <xf numFmtId="170" fontId="0" fillId="0" borderId="0" xfId="0" applyNumberFormat="1" applyFont="1" applyAlignment="1" applyProtection="1">
      <alignment/>
      <protection/>
    </xf>
    <xf numFmtId="170" fontId="0" fillId="0" borderId="0" xfId="0" applyNumberFormat="1" applyFont="1" applyAlignment="1" applyProtection="1">
      <alignment horizontal="justify"/>
      <protection/>
    </xf>
    <xf numFmtId="0" fontId="5" fillId="0" borderId="0" xfId="0" applyNumberFormat="1" applyFont="1" applyAlignment="1" applyProtection="1">
      <alignment horizontal="justify"/>
      <protection/>
    </xf>
    <xf numFmtId="176" fontId="4" fillId="0" borderId="61" xfId="0" applyNumberFormat="1" applyFont="1" applyFill="1" applyBorder="1" applyAlignment="1" applyProtection="1">
      <alignment horizontal="left"/>
      <protection locked="0"/>
    </xf>
    <xf numFmtId="176" fontId="4" fillId="0" borderId="36" xfId="0" applyNumberFormat="1" applyFont="1" applyFill="1" applyBorder="1" applyAlignment="1" applyProtection="1">
      <alignment horizontal="left"/>
      <protection locked="0"/>
    </xf>
    <xf numFmtId="168" fontId="4" fillId="0" borderId="23" xfId="34" applyNumberFormat="1" applyFont="1" applyFill="1" applyBorder="1" applyProtection="1">
      <alignment/>
      <protection locked="0"/>
    </xf>
    <xf numFmtId="14" fontId="4" fillId="0" borderId="23" xfId="0" applyNumberFormat="1" applyFont="1" applyFill="1" applyBorder="1" applyAlignment="1" applyProtection="1">
      <alignment horizontal="left"/>
      <protection locked="0"/>
    </xf>
    <xf numFmtId="0" fontId="4" fillId="0" borderId="13" xfId="0" applyFont="1" applyFill="1" applyBorder="1" applyAlignment="1" applyProtection="1">
      <alignment/>
      <protection hidden="1"/>
    </xf>
    <xf numFmtId="0" fontId="4" fillId="3" borderId="5" xfId="0" applyFont="1" applyFill="1" applyBorder="1" applyAlignment="1" applyProtection="1">
      <alignment/>
      <protection hidden="1"/>
    </xf>
    <xf numFmtId="37" fontId="4" fillId="0" borderId="3" xfId="0" applyNumberFormat="1" applyFont="1" applyFill="1" applyBorder="1" applyAlignment="1" applyProtection="1">
      <alignment vertical="center"/>
      <protection locked="0"/>
    </xf>
    <xf numFmtId="0" fontId="5" fillId="0" borderId="0" xfId="32" applyFont="1" applyBorder="1" applyAlignment="1" applyProtection="1">
      <alignment horizontal="left"/>
      <protection/>
    </xf>
    <xf numFmtId="0" fontId="4" fillId="0" borderId="0" xfId="0" applyFont="1" applyAlignment="1" applyProtection="1">
      <alignment/>
      <protection locked="0"/>
    </xf>
    <xf numFmtId="187" fontId="15" fillId="0" borderId="6" xfId="0" applyNumberFormat="1" applyFont="1" applyBorder="1" applyAlignment="1" applyProtection="1">
      <alignment horizontal="right" vertical="center"/>
      <protection/>
    </xf>
    <xf numFmtId="0" fontId="5" fillId="0" borderId="0" xfId="0" applyNumberFormat="1" applyFont="1" applyBorder="1" applyAlignment="1" applyProtection="1">
      <alignment vertical="center"/>
      <protection/>
    </xf>
    <xf numFmtId="0" fontId="4" fillId="0" borderId="0" xfId="0" applyFont="1" applyAlignment="1">
      <alignment/>
    </xf>
    <xf numFmtId="179" fontId="4" fillId="0" borderId="13" xfId="34" applyFont="1" applyFill="1" applyBorder="1" applyProtection="1">
      <alignment/>
      <protection locked="0"/>
    </xf>
    <xf numFmtId="0" fontId="16" fillId="0" borderId="5" xfId="0" applyNumberFormat="1" applyFont="1" applyBorder="1" applyAlignment="1" applyProtection="1">
      <alignment vertical="center"/>
      <protection/>
    </xf>
    <xf numFmtId="0" fontId="4" fillId="0" borderId="0" xfId="0" applyFont="1" applyFill="1" applyAlignment="1" applyProtection="1">
      <alignment/>
      <protection/>
    </xf>
    <xf numFmtId="178" fontId="4" fillId="0" borderId="39" xfId="34" applyNumberFormat="1" applyFont="1" applyFill="1" applyBorder="1" applyProtection="1">
      <alignment/>
      <protection locked="0"/>
    </xf>
    <xf numFmtId="178" fontId="4" fillId="0" borderId="17" xfId="34" applyNumberFormat="1" applyFont="1" applyFill="1" applyBorder="1" applyProtection="1">
      <alignment/>
      <protection locked="0"/>
    </xf>
    <xf numFmtId="0" fontId="4" fillId="0" borderId="0" xfId="0" applyNumberFormat="1" applyFont="1" applyBorder="1" applyAlignment="1" applyProtection="1">
      <alignment vertical="center"/>
      <protection/>
    </xf>
    <xf numFmtId="0" fontId="4" fillId="0" borderId="0" xfId="0" applyFont="1" applyAlignment="1" applyProtection="1">
      <alignment/>
      <protection hidden="1"/>
    </xf>
    <xf numFmtId="3" fontId="4" fillId="0" borderId="23" xfId="34" applyNumberFormat="1" applyFont="1" applyFill="1" applyBorder="1" applyProtection="1">
      <alignment/>
      <protection locked="0"/>
    </xf>
    <xf numFmtId="0" fontId="4" fillId="0" borderId="0" xfId="0" applyFont="1" applyAlignment="1" applyProtection="1">
      <alignment horizontal="left" vertical="top" wrapText="1"/>
      <protection hidden="1"/>
    </xf>
    <xf numFmtId="171" fontId="4" fillId="0" borderId="23" xfId="34" applyNumberFormat="1" applyFont="1" applyFill="1" applyBorder="1" applyProtection="1">
      <alignment/>
      <protection locked="0"/>
    </xf>
    <xf numFmtId="171" fontId="4" fillId="0" borderId="23" xfId="34" applyNumberFormat="1" applyFont="1" applyFill="1" applyBorder="1" applyProtection="1">
      <alignment/>
      <protection/>
    </xf>
    <xf numFmtId="171" fontId="4" fillId="0" borderId="0" xfId="0" applyNumberFormat="1" applyFont="1" applyAlignment="1" applyProtection="1">
      <alignment/>
      <protection/>
    </xf>
    <xf numFmtId="171" fontId="4" fillId="0" borderId="0" xfId="0" applyNumberFormat="1" applyFont="1" applyBorder="1" applyAlignment="1" applyProtection="1">
      <alignment/>
      <protection/>
    </xf>
    <xf numFmtId="171" fontId="4" fillId="0" borderId="23" xfId="36" applyNumberFormat="1" applyFont="1" applyFill="1" applyBorder="1" applyProtection="1">
      <alignment/>
      <protection locked="0"/>
    </xf>
    <xf numFmtId="171" fontId="5" fillId="0" borderId="0" xfId="0" applyNumberFormat="1" applyFont="1" applyAlignment="1" applyProtection="1">
      <alignment/>
      <protection/>
    </xf>
    <xf numFmtId="171" fontId="2" fillId="0" borderId="17" xfId="34" applyNumberFormat="1" applyFont="1" applyFill="1" applyBorder="1" applyAlignment="1" applyProtection="1">
      <alignment horizontal="right"/>
      <protection/>
    </xf>
    <xf numFmtId="0" fontId="2" fillId="0" borderId="0" xfId="0" applyFont="1" applyAlignment="1" applyProtection="1">
      <alignment horizontal="right" vertical="center"/>
      <protection/>
    </xf>
    <xf numFmtId="0" fontId="16" fillId="0" borderId="6" xfId="0" applyNumberFormat="1" applyFont="1" applyBorder="1" applyAlignment="1" applyProtection="1">
      <alignment vertical="center"/>
      <protection/>
    </xf>
    <xf numFmtId="0" fontId="16" fillId="0" borderId="0" xfId="0" applyNumberFormat="1" applyFont="1" applyBorder="1" applyAlignment="1" applyProtection="1">
      <alignment vertical="center"/>
      <protection/>
    </xf>
    <xf numFmtId="187" fontId="4" fillId="0" borderId="0" xfId="0" applyNumberFormat="1" applyFont="1" applyBorder="1" applyAlignment="1" applyProtection="1">
      <alignment horizontal="right" vertical="center"/>
      <protection/>
    </xf>
    <xf numFmtId="0" fontId="4" fillId="0" borderId="5" xfId="0" applyNumberFormat="1" applyFont="1" applyBorder="1" applyAlignment="1" applyProtection="1">
      <alignment vertical="center"/>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37" fontId="4" fillId="0" borderId="0" xfId="0" applyNumberFormat="1" applyFont="1" applyAlignment="1" applyProtection="1">
      <alignment horizontal="center"/>
      <protection hidden="1"/>
    </xf>
    <xf numFmtId="37" fontId="15" fillId="0" borderId="0" xfId="0" applyNumberFormat="1" applyFont="1" applyAlignment="1" applyProtection="1">
      <alignment/>
      <protection hidden="1"/>
    </xf>
    <xf numFmtId="0" fontId="15" fillId="0" borderId="0" xfId="0" applyFont="1" applyAlignment="1" applyProtection="1">
      <alignment/>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protection hidden="1"/>
    </xf>
    <xf numFmtId="0" fontId="5" fillId="0" borderId="0" xfId="0" applyNumberFormat="1" applyFont="1" applyBorder="1" applyAlignment="1" applyProtection="1">
      <alignment vertical="center"/>
      <protection hidden="1"/>
    </xf>
    <xf numFmtId="0" fontId="16" fillId="0" borderId="0" xfId="0" applyNumberFormat="1" applyFont="1" applyBorder="1" applyAlignment="1" applyProtection="1">
      <alignment vertical="center"/>
      <protection hidden="1"/>
    </xf>
    <xf numFmtId="187" fontId="4" fillId="0" borderId="0" xfId="0" applyNumberFormat="1" applyFont="1" applyBorder="1" applyAlignment="1" applyProtection="1">
      <alignment horizontal="right" vertical="center"/>
      <protection hidden="1"/>
    </xf>
    <xf numFmtId="0" fontId="4" fillId="0" borderId="0" xfId="0" applyNumberFormat="1" applyFont="1" applyBorder="1" applyAlignment="1" applyProtection="1">
      <alignment vertical="center"/>
      <protection hidden="1"/>
    </xf>
    <xf numFmtId="0" fontId="4" fillId="0" borderId="0" xfId="0" applyFont="1" applyAlignment="1" applyProtection="1">
      <alignment wrapText="1"/>
      <protection hidden="1"/>
    </xf>
    <xf numFmtId="187" fontId="4" fillId="0" borderId="6" xfId="0" applyNumberFormat="1" applyFont="1" applyBorder="1" applyAlignment="1" applyProtection="1">
      <alignment horizontal="right" vertical="center"/>
      <protection hidden="1"/>
    </xf>
    <xf numFmtId="0" fontId="4" fillId="0" borderId="5" xfId="0" applyFont="1" applyBorder="1" applyAlignment="1" applyProtection="1">
      <alignment vertical="center"/>
      <protection hidden="1"/>
    </xf>
    <xf numFmtId="0" fontId="4" fillId="0" borderId="5" xfId="0" applyFont="1" applyBorder="1" applyAlignment="1" applyProtection="1">
      <alignment horizontal="left" vertical="center"/>
      <protection hidden="1"/>
    </xf>
    <xf numFmtId="0" fontId="5" fillId="0" borderId="5" xfId="0" applyNumberFormat="1" applyFont="1" applyBorder="1" applyAlignment="1" applyProtection="1">
      <alignment vertical="center"/>
      <protection hidden="1"/>
    </xf>
    <xf numFmtId="0" fontId="16" fillId="0" borderId="5" xfId="0" applyNumberFormat="1" applyFont="1" applyBorder="1" applyAlignment="1" applyProtection="1">
      <alignment vertical="center"/>
      <protection hidden="1"/>
    </xf>
    <xf numFmtId="0" fontId="15" fillId="0" borderId="5" xfId="0" applyFont="1" applyBorder="1" applyAlignment="1" applyProtection="1">
      <alignment vertical="center"/>
      <protection hidden="1"/>
    </xf>
    <xf numFmtId="2" fontId="4" fillId="0" borderId="0" xfId="0" applyNumberFormat="1" applyFont="1" applyAlignment="1" applyProtection="1">
      <alignment horizontal="left"/>
      <protection hidden="1"/>
    </xf>
    <xf numFmtId="0" fontId="14" fillId="0" borderId="0" xfId="32" applyFont="1" applyBorder="1" applyAlignment="1" applyProtection="1">
      <alignment horizontal="left"/>
      <protection hidden="1"/>
    </xf>
    <xf numFmtId="37" fontId="5" fillId="0" borderId="0" xfId="0" applyNumberFormat="1" applyFont="1" applyBorder="1" applyAlignment="1" applyProtection="1">
      <alignment horizontal="center"/>
      <protection hidden="1"/>
    </xf>
    <xf numFmtId="0" fontId="5" fillId="0" borderId="0" xfId="32" applyFont="1" applyBorder="1" applyAlignment="1" applyProtection="1">
      <alignment horizontal="left"/>
      <protection hidden="1"/>
    </xf>
    <xf numFmtId="37" fontId="5" fillId="3" borderId="16" xfId="0" applyNumberFormat="1" applyFont="1" applyFill="1" applyBorder="1" applyAlignment="1" applyProtection="1">
      <alignment vertical="center"/>
      <protection hidden="1"/>
    </xf>
    <xf numFmtId="37" fontId="5" fillId="3" borderId="3"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right" vertical="center"/>
      <protection hidden="1"/>
    </xf>
    <xf numFmtId="37" fontId="5" fillId="0" borderId="0" xfId="0" applyNumberFormat="1" applyFont="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4" fillId="0" borderId="0" xfId="0" applyNumberFormat="1" applyFont="1" applyAlignment="1" applyProtection="1">
      <alignment horizontal="right"/>
      <protection hidden="1"/>
    </xf>
    <xf numFmtId="0" fontId="4" fillId="0" borderId="0" xfId="0" applyNumberFormat="1" applyFont="1" applyAlignment="1" applyProtection="1">
      <alignment/>
      <protection hidden="1"/>
    </xf>
    <xf numFmtId="37" fontId="5" fillId="3" borderId="21" xfId="0" applyNumberFormat="1" applyFont="1" applyFill="1" applyBorder="1" applyAlignment="1" applyProtection="1">
      <alignment horizontal="right" vertical="center"/>
      <protection hidden="1"/>
    </xf>
    <xf numFmtId="37" fontId="5" fillId="3" borderId="14" xfId="0" applyNumberFormat="1" applyFont="1" applyFill="1" applyBorder="1" applyAlignment="1" applyProtection="1">
      <alignment horizontal="right" vertical="center"/>
      <protection hidden="1"/>
    </xf>
    <xf numFmtId="0" fontId="4" fillId="0" borderId="0" xfId="0" applyFont="1" applyBorder="1" applyAlignment="1" applyProtection="1">
      <alignment/>
      <protection hidden="1"/>
    </xf>
    <xf numFmtId="0" fontId="4" fillId="0" borderId="13" xfId="0" applyFont="1" applyBorder="1" applyAlignment="1" applyProtection="1">
      <alignment/>
      <protection hidden="1"/>
    </xf>
    <xf numFmtId="179" fontId="4" fillId="0" borderId="32" xfId="34" applyFont="1" applyFill="1" applyBorder="1" applyProtection="1">
      <alignment/>
      <protection hidden="1"/>
    </xf>
    <xf numFmtId="37" fontId="5" fillId="3" borderId="7" xfId="0" applyNumberFormat="1" applyFont="1" applyFill="1" applyBorder="1" applyAlignment="1" applyProtection="1">
      <alignment horizontal="center" vertical="center" wrapText="1"/>
      <protection hidden="1"/>
    </xf>
    <xf numFmtId="0" fontId="5" fillId="3" borderId="3" xfId="0" applyFont="1" applyFill="1" applyBorder="1" applyAlignment="1" applyProtection="1">
      <alignment horizontal="right" vertical="center"/>
      <protection hidden="1"/>
    </xf>
    <xf numFmtId="0" fontId="5" fillId="3" borderId="14" xfId="0" applyFont="1" applyFill="1" applyBorder="1" applyAlignment="1" applyProtection="1">
      <alignment horizontal="right" vertical="center"/>
      <protection hidden="1"/>
    </xf>
    <xf numFmtId="0" fontId="5" fillId="0" borderId="0" xfId="0" applyNumberFormat="1" applyFont="1" applyAlignment="1" applyProtection="1">
      <alignment/>
      <protection hidden="1"/>
    </xf>
    <xf numFmtId="37"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horizontal="left"/>
      <protection hidden="1"/>
    </xf>
    <xf numFmtId="0" fontId="5" fillId="3" borderId="3" xfId="0" applyFont="1" applyFill="1" applyBorder="1" applyAlignment="1" applyProtection="1">
      <alignment vertical="center"/>
      <protection hidden="1"/>
    </xf>
    <xf numFmtId="0" fontId="5" fillId="3" borderId="16" xfId="0" applyFont="1" applyFill="1" applyBorder="1" applyAlignment="1" applyProtection="1">
      <alignment horizontal="left" vertical="center"/>
      <protection hidden="1"/>
    </xf>
    <xf numFmtId="37" fontId="5" fillId="3" borderId="2" xfId="0" applyNumberFormat="1" applyFont="1" applyFill="1" applyBorder="1" applyAlignment="1" applyProtection="1">
      <alignment horizontal="right" vertical="center"/>
      <protection hidden="1"/>
    </xf>
    <xf numFmtId="0" fontId="5" fillId="3" borderId="21" xfId="0" applyFont="1" applyFill="1" applyBorder="1" applyAlignment="1" applyProtection="1">
      <alignment horizontal="right" vertical="center"/>
      <protection hidden="1"/>
    </xf>
    <xf numFmtId="0" fontId="5" fillId="0" borderId="0" xfId="0" applyFont="1" applyAlignment="1" applyProtection="1">
      <alignment vertical="center"/>
      <protection hidden="1"/>
    </xf>
    <xf numFmtId="0" fontId="4" fillId="0" borderId="34" xfId="0" applyFont="1" applyBorder="1" applyAlignment="1" applyProtection="1">
      <alignment vertical="center"/>
      <protection hidden="1"/>
    </xf>
    <xf numFmtId="0" fontId="3" fillId="0" borderId="5" xfId="0" applyNumberFormat="1" applyFont="1" applyBorder="1" applyAlignment="1" applyProtection="1">
      <alignment vertical="center"/>
      <protection hidden="1"/>
    </xf>
    <xf numFmtId="0" fontId="4" fillId="0" borderId="0" xfId="0" applyFont="1" applyBorder="1" applyAlignment="1" applyProtection="1">
      <alignment horizontal="left"/>
      <protection hidden="1"/>
    </xf>
    <xf numFmtId="37" fontId="4" fillId="0" borderId="0" xfId="0" applyNumberFormat="1" applyFont="1" applyAlignment="1" applyProtection="1">
      <alignment/>
      <protection hidden="1"/>
    </xf>
    <xf numFmtId="179" fontId="5" fillId="0" borderId="17" xfId="34" applyFont="1" applyFill="1" applyBorder="1" applyAlignment="1" applyProtection="1">
      <alignment horizontal="right"/>
      <protection hidden="1"/>
    </xf>
    <xf numFmtId="37" fontId="4" fillId="0" borderId="0" xfId="0" applyNumberFormat="1" applyFont="1" applyBorder="1" applyAlignment="1" applyProtection="1">
      <alignment/>
      <protection hidden="1"/>
    </xf>
    <xf numFmtId="0" fontId="0" fillId="0" borderId="0" xfId="0" applyAlignment="1" applyProtection="1">
      <alignment/>
      <protection hidden="1"/>
    </xf>
    <xf numFmtId="0" fontId="5" fillId="0" borderId="6" xfId="0" applyNumberFormat="1" applyFont="1" applyBorder="1" applyAlignment="1" applyProtection="1">
      <alignment vertical="center"/>
      <protection hidden="1"/>
    </xf>
    <xf numFmtId="179" fontId="4" fillId="0" borderId="0" xfId="0" applyNumberFormat="1" applyFont="1" applyBorder="1" applyAlignment="1" applyProtection="1">
      <alignment/>
      <protection hidden="1"/>
    </xf>
    <xf numFmtId="0" fontId="5" fillId="0" borderId="0" xfId="0" applyFont="1" applyFill="1" applyBorder="1" applyAlignment="1" applyProtection="1">
      <alignment vertical="center"/>
      <protection hidden="1"/>
    </xf>
    <xf numFmtId="0" fontId="5" fillId="0" borderId="0" xfId="0" applyNumberFormat="1" applyFont="1" applyBorder="1" applyAlignment="1" applyProtection="1">
      <alignment/>
      <protection hidden="1"/>
    </xf>
    <xf numFmtId="37" fontId="5" fillId="0" borderId="34" xfId="0" applyNumberFormat="1" applyFont="1" applyBorder="1" applyAlignment="1" applyProtection="1">
      <alignment vertical="center"/>
      <protection hidden="1"/>
    </xf>
    <xf numFmtId="37" fontId="5" fillId="3" borderId="16" xfId="0" applyNumberFormat="1" applyFont="1" applyFill="1" applyBorder="1" applyAlignment="1" applyProtection="1">
      <alignment horizontal="center" vertical="center"/>
      <protection hidden="1"/>
    </xf>
    <xf numFmtId="37" fontId="5" fillId="0" borderId="0" xfId="0" applyNumberFormat="1" applyFont="1" applyBorder="1" applyAlignment="1" applyProtection="1">
      <alignment/>
      <protection hidden="1"/>
    </xf>
    <xf numFmtId="37" fontId="5" fillId="0" borderId="0" xfId="0" applyNumberFormat="1" applyFont="1" applyBorder="1" applyAlignment="1" applyProtection="1">
      <alignment horizontal="center" vertical="top"/>
      <protection hidden="1"/>
    </xf>
    <xf numFmtId="2" fontId="4" fillId="0" borderId="0" xfId="0" applyNumberFormat="1" applyFont="1" applyAlignment="1" applyProtection="1">
      <alignment/>
      <protection hidden="1"/>
    </xf>
    <xf numFmtId="37" fontId="4" fillId="0" borderId="12" xfId="0" applyNumberFormat="1" applyFont="1" applyFill="1" applyBorder="1" applyAlignment="1" applyProtection="1">
      <alignment/>
      <protection hidden="1"/>
    </xf>
    <xf numFmtId="0" fontId="5" fillId="3" borderId="51" xfId="0" applyFont="1" applyFill="1" applyBorder="1" applyAlignment="1" applyProtection="1">
      <alignment horizontal="right" vertical="center"/>
      <protection hidden="1"/>
    </xf>
    <xf numFmtId="37" fontId="5" fillId="3" borderId="5" xfId="0" applyNumberFormat="1" applyFont="1" applyFill="1" applyBorder="1" applyAlignment="1" applyProtection="1">
      <alignment horizontal="center" vertical="center"/>
      <protection hidden="1"/>
    </xf>
    <xf numFmtId="175" fontId="4" fillId="0" borderId="23" xfId="34" applyNumberFormat="1" applyFont="1" applyFill="1" applyBorder="1" applyAlignment="1" applyProtection="1">
      <alignment horizontal="center"/>
      <protection hidden="1"/>
    </xf>
    <xf numFmtId="0" fontId="4" fillId="0" borderId="32" xfId="0" applyFont="1" applyFill="1" applyBorder="1" applyAlignment="1" applyProtection="1">
      <alignment wrapText="1"/>
      <protection hidden="1"/>
    </xf>
    <xf numFmtId="0" fontId="4" fillId="0" borderId="32" xfId="0" applyFont="1" applyBorder="1" applyAlignment="1" applyProtection="1">
      <alignment/>
      <protection hidden="1"/>
    </xf>
    <xf numFmtId="0" fontId="4" fillId="0" borderId="12" xfId="0" applyFont="1" applyBorder="1" applyAlignment="1" applyProtection="1">
      <alignment/>
      <protection hidden="1"/>
    </xf>
    <xf numFmtId="0" fontId="5" fillId="0" borderId="0" xfId="0" applyNumberFormat="1" applyFont="1" applyBorder="1" applyAlignment="1" applyProtection="1">
      <alignment horizontal="left" vertical="center"/>
      <protection hidden="1"/>
    </xf>
    <xf numFmtId="37" fontId="5" fillId="3" borderId="21" xfId="0" applyNumberFormat="1" applyFont="1" applyFill="1" applyBorder="1" applyAlignment="1" applyProtection="1">
      <alignment horizontal="center" vertical="center"/>
      <protection hidden="1"/>
    </xf>
    <xf numFmtId="37" fontId="5" fillId="3" borderId="14"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left" vertical="top" wrapText="1"/>
      <protection hidden="1"/>
    </xf>
    <xf numFmtId="0" fontId="1" fillId="0" borderId="0" xfId="0" applyNumberFormat="1" applyFont="1" applyAlignment="1" applyProtection="1">
      <alignment/>
      <protection hidden="1"/>
    </xf>
    <xf numFmtId="3" fontId="4" fillId="0" borderId="0" xfId="0" applyNumberFormat="1" applyFont="1" applyAlignment="1" applyProtection="1">
      <alignment/>
      <protection hidden="1"/>
    </xf>
    <xf numFmtId="3" fontId="3" fillId="3" borderId="50" xfId="0" applyNumberFormat="1" applyFont="1" applyFill="1" applyBorder="1" applyAlignment="1" applyProtection="1">
      <alignment horizontal="left" vertical="center"/>
      <protection hidden="1"/>
    </xf>
    <xf numFmtId="3" fontId="3" fillId="3" borderId="50" xfId="0" applyNumberFormat="1" applyFont="1" applyFill="1" applyBorder="1" applyAlignment="1" applyProtection="1">
      <alignment horizontal="right" vertical="center"/>
      <protection hidden="1"/>
    </xf>
    <xf numFmtId="3" fontId="3" fillId="3" borderId="51" xfId="0" applyNumberFormat="1" applyFont="1" applyFill="1" applyBorder="1" applyAlignment="1" applyProtection="1">
      <alignment horizontal="center" vertical="center"/>
      <protection hidden="1"/>
    </xf>
    <xf numFmtId="3" fontId="3" fillId="3" borderId="51" xfId="0" applyNumberFormat="1" applyFont="1" applyFill="1" applyBorder="1" applyAlignment="1" applyProtection="1">
      <alignment horizontal="right" vertical="center"/>
      <protection hidden="1"/>
    </xf>
    <xf numFmtId="3" fontId="5" fillId="0" borderId="0" xfId="0" applyNumberFormat="1" applyFont="1" applyAlignment="1" applyProtection="1">
      <alignment/>
      <protection hidden="1"/>
    </xf>
    <xf numFmtId="0" fontId="5" fillId="3" borderId="5" xfId="0" applyFont="1" applyFill="1" applyBorder="1" applyAlignment="1" applyProtection="1">
      <alignment horizontal="left" vertical="center"/>
      <protection hidden="1"/>
    </xf>
    <xf numFmtId="0" fontId="4" fillId="3" borderId="5" xfId="0" applyFont="1" applyFill="1" applyBorder="1" applyAlignment="1" applyProtection="1">
      <alignment horizontal="left"/>
      <protection hidden="1"/>
    </xf>
    <xf numFmtId="179" fontId="4" fillId="3" borderId="5" xfId="0" applyNumberFormat="1" applyFont="1" applyFill="1" applyBorder="1" applyAlignment="1" applyProtection="1">
      <alignment/>
      <protection hidden="1"/>
    </xf>
    <xf numFmtId="3" fontId="4" fillId="3" borderId="5" xfId="0" applyNumberFormat="1" applyFont="1" applyFill="1" applyBorder="1" applyAlignment="1" applyProtection="1">
      <alignment horizontal="center"/>
      <protection hidden="1"/>
    </xf>
    <xf numFmtId="3" fontId="4" fillId="3" borderId="7" xfId="0" applyNumberFormat="1" applyFont="1" applyFill="1" applyBorder="1" applyAlignment="1" applyProtection="1">
      <alignment horizontal="center"/>
      <protection hidden="1"/>
    </xf>
    <xf numFmtId="3" fontId="4" fillId="0" borderId="0" xfId="0" applyNumberFormat="1" applyFont="1" applyBorder="1" applyAlignment="1" applyProtection="1">
      <alignment horizontal="center"/>
      <protection hidden="1"/>
    </xf>
    <xf numFmtId="0" fontId="5" fillId="0" borderId="0" xfId="0" applyFont="1" applyFill="1" applyBorder="1" applyAlignment="1" applyProtection="1">
      <alignment horizontal="right" vertical="center"/>
      <protection hidden="1"/>
    </xf>
    <xf numFmtId="0" fontId="3" fillId="0" borderId="0" xfId="0" applyFont="1" applyBorder="1" applyAlignment="1" applyProtection="1">
      <alignment/>
      <protection hidden="1"/>
    </xf>
    <xf numFmtId="3" fontId="3" fillId="0" borderId="0" xfId="0" applyNumberFormat="1"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0" fontId="0" fillId="0" borderId="0" xfId="0" applyBorder="1" applyAlignment="1" applyProtection="1">
      <alignment/>
      <protection locked="0"/>
    </xf>
    <xf numFmtId="0" fontId="1" fillId="0" borderId="0" xfId="0" applyNumberFormat="1" applyFont="1" applyBorder="1" applyAlignment="1" applyProtection="1">
      <alignment/>
      <protection locked="0"/>
    </xf>
    <xf numFmtId="0" fontId="0" fillId="0" borderId="0" xfId="0" applyBorder="1" applyAlignment="1" applyProtection="1">
      <alignment/>
      <protection locked="0"/>
    </xf>
    <xf numFmtId="0" fontId="1"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pplyProtection="1">
      <alignment/>
      <protection locked="0"/>
    </xf>
    <xf numFmtId="0" fontId="4" fillId="0" borderId="0" xfId="0" applyFont="1" applyAlignment="1" applyProtection="1">
      <alignment/>
      <protection locked="0"/>
    </xf>
    <xf numFmtId="0" fontId="4" fillId="0" borderId="0" xfId="0" applyFont="1" applyFill="1" applyAlignment="1" applyProtection="1">
      <alignment/>
      <protection locked="0"/>
    </xf>
    <xf numFmtId="3" fontId="4" fillId="0" borderId="17" xfId="34" applyNumberFormat="1" applyFont="1" applyFill="1" applyBorder="1" applyProtection="1">
      <alignment/>
      <protection locked="0"/>
    </xf>
    <xf numFmtId="0" fontId="3" fillId="0" borderId="5" xfId="0" applyFont="1" applyBorder="1" applyAlignment="1" applyProtection="1">
      <alignment vertical="center"/>
      <protection hidden="1"/>
    </xf>
    <xf numFmtId="0" fontId="3" fillId="0" borderId="5"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protection hidden="1"/>
    </xf>
    <xf numFmtId="0" fontId="17" fillId="0" borderId="0" xfId="0" applyFont="1" applyAlignment="1" applyProtection="1">
      <alignment/>
      <protection hidden="1"/>
    </xf>
    <xf numFmtId="0" fontId="17" fillId="0" borderId="0" xfId="0" applyFont="1" applyAlignment="1" applyProtection="1">
      <alignment/>
      <protection hidden="1"/>
    </xf>
    <xf numFmtId="0" fontId="18" fillId="0" borderId="5" xfId="0" applyFont="1" applyBorder="1" applyAlignment="1" applyProtection="1">
      <alignment/>
      <protection hidden="1"/>
    </xf>
    <xf numFmtId="0" fontId="18" fillId="0" borderId="5" xfId="0" applyFont="1" applyBorder="1" applyAlignment="1" applyProtection="1">
      <alignment horizontal="left"/>
      <protection hidden="1"/>
    </xf>
    <xf numFmtId="0" fontId="0" fillId="0" borderId="5" xfId="0" applyBorder="1" applyAlignment="1" applyProtection="1">
      <alignment vertical="center"/>
      <protection hidden="1"/>
    </xf>
    <xf numFmtId="37" fontId="0" fillId="0" borderId="5" xfId="0" applyNumberFormat="1" applyBorder="1" applyAlignment="1" applyProtection="1">
      <alignment/>
      <protection hidden="1"/>
    </xf>
    <xf numFmtId="0" fontId="0" fillId="0" borderId="5" xfId="0" applyBorder="1" applyAlignment="1" applyProtection="1">
      <alignment/>
      <protection hidden="1"/>
    </xf>
    <xf numFmtId="0" fontId="0" fillId="0" borderId="5" xfId="0" applyBorder="1" applyAlignment="1" applyProtection="1">
      <alignment/>
      <protection hidden="1"/>
    </xf>
    <xf numFmtId="0" fontId="11" fillId="0" borderId="5" xfId="0" applyFont="1" applyBorder="1" applyAlignment="1" applyProtection="1">
      <alignment/>
      <protection hidden="1"/>
    </xf>
    <xf numFmtId="0" fontId="0" fillId="0" borderId="6" xfId="0" applyBorder="1" applyAlignment="1" applyProtection="1">
      <alignment/>
      <protection hidden="1"/>
    </xf>
    <xf numFmtId="0" fontId="0" fillId="0" borderId="0" xfId="0" applyBorder="1" applyAlignment="1" applyProtection="1">
      <alignment/>
      <protection hidden="1"/>
    </xf>
    <xf numFmtId="0" fontId="5" fillId="0" borderId="62" xfId="0" applyFont="1" applyBorder="1" applyAlignment="1" applyProtection="1">
      <alignment/>
      <protection hidden="1"/>
    </xf>
    <xf numFmtId="0" fontId="4" fillId="0" borderId="35" xfId="0" applyFont="1" applyBorder="1" applyAlignment="1" applyProtection="1">
      <alignment/>
      <protection hidden="1"/>
    </xf>
    <xf numFmtId="0" fontId="5" fillId="0" borderId="16" xfId="0" applyFont="1" applyBorder="1" applyAlignment="1" applyProtection="1">
      <alignment/>
      <protection hidden="1"/>
    </xf>
    <xf numFmtId="0" fontId="4" fillId="0" borderId="0" xfId="0" applyFont="1" applyBorder="1" applyAlignment="1" applyProtection="1">
      <alignment horizontal="right"/>
      <protection hidden="1"/>
    </xf>
    <xf numFmtId="0" fontId="5" fillId="0" borderId="0" xfId="0" applyFont="1" applyBorder="1" applyAlignment="1" applyProtection="1">
      <alignment horizontal="center" wrapText="1"/>
      <protection hidden="1"/>
    </xf>
    <xf numFmtId="0" fontId="5" fillId="0" borderId="16" xfId="0" applyFont="1" applyBorder="1" applyAlignment="1" applyProtection="1">
      <alignment vertical="center"/>
      <protection hidden="1"/>
    </xf>
    <xf numFmtId="37" fontId="4" fillId="0" borderId="16" xfId="0" applyNumberFormat="1" applyFont="1" applyFill="1" applyBorder="1" applyAlignment="1" applyProtection="1">
      <alignment vertical="center"/>
      <protection hidden="1"/>
    </xf>
    <xf numFmtId="37" fontId="4" fillId="0" borderId="7" xfId="0" applyNumberFormat="1" applyFont="1" applyFill="1" applyBorder="1" applyAlignment="1" applyProtection="1">
      <alignment vertical="center"/>
      <protection hidden="1"/>
    </xf>
    <xf numFmtId="0" fontId="5" fillId="0" borderId="50" xfId="0" applyFont="1" applyBorder="1" applyAlignment="1" applyProtection="1">
      <alignment vertical="center"/>
      <protection hidden="1"/>
    </xf>
    <xf numFmtId="0" fontId="5" fillId="0" borderId="33"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5" fillId="0" borderId="62" xfId="0" applyFont="1" applyBorder="1" applyAlignment="1" applyProtection="1">
      <alignment vertical="center"/>
      <protection hidden="1"/>
    </xf>
    <xf numFmtId="0" fontId="4" fillId="0" borderId="48" xfId="0" applyFont="1" applyBorder="1" applyAlignment="1" applyProtection="1">
      <alignment vertical="center"/>
      <protection hidden="1"/>
    </xf>
    <xf numFmtId="0" fontId="4" fillId="0" borderId="63" xfId="0" applyFont="1" applyBorder="1" applyAlignment="1" applyProtection="1">
      <alignment vertical="center"/>
      <protection hidden="1"/>
    </xf>
    <xf numFmtId="37" fontId="4" fillId="0" borderId="64" xfId="0" applyNumberFormat="1" applyFont="1" applyFill="1" applyBorder="1" applyAlignment="1" applyProtection="1">
      <alignment vertical="center"/>
      <protection hidden="1"/>
    </xf>
    <xf numFmtId="37" fontId="4" fillId="0" borderId="0" xfId="0" applyNumberFormat="1" applyFont="1" applyFill="1" applyBorder="1" applyAlignment="1" applyProtection="1">
      <alignment vertical="center"/>
      <protection hidden="1"/>
    </xf>
    <xf numFmtId="37" fontId="4" fillId="0" borderId="34" xfId="0" applyNumberFormat="1" applyFont="1" applyFill="1" applyBorder="1" applyAlignment="1" applyProtection="1">
      <alignment vertical="center"/>
      <protection hidden="1"/>
    </xf>
    <xf numFmtId="37" fontId="4" fillId="0" borderId="34" xfId="0" applyNumberFormat="1" applyFont="1" applyFill="1" applyBorder="1" applyAlignment="1" applyProtection="1">
      <alignment horizontal="right" vertical="center"/>
      <protection hidden="1"/>
    </xf>
    <xf numFmtId="37" fontId="4" fillId="0" borderId="19" xfId="0" applyNumberFormat="1" applyFont="1" applyFill="1" applyBorder="1" applyAlignment="1" applyProtection="1">
      <alignment vertical="center"/>
      <protection hidden="1"/>
    </xf>
    <xf numFmtId="37" fontId="4" fillId="0" borderId="65"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49" fontId="4" fillId="0" borderId="0" xfId="0" applyNumberFormat="1" applyFont="1" applyAlignment="1" applyProtection="1">
      <alignment horizontal="right"/>
      <protection/>
    </xf>
    <xf numFmtId="49" fontId="5" fillId="0" borderId="0" xfId="0" applyNumberFormat="1" applyFont="1" applyAlignment="1" applyProtection="1">
      <alignment horizontal="right"/>
      <protection/>
    </xf>
    <xf numFmtId="0" fontId="11" fillId="0" borderId="59" xfId="0" applyFont="1" applyBorder="1" applyAlignment="1" applyProtection="1">
      <alignment vertical="top" wrapText="1"/>
      <protection hidden="1" locked="0"/>
    </xf>
    <xf numFmtId="0" fontId="5" fillId="3" borderId="23" xfId="0" applyNumberFormat="1" applyFont="1" applyFill="1" applyBorder="1" applyAlignment="1" applyProtection="1">
      <alignment horizontal="left"/>
      <protection hidden="1"/>
    </xf>
    <xf numFmtId="179" fontId="4" fillId="0" borderId="24" xfId="34" applyFont="1" applyFill="1" applyBorder="1" applyProtection="1">
      <alignment/>
      <protection locked="0"/>
    </xf>
    <xf numFmtId="179" fontId="5" fillId="3" borderId="23" xfId="37" applyFont="1" applyFill="1" applyBorder="1" applyProtection="1">
      <alignment/>
      <protection/>
    </xf>
    <xf numFmtId="0" fontId="5" fillId="3" borderId="23" xfId="0" applyFont="1" applyFill="1" applyBorder="1" applyAlignment="1" applyProtection="1">
      <alignment horizontal="left"/>
      <protection hidden="1"/>
    </xf>
    <xf numFmtId="0" fontId="5" fillId="3" borderId="25" xfId="0" applyFont="1" applyFill="1" applyBorder="1" applyAlignment="1" applyProtection="1">
      <alignment/>
      <protection hidden="1"/>
    </xf>
    <xf numFmtId="0" fontId="4" fillId="0" borderId="32" xfId="0" applyFont="1" applyFill="1" applyBorder="1" applyAlignment="1" applyProtection="1">
      <alignment/>
      <protection hidden="1"/>
    </xf>
    <xf numFmtId="179" fontId="4" fillId="0" borderId="12" xfId="34" applyFont="1" applyFill="1" applyBorder="1" applyProtection="1">
      <alignment/>
      <protection locked="0"/>
    </xf>
    <xf numFmtId="0" fontId="4" fillId="3" borderId="13" xfId="0" applyFont="1" applyFill="1" applyBorder="1" applyAlignment="1" applyProtection="1">
      <alignment/>
      <protection hidden="1"/>
    </xf>
    <xf numFmtId="179" fontId="5" fillId="3" borderId="23" xfId="37" applyFont="1" applyBorder="1" applyProtection="1">
      <alignment/>
      <protection/>
    </xf>
    <xf numFmtId="0" fontId="5" fillId="3" borderId="13" xfId="0" applyFont="1" applyFill="1" applyBorder="1" applyAlignment="1" applyProtection="1">
      <alignment/>
      <protection hidden="1"/>
    </xf>
    <xf numFmtId="184" fontId="4" fillId="0" borderId="24" xfId="36" applyFont="1" applyFill="1" applyBorder="1" applyProtection="1">
      <alignment/>
      <protection locked="0"/>
    </xf>
    <xf numFmtId="184" fontId="5" fillId="3" borderId="23" xfId="38" applyFont="1" applyBorder="1" applyProtection="1">
      <alignment/>
      <protection/>
    </xf>
    <xf numFmtId="37" fontId="5" fillId="3" borderId="23" xfId="0" applyNumberFormat="1" applyFont="1" applyFill="1" applyBorder="1" applyAlignment="1" applyProtection="1">
      <alignment/>
      <protection hidden="1"/>
    </xf>
    <xf numFmtId="178" fontId="5" fillId="3" borderId="23" xfId="37" applyNumberFormat="1" applyFont="1" applyBorder="1" applyProtection="1">
      <alignment/>
      <protection/>
    </xf>
    <xf numFmtId="183" fontId="4" fillId="0" borderId="17" xfId="0" applyNumberFormat="1" applyFont="1" applyFill="1" applyBorder="1" applyAlignment="1" applyProtection="1">
      <alignment horizontal="left"/>
      <protection locked="0"/>
    </xf>
    <xf numFmtId="183" fontId="4" fillId="0" borderId="12" xfId="0" applyNumberFormat="1" applyFont="1" applyFill="1" applyBorder="1" applyAlignment="1" applyProtection="1">
      <alignment horizontal="left"/>
      <protection locked="0"/>
    </xf>
    <xf numFmtId="49" fontId="4" fillId="0" borderId="24" xfId="0" applyNumberFormat="1" applyFont="1" applyFill="1" applyBorder="1" applyAlignment="1" applyProtection="1">
      <alignment horizontal="left"/>
      <protection locked="0"/>
    </xf>
    <xf numFmtId="3" fontId="4" fillId="0" borderId="12" xfId="34" applyNumberFormat="1" applyFont="1" applyFill="1" applyBorder="1" applyProtection="1">
      <alignment/>
      <protection locked="0"/>
    </xf>
    <xf numFmtId="179" fontId="4" fillId="0" borderId="24" xfId="34" applyFont="1" applyBorder="1" applyProtection="1">
      <alignment/>
      <protection/>
    </xf>
    <xf numFmtId="179" fontId="5" fillId="3" borderId="23" xfId="37" applyFont="1" applyFill="1" applyBorder="1" applyProtection="1">
      <alignment/>
      <protection hidden="1"/>
    </xf>
    <xf numFmtId="179" fontId="5" fillId="3" borderId="23" xfId="34" applyFont="1" applyFill="1" applyBorder="1" applyProtection="1">
      <alignment/>
      <protection/>
    </xf>
    <xf numFmtId="171" fontId="5" fillId="3" borderId="23" xfId="37" applyNumberFormat="1" applyFont="1" applyBorder="1" applyProtection="1">
      <alignment/>
      <protection/>
    </xf>
    <xf numFmtId="0" fontId="4" fillId="0" borderId="12" xfId="0" applyFont="1" applyFill="1" applyBorder="1" applyAlignment="1" applyProtection="1">
      <alignment/>
      <protection hidden="1"/>
    </xf>
    <xf numFmtId="0" fontId="5" fillId="3" borderId="25" xfId="32" applyFont="1" applyFill="1" applyBorder="1" applyProtection="1">
      <alignment/>
      <protection hidden="1"/>
    </xf>
    <xf numFmtId="37" fontId="5" fillId="3" borderId="17" xfId="0" applyNumberFormat="1" applyFont="1" applyFill="1" applyBorder="1" applyAlignment="1" applyProtection="1">
      <alignment/>
      <protection hidden="1"/>
    </xf>
    <xf numFmtId="179" fontId="5" fillId="3" borderId="23" xfId="37" applyBorder="1" applyProtection="1">
      <alignment/>
      <protection/>
    </xf>
    <xf numFmtId="0" fontId="5" fillId="3" borderId="23" xfId="32" applyFont="1" applyFill="1" applyBorder="1" applyProtection="1">
      <alignment/>
      <protection hidden="1"/>
    </xf>
    <xf numFmtId="179" fontId="4" fillId="0" borderId="12" xfId="34" applyFont="1" applyFill="1" applyBorder="1" applyProtection="1">
      <alignment/>
      <protection hidden="1"/>
    </xf>
    <xf numFmtId="37" fontId="5" fillId="0" borderId="0" xfId="0" applyNumberFormat="1" applyFont="1" applyFill="1" applyBorder="1" applyAlignment="1" applyProtection="1">
      <alignment/>
      <protection hidden="1"/>
    </xf>
    <xf numFmtId="37" fontId="5" fillId="3" borderId="13" xfId="0" applyNumberFormat="1" applyFont="1" applyFill="1" applyBorder="1" applyAlignment="1" applyProtection="1">
      <alignment/>
      <protection hidden="1"/>
    </xf>
    <xf numFmtId="179" fontId="5" fillId="3" borderId="23" xfId="37" applyFont="1" applyFill="1" applyBorder="1" applyAlignment="1" applyProtection="1">
      <alignment/>
      <protection/>
    </xf>
    <xf numFmtId="166" fontId="5" fillId="3" borderId="23" xfId="0" applyNumberFormat="1" applyFont="1" applyFill="1" applyBorder="1" applyAlignment="1" applyProtection="1">
      <alignment horizontal="center"/>
      <protection/>
    </xf>
    <xf numFmtId="37" fontId="5" fillId="3" borderId="25" xfId="0" applyNumberFormat="1" applyFont="1" applyFill="1" applyBorder="1" applyAlignment="1" applyProtection="1">
      <alignment/>
      <protection hidden="1"/>
    </xf>
    <xf numFmtId="0" fontId="5" fillId="3" borderId="23" xfId="0" applyNumberFormat="1" applyFont="1" applyFill="1" applyBorder="1" applyAlignment="1" applyProtection="1">
      <alignment horizontal="left" wrapText="1"/>
      <protection hidden="1"/>
    </xf>
    <xf numFmtId="167" fontId="4" fillId="0" borderId="24" xfId="0" applyNumberFormat="1" applyFont="1" applyFill="1" applyBorder="1" applyAlignment="1" applyProtection="1">
      <alignment horizontal="center"/>
      <protection/>
    </xf>
    <xf numFmtId="37" fontId="4" fillId="0" borderId="23" xfId="0" applyNumberFormat="1" applyFont="1" applyFill="1" applyBorder="1" applyAlignment="1" applyProtection="1">
      <alignment/>
      <protection hidden="1"/>
    </xf>
    <xf numFmtId="49" fontId="4" fillId="0" borderId="17" xfId="0" applyNumberFormat="1" applyFont="1" applyFill="1" applyBorder="1" applyAlignment="1" applyProtection="1">
      <alignment horizontal="left"/>
      <protection locked="0"/>
    </xf>
    <xf numFmtId="49" fontId="4" fillId="0" borderId="12" xfId="0" applyNumberFormat="1" applyFont="1" applyFill="1" applyBorder="1" applyAlignment="1" applyProtection="1">
      <alignment horizontal="left"/>
      <protection locked="0"/>
    </xf>
    <xf numFmtId="14" fontId="4" fillId="0" borderId="24" xfId="0" applyNumberFormat="1" applyFont="1" applyFill="1" applyBorder="1" applyAlignment="1" applyProtection="1">
      <alignment horizontal="left"/>
      <protection locked="0"/>
    </xf>
    <xf numFmtId="168" fontId="4" fillId="0" borderId="24" xfId="0" applyNumberFormat="1" applyFont="1" applyFill="1" applyBorder="1" applyAlignment="1" applyProtection="1">
      <alignment/>
      <protection locked="0"/>
    </xf>
    <xf numFmtId="168" fontId="4" fillId="0" borderId="24" xfId="34" applyNumberFormat="1" applyFont="1" applyFill="1" applyBorder="1" applyProtection="1">
      <alignment/>
      <protection locked="0"/>
    </xf>
    <xf numFmtId="171" fontId="5" fillId="3" borderId="23" xfId="37" applyNumberFormat="1" applyBorder="1" applyProtection="1">
      <alignment/>
      <protection/>
    </xf>
    <xf numFmtId="171" fontId="4" fillId="3" borderId="23" xfId="0" applyNumberFormat="1" applyFont="1" applyFill="1" applyBorder="1" applyAlignment="1" applyProtection="1">
      <alignment horizontal="left"/>
      <protection/>
    </xf>
    <xf numFmtId="171" fontId="4" fillId="3" borderId="23" xfId="0" applyNumberFormat="1" applyFont="1" applyFill="1" applyBorder="1" applyAlignment="1" applyProtection="1">
      <alignment/>
      <protection/>
    </xf>
    <xf numFmtId="171" fontId="5" fillId="3" borderId="23" xfId="0" applyNumberFormat="1" applyFont="1" applyFill="1" applyBorder="1" applyAlignment="1" applyProtection="1">
      <alignment horizontal="left"/>
      <protection/>
    </xf>
    <xf numFmtId="0" fontId="3" fillId="3" borderId="23" xfId="0" applyNumberFormat="1" applyFont="1" applyFill="1" applyBorder="1" applyAlignment="1" applyProtection="1">
      <alignment horizontal="left"/>
      <protection hidden="1"/>
    </xf>
    <xf numFmtId="179" fontId="2" fillId="0" borderId="32" xfId="34" applyFont="1" applyFill="1" applyBorder="1" applyAlignment="1" applyProtection="1">
      <alignment horizontal="right"/>
      <protection/>
    </xf>
    <xf numFmtId="179" fontId="2" fillId="0" borderId="12" xfId="34" applyFont="1" applyFill="1" applyBorder="1" applyAlignment="1" applyProtection="1">
      <alignment horizontal="right"/>
      <protection/>
    </xf>
    <xf numFmtId="179" fontId="2" fillId="3" borderId="25" xfId="34" applyFont="1" applyFill="1" applyBorder="1" applyAlignment="1" applyProtection="1">
      <alignment horizontal="right"/>
      <protection/>
    </xf>
    <xf numFmtId="179" fontId="2" fillId="3" borderId="13" xfId="34" applyFont="1" applyFill="1" applyBorder="1" applyAlignment="1" applyProtection="1">
      <alignment horizontal="right"/>
      <protection/>
    </xf>
    <xf numFmtId="179" fontId="2" fillId="3" borderId="17" xfId="34" applyFont="1" applyFill="1" applyBorder="1" applyAlignment="1" applyProtection="1">
      <alignment horizontal="right"/>
      <protection/>
    </xf>
    <xf numFmtId="171" fontId="2" fillId="0" borderId="12" xfId="34" applyNumberFormat="1" applyFont="1" applyFill="1" applyBorder="1" applyAlignment="1" applyProtection="1">
      <alignment horizontal="right"/>
      <protection/>
    </xf>
    <xf numFmtId="0" fontId="4" fillId="0" borderId="17" xfId="0" applyFont="1" applyFill="1" applyBorder="1" applyAlignment="1" applyProtection="1">
      <alignment horizontal="left"/>
      <protection hidden="1"/>
    </xf>
    <xf numFmtId="184" fontId="4" fillId="0" borderId="24" xfId="36" applyNumberFormat="1" applyFont="1" applyFill="1" applyBorder="1" applyProtection="1">
      <alignment/>
      <protection locked="0"/>
    </xf>
    <xf numFmtId="184" fontId="4" fillId="0" borderId="24" xfId="36" applyNumberFormat="1" applyFont="1" applyFill="1" applyBorder="1" applyProtection="1">
      <alignment/>
      <protection/>
    </xf>
    <xf numFmtId="3" fontId="4" fillId="0" borderId="13" xfId="0" applyNumberFormat="1"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3" fontId="4" fillId="0" borderId="32" xfId="0" applyNumberFormat="1" applyFont="1" applyFill="1" applyBorder="1" applyAlignment="1" applyProtection="1">
      <alignment horizontal="left"/>
      <protection hidden="1"/>
    </xf>
    <xf numFmtId="0" fontId="4" fillId="0" borderId="32" xfId="0" applyFont="1" applyFill="1" applyBorder="1" applyAlignment="1" applyProtection="1">
      <alignment/>
      <protection/>
    </xf>
    <xf numFmtId="0" fontId="4" fillId="0" borderId="12" xfId="0" applyFont="1" applyFill="1" applyBorder="1" applyAlignment="1" applyProtection="1">
      <alignment/>
      <protection/>
    </xf>
    <xf numFmtId="0" fontId="5" fillId="3" borderId="13" xfId="0" applyFont="1" applyFill="1" applyBorder="1" applyAlignment="1" applyProtection="1">
      <alignment/>
      <protection/>
    </xf>
    <xf numFmtId="0" fontId="5" fillId="3" borderId="17" xfId="0" applyFont="1" applyFill="1" applyBorder="1" applyAlignment="1" applyProtection="1">
      <alignment/>
      <protection/>
    </xf>
    <xf numFmtId="0" fontId="16" fillId="0" borderId="6" xfId="0" applyNumberFormat="1"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6" xfId="0" applyNumberFormat="1" applyFont="1" applyBorder="1" applyAlignment="1" applyProtection="1">
      <alignment vertical="center"/>
      <protection hidden="1"/>
    </xf>
    <xf numFmtId="182" fontId="5" fillId="0" borderId="49" xfId="34" applyNumberFormat="1" applyFont="1" applyFill="1" applyBorder="1" applyProtection="1">
      <alignment/>
      <protection/>
    </xf>
    <xf numFmtId="182" fontId="5" fillId="0" borderId="32" xfId="34" applyNumberFormat="1" applyFont="1" applyFill="1" applyBorder="1" applyProtection="1">
      <alignment/>
      <protection/>
    </xf>
    <xf numFmtId="182" fontId="5" fillId="0" borderId="12" xfId="34" applyNumberFormat="1" applyFont="1" applyFill="1" applyBorder="1" applyProtection="1">
      <alignment/>
      <protection/>
    </xf>
    <xf numFmtId="37" fontId="5" fillId="3" borderId="24" xfId="0" applyNumberFormat="1" applyFont="1" applyFill="1" applyBorder="1" applyAlignment="1" applyProtection="1">
      <alignment/>
      <protection hidden="1"/>
    </xf>
    <xf numFmtId="180" fontId="5" fillId="3" borderId="24" xfId="37" applyNumberFormat="1" applyBorder="1" applyProtection="1">
      <alignment/>
      <protection/>
    </xf>
    <xf numFmtId="180" fontId="5" fillId="3" borderId="24" xfId="34" applyNumberFormat="1" applyFont="1" applyFill="1" applyBorder="1" applyProtection="1">
      <alignment/>
      <protection/>
    </xf>
    <xf numFmtId="0" fontId="4" fillId="3" borderId="25"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3" xfId="0" applyFont="1" applyFill="1" applyBorder="1" applyAlignment="1" applyProtection="1">
      <alignment horizontal="left"/>
      <protection/>
    </xf>
    <xf numFmtId="0" fontId="4" fillId="3" borderId="17" xfId="0" applyFont="1" applyFill="1" applyBorder="1" applyAlignment="1" applyProtection="1">
      <alignment horizontal="left"/>
      <protection/>
    </xf>
    <xf numFmtId="0" fontId="4" fillId="3" borderId="25" xfId="0" applyFont="1" applyFill="1" applyBorder="1" applyAlignment="1" applyProtection="1">
      <alignment/>
      <protection hidden="1"/>
    </xf>
    <xf numFmtId="0" fontId="4" fillId="3" borderId="13" xfId="0" applyFont="1" applyFill="1" applyBorder="1" applyAlignment="1" applyProtection="1">
      <alignment/>
      <protection/>
    </xf>
    <xf numFmtId="0" fontId="4" fillId="3" borderId="17" xfId="0" applyFont="1" applyFill="1" applyBorder="1" applyAlignment="1" applyProtection="1">
      <alignment/>
      <protection/>
    </xf>
    <xf numFmtId="0" fontId="5" fillId="3" borderId="13" xfId="0" applyFont="1" applyFill="1" applyBorder="1" applyAlignment="1" applyProtection="1">
      <alignment horizontal="left"/>
      <protection hidden="1"/>
    </xf>
    <xf numFmtId="0" fontId="5" fillId="3" borderId="13" xfId="0" applyFont="1" applyFill="1" applyBorder="1" applyAlignment="1" applyProtection="1">
      <alignment horizontal="left"/>
      <protection/>
    </xf>
    <xf numFmtId="0" fontId="5" fillId="3" borderId="17" xfId="0" applyFont="1" applyFill="1" applyBorder="1" applyAlignment="1" applyProtection="1">
      <alignment horizontal="left"/>
      <protection/>
    </xf>
    <xf numFmtId="179" fontId="5" fillId="3" borderId="13" xfId="37" applyBorder="1" applyProtection="1">
      <alignment/>
      <protection hidden="1"/>
    </xf>
    <xf numFmtId="179" fontId="5" fillId="3" borderId="17" xfId="37" applyBorder="1" applyProtection="1">
      <alignment/>
      <protection hidden="1"/>
    </xf>
    <xf numFmtId="0" fontId="5" fillId="3" borderId="49" xfId="0" applyFont="1" applyFill="1" applyBorder="1" applyAlignment="1" applyProtection="1">
      <alignment/>
      <protection hidden="1"/>
    </xf>
    <xf numFmtId="184" fontId="5" fillId="3" borderId="23" xfId="37" applyNumberFormat="1" applyFont="1" applyFill="1" applyBorder="1" applyAlignment="1" applyProtection="1">
      <alignment/>
      <protection/>
    </xf>
    <xf numFmtId="0" fontId="4" fillId="0" borderId="0" xfId="0" applyNumberFormat="1" applyFont="1" applyAlignment="1" applyProtection="1">
      <alignment/>
      <protection/>
    </xf>
    <xf numFmtId="0" fontId="4" fillId="0" borderId="25" xfId="0" applyFont="1" applyBorder="1" applyAlignment="1">
      <alignment/>
    </xf>
    <xf numFmtId="3" fontId="4" fillId="0" borderId="23" xfId="35" applyNumberFormat="1" applyFont="1" applyFill="1" applyBorder="1" applyProtection="1">
      <alignment/>
      <protection locked="0"/>
    </xf>
    <xf numFmtId="179" fontId="4" fillId="0" borderId="23" xfId="35" applyNumberFormat="1" applyFont="1" applyFill="1" applyBorder="1" applyProtection="1">
      <alignment/>
      <protection/>
    </xf>
    <xf numFmtId="174" fontId="4" fillId="0" borderId="0" xfId="0" applyNumberFormat="1" applyFont="1" applyAlignment="1" applyProtection="1">
      <alignment/>
      <protection/>
    </xf>
    <xf numFmtId="0" fontId="1" fillId="0" borderId="0" xfId="0" applyFont="1" applyAlignment="1" applyProtection="1">
      <alignment/>
      <protection hidden="1"/>
    </xf>
    <xf numFmtId="179" fontId="1" fillId="0" borderId="66" xfId="37" applyFont="1" applyFill="1" applyBorder="1" applyAlignment="1" applyProtection="1">
      <alignment vertical="center"/>
      <protection/>
    </xf>
    <xf numFmtId="179" fontId="5" fillId="0" borderId="67" xfId="37" applyFill="1" applyBorder="1" applyAlignment="1" applyProtection="1">
      <alignment vertical="center"/>
      <protection/>
    </xf>
    <xf numFmtId="179" fontId="5" fillId="0" borderId="68" xfId="37" applyFill="1" applyBorder="1" applyAlignment="1" applyProtection="1">
      <alignment horizontal="right" vertical="center"/>
      <protection/>
    </xf>
    <xf numFmtId="179" fontId="5" fillId="0" borderId="13" xfId="34" applyFont="1" applyFill="1" applyBorder="1" applyAlignment="1" applyProtection="1">
      <alignment horizontal="right"/>
      <protection hidden="1"/>
    </xf>
    <xf numFmtId="170" fontId="4" fillId="0" borderId="25" xfId="34" applyNumberFormat="1" applyFont="1" applyBorder="1" applyAlignment="1" applyProtection="1">
      <alignment horizontal="center"/>
      <protection hidden="1"/>
    </xf>
    <xf numFmtId="4" fontId="4" fillId="0" borderId="25" xfId="34" applyNumberFormat="1" applyFont="1" applyFill="1" applyBorder="1" applyAlignment="1" applyProtection="1">
      <alignment horizontal="center"/>
      <protection hidden="1"/>
    </xf>
    <xf numFmtId="171" fontId="5" fillId="0" borderId="0" xfId="37" applyNumberFormat="1" applyFill="1" applyBorder="1" applyProtection="1">
      <alignment/>
      <protection/>
    </xf>
    <xf numFmtId="175" fontId="4" fillId="0" borderId="25" xfId="34" applyNumberFormat="1" applyFont="1" applyBorder="1" applyAlignment="1" applyProtection="1">
      <alignment horizontal="center"/>
      <protection hidden="1"/>
    </xf>
    <xf numFmtId="184" fontId="4" fillId="0" borderId="49" xfId="36" applyFont="1" applyFill="1" applyBorder="1" applyProtection="1">
      <alignment/>
      <protection locked="0"/>
    </xf>
    <xf numFmtId="179" fontId="4" fillId="0" borderId="49" xfId="34" applyFont="1" applyBorder="1" applyAlignment="1" applyProtection="1">
      <alignment/>
      <protection/>
    </xf>
    <xf numFmtId="175" fontId="4" fillId="0" borderId="49" xfId="34" applyNumberFormat="1" applyFont="1" applyBorder="1" applyAlignment="1" applyProtection="1">
      <alignment horizontal="center"/>
      <protection hidden="1"/>
    </xf>
    <xf numFmtId="175" fontId="4" fillId="0" borderId="25" xfId="34" applyNumberFormat="1" applyFont="1" applyFill="1" applyBorder="1" applyAlignment="1" applyProtection="1">
      <alignment horizontal="center"/>
      <protection hidden="1"/>
    </xf>
    <xf numFmtId="166" fontId="4" fillId="0" borderId="23" xfId="0" applyNumberFormat="1" applyFont="1" applyBorder="1" applyAlignment="1" applyProtection="1">
      <alignment horizontal="center"/>
      <protection/>
    </xf>
    <xf numFmtId="37" fontId="4" fillId="0" borderId="69" xfId="0" applyNumberFormat="1" applyFont="1" applyFill="1" applyBorder="1" applyAlignment="1" applyProtection="1">
      <alignment vertical="center"/>
      <protection locked="0"/>
    </xf>
    <xf numFmtId="0" fontId="4" fillId="0" borderId="0" xfId="0" applyFont="1" applyAlignment="1" applyProtection="1">
      <alignment horizontal="justify" vertical="top" wrapText="1"/>
      <protection hidden="1"/>
    </xf>
    <xf numFmtId="0" fontId="4" fillId="0" borderId="16" xfId="0" applyFont="1" applyBorder="1" applyAlignment="1" applyProtection="1">
      <alignment/>
      <protection hidden="1"/>
    </xf>
    <xf numFmtId="179" fontId="4" fillId="0" borderId="17" xfId="34" applyFont="1" applyBorder="1" applyProtection="1">
      <alignment/>
      <protection/>
    </xf>
    <xf numFmtId="3" fontId="4" fillId="0" borderId="13" xfId="0" applyNumberFormat="1" applyFont="1" applyFill="1" applyBorder="1" applyAlignment="1" applyProtection="1" quotePrefix="1">
      <alignment horizontal="left"/>
      <protection hidden="1"/>
    </xf>
    <xf numFmtId="0" fontId="1" fillId="0" borderId="0" xfId="33" applyNumberFormat="1" applyFont="1" applyAlignment="1" applyProtection="1">
      <alignment/>
      <protection hidden="1"/>
    </xf>
    <xf numFmtId="0" fontId="0" fillId="0" borderId="0" xfId="33" applyAlignment="1" applyProtection="1">
      <alignment horizontal="left"/>
      <protection hidden="1"/>
    </xf>
    <xf numFmtId="0" fontId="0" fillId="0" borderId="0" xfId="33" applyAlignment="1" applyProtection="1">
      <alignment/>
      <protection hidden="1"/>
    </xf>
    <xf numFmtId="0" fontId="1" fillId="0" borderId="0" xfId="33" applyFont="1" applyBorder="1" applyAlignment="1" applyProtection="1">
      <alignment/>
      <protection hidden="1"/>
    </xf>
    <xf numFmtId="0" fontId="2" fillId="0" borderId="5" xfId="33" applyNumberFormat="1" applyFont="1" applyBorder="1" applyAlignment="1" applyProtection="1" quotePrefix="1">
      <alignment vertical="center"/>
      <protection hidden="1"/>
    </xf>
    <xf numFmtId="0" fontId="2" fillId="0" borderId="5" xfId="33" applyFont="1" applyBorder="1" applyAlignment="1" applyProtection="1">
      <alignment horizontal="left" vertical="center"/>
      <protection hidden="1"/>
    </xf>
    <xf numFmtId="0" fontId="2" fillId="0" borderId="6" xfId="33" applyFont="1" applyBorder="1" applyAlignment="1" applyProtection="1">
      <alignment horizontal="left" vertical="center"/>
      <protection hidden="1"/>
    </xf>
    <xf numFmtId="0" fontId="3" fillId="0" borderId="6" xfId="33" applyNumberFormat="1" applyFont="1" applyBorder="1" applyAlignment="1" applyProtection="1">
      <alignment vertical="center"/>
      <protection hidden="1"/>
    </xf>
    <xf numFmtId="0" fontId="13" fillId="0" borderId="6" xfId="33" applyNumberFormat="1" applyFont="1" applyBorder="1" applyAlignment="1" applyProtection="1">
      <alignment vertical="center"/>
      <protection hidden="1"/>
    </xf>
    <xf numFmtId="187" fontId="2" fillId="0" borderId="6" xfId="33" applyNumberFormat="1" applyFont="1" applyBorder="1" applyAlignment="1" applyProtection="1">
      <alignment horizontal="right" vertical="center"/>
      <protection hidden="1"/>
    </xf>
    <xf numFmtId="0" fontId="1" fillId="0" borderId="0" xfId="33" applyFont="1">
      <alignment/>
      <protection/>
    </xf>
    <xf numFmtId="0" fontId="2" fillId="0" borderId="0" xfId="33" applyFont="1" applyAlignment="1" applyProtection="1">
      <alignment vertical="center"/>
      <protection/>
    </xf>
    <xf numFmtId="0" fontId="0" fillId="0" borderId="0" xfId="33">
      <alignment/>
      <protection/>
    </xf>
    <xf numFmtId="0" fontId="0" fillId="0" borderId="0" xfId="33" applyFont="1">
      <alignment/>
      <protection/>
    </xf>
    <xf numFmtId="0" fontId="4" fillId="0" borderId="0" xfId="33" applyFont="1" applyBorder="1" applyProtection="1">
      <alignment/>
      <protection/>
    </xf>
    <xf numFmtId="0" fontId="4" fillId="0" borderId="0" xfId="33" applyFont="1" applyProtection="1">
      <alignment/>
      <protection/>
    </xf>
    <xf numFmtId="0" fontId="0" fillId="3" borderId="3" xfId="33" applyFill="1" applyBorder="1" applyAlignment="1">
      <alignment horizontal="center"/>
      <protection/>
    </xf>
    <xf numFmtId="0" fontId="0" fillId="0" borderId="0" xfId="33" applyAlignment="1">
      <alignment vertical="top" wrapText="1"/>
      <protection/>
    </xf>
    <xf numFmtId="0" fontId="4" fillId="0" borderId="0" xfId="33" applyFont="1" applyAlignment="1" applyProtection="1">
      <alignment/>
      <protection/>
    </xf>
    <xf numFmtId="0" fontId="4" fillId="0" borderId="23" xfId="0" applyFont="1" applyBorder="1" applyAlignment="1">
      <alignment/>
    </xf>
    <xf numFmtId="0" fontId="6" fillId="0" borderId="6" xfId="33" applyFont="1" applyBorder="1" applyAlignment="1" applyProtection="1">
      <alignment horizontal="left" vertical="center"/>
      <protection hidden="1"/>
    </xf>
    <xf numFmtId="0" fontId="4" fillId="0" borderId="23" xfId="0" applyFont="1" applyFill="1" applyBorder="1" applyAlignment="1">
      <alignment/>
    </xf>
    <xf numFmtId="170" fontId="5" fillId="0" borderId="0" xfId="0" applyNumberFormat="1" applyFont="1" applyAlignment="1" applyProtection="1">
      <alignment/>
      <protection hidden="1"/>
    </xf>
    <xf numFmtId="0" fontId="4" fillId="0" borderId="0" xfId="0" applyNumberFormat="1" applyFont="1" applyAlignment="1" applyProtection="1">
      <alignment horizontal="right" wrapText="1"/>
      <protection hidden="1"/>
    </xf>
    <xf numFmtId="0" fontId="5" fillId="0" borderId="0" xfId="0" applyNumberFormat="1" applyFont="1" applyAlignment="1" applyProtection="1">
      <alignment horizontal="right"/>
      <protection hidden="1"/>
    </xf>
    <xf numFmtId="0" fontId="4" fillId="0" borderId="0" xfId="0" applyNumberFormat="1" applyFont="1" applyAlignment="1" applyProtection="1">
      <alignment horizontal="justify"/>
      <protection hidden="1"/>
    </xf>
    <xf numFmtId="49" fontId="4" fillId="0" borderId="0" xfId="0" applyNumberFormat="1" applyFont="1" applyAlignment="1" applyProtection="1">
      <alignment horizontal="justify"/>
      <protection hidden="1"/>
    </xf>
    <xf numFmtId="0" fontId="5" fillId="0" borderId="0" xfId="0" applyFont="1" applyAlignment="1" applyProtection="1">
      <alignment vertical="top"/>
      <protection hidden="1"/>
    </xf>
    <xf numFmtId="0" fontId="5" fillId="0" borderId="0" xfId="0" applyFont="1" applyAlignment="1" applyProtection="1">
      <alignment horizontal="left" vertical="top"/>
      <protection hidden="1"/>
    </xf>
    <xf numFmtId="170" fontId="4" fillId="0" borderId="0" xfId="0" applyNumberFormat="1" applyFont="1" applyAlignment="1" applyProtection="1">
      <alignment/>
      <protection hidden="1"/>
    </xf>
    <xf numFmtId="179" fontId="4" fillId="0" borderId="38" xfId="34" applyFont="1" applyFill="1" applyBorder="1" applyProtection="1">
      <alignment/>
      <protection locked="0"/>
    </xf>
    <xf numFmtId="0" fontId="4" fillId="0" borderId="0" xfId="0" applyFont="1" applyBorder="1" applyAlignment="1">
      <alignment/>
    </xf>
    <xf numFmtId="183" fontId="4" fillId="0" borderId="13" xfId="0" applyNumberFormat="1" applyFont="1" applyFill="1" applyBorder="1" applyAlignment="1" applyProtection="1">
      <alignment horizontal="left"/>
      <protection locked="0"/>
    </xf>
    <xf numFmtId="49" fontId="4" fillId="0" borderId="38" xfId="0" applyNumberFormat="1" applyFont="1" applyFill="1" applyBorder="1" applyAlignment="1" applyProtection="1">
      <alignment horizontal="left"/>
      <protection locked="0"/>
    </xf>
    <xf numFmtId="0" fontId="4" fillId="3" borderId="23" xfId="0" applyFont="1" applyFill="1" applyBorder="1" applyAlignment="1" applyProtection="1">
      <alignment horizontal="left" vertical="center"/>
      <protection locked="0"/>
    </xf>
    <xf numFmtId="49" fontId="4" fillId="0" borderId="23" xfId="34" applyNumberFormat="1" applyFont="1" applyFill="1" applyBorder="1" applyAlignment="1" applyProtection="1">
      <alignment horizontal="center"/>
      <protection locked="0"/>
    </xf>
    <xf numFmtId="49" fontId="4" fillId="0" borderId="24" xfId="34" applyNumberFormat="1" applyFont="1" applyFill="1" applyBorder="1" applyAlignment="1" applyProtection="1">
      <alignment horizontal="center"/>
      <protection locked="0"/>
    </xf>
    <xf numFmtId="169" fontId="4" fillId="0" borderId="0" xfId="0" applyNumberFormat="1" applyFont="1" applyAlignment="1">
      <alignment/>
    </xf>
    <xf numFmtId="0" fontId="5" fillId="0" borderId="0" xfId="0" applyFont="1" applyAlignment="1">
      <alignment/>
    </xf>
    <xf numFmtId="0" fontId="4" fillId="0" borderId="0" xfId="0" applyFont="1" applyBorder="1" applyAlignment="1" applyProtection="1" quotePrefix="1">
      <alignment horizontal="center" wrapText="1"/>
      <protection hidden="1"/>
    </xf>
    <xf numFmtId="0" fontId="4" fillId="0" borderId="0" xfId="0" applyFont="1" applyBorder="1" applyAlignment="1" applyProtection="1">
      <alignment horizontal="center" wrapText="1"/>
      <protection hidden="1"/>
    </xf>
    <xf numFmtId="0" fontId="24" fillId="0" borderId="0" xfId="0" applyFont="1" applyBorder="1" applyAlignment="1" applyProtection="1">
      <alignment vertical="center"/>
      <protection hidden="1"/>
    </xf>
    <xf numFmtId="0" fontId="24" fillId="0" borderId="0" xfId="0" applyFont="1" applyBorder="1" applyAlignment="1" applyProtection="1">
      <alignment/>
      <protection/>
    </xf>
    <xf numFmtId="0" fontId="25"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vertical="center"/>
      <protection/>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Fill="1" applyAlignment="1">
      <alignment/>
    </xf>
    <xf numFmtId="169" fontId="4" fillId="7" borderId="0" xfId="0" applyNumberFormat="1" applyFont="1" applyFill="1" applyAlignment="1" applyProtection="1">
      <alignment/>
      <protection/>
    </xf>
    <xf numFmtId="169" fontId="4" fillId="7" borderId="0" xfId="0" applyNumberFormat="1" applyFont="1" applyFill="1" applyAlignment="1">
      <alignment/>
    </xf>
    <xf numFmtId="0" fontId="5" fillId="3" borderId="21" xfId="0" applyFont="1" applyFill="1" applyBorder="1" applyAlignment="1">
      <alignment horizontal="center"/>
    </xf>
    <xf numFmtId="169" fontId="5" fillId="3" borderId="21" xfId="0" applyNumberFormat="1" applyFont="1" applyFill="1" applyBorder="1" applyAlignment="1">
      <alignment horizontal="center"/>
    </xf>
    <xf numFmtId="0" fontId="5" fillId="3" borderId="14" xfId="0" applyNumberFormat="1" applyFont="1" applyFill="1" applyBorder="1" applyAlignment="1">
      <alignment horizontal="center"/>
    </xf>
    <xf numFmtId="0" fontId="5" fillId="3" borderId="3" xfId="0" applyNumberFormat="1" applyFont="1" applyFill="1" applyBorder="1" applyAlignment="1">
      <alignment horizontal="center"/>
    </xf>
    <xf numFmtId="169" fontId="4" fillId="0" borderId="23" xfId="0" applyNumberFormat="1" applyFont="1" applyBorder="1" applyAlignment="1">
      <alignment/>
    </xf>
    <xf numFmtId="0" fontId="5" fillId="0" borderId="0" xfId="0" applyFont="1" applyAlignment="1">
      <alignment horizontal="left"/>
    </xf>
    <xf numFmtId="0" fontId="5" fillId="3" borderId="14" xfId="0" applyFont="1" applyFill="1" applyBorder="1" applyAlignment="1">
      <alignment horizontal="center"/>
    </xf>
    <xf numFmtId="0" fontId="5" fillId="3" borderId="23" xfId="0" applyFont="1" applyFill="1" applyBorder="1" applyAlignment="1">
      <alignment horizontal="left"/>
    </xf>
    <xf numFmtId="0" fontId="4" fillId="7" borderId="0" xfId="0" applyFont="1" applyFill="1" applyAlignment="1">
      <alignment/>
    </xf>
    <xf numFmtId="169" fontId="4" fillId="0" borderId="23" xfId="0" applyNumberFormat="1" applyFont="1" applyFill="1" applyBorder="1" applyAlignment="1">
      <alignment/>
    </xf>
    <xf numFmtId="0" fontId="4" fillId="0" borderId="25" xfId="0" applyFont="1" applyBorder="1" applyAlignment="1">
      <alignment horizontal="left"/>
    </xf>
    <xf numFmtId="0" fontId="4" fillId="0" borderId="5" xfId="0" applyFont="1" applyBorder="1" applyAlignment="1">
      <alignment/>
    </xf>
    <xf numFmtId="0" fontId="5" fillId="0" borderId="6" xfId="0" applyNumberFormat="1" applyFont="1" applyBorder="1" applyAlignment="1" applyProtection="1">
      <alignment horizontal="left"/>
      <protection/>
    </xf>
    <xf numFmtId="0" fontId="5" fillId="3" borderId="25" xfId="0" applyFont="1" applyFill="1" applyBorder="1" applyAlignment="1">
      <alignment horizontal="left"/>
    </xf>
    <xf numFmtId="0" fontId="4" fillId="7" borderId="23" xfId="0" applyFont="1" applyFill="1" applyBorder="1" applyAlignment="1">
      <alignment/>
    </xf>
    <xf numFmtId="179" fontId="4" fillId="0" borderId="25" xfId="34" applyFont="1" applyFill="1" applyBorder="1" applyProtection="1">
      <alignment/>
      <protection locked="0"/>
    </xf>
    <xf numFmtId="0" fontId="5" fillId="3" borderId="3" xfId="0" applyFont="1" applyFill="1" applyBorder="1" applyAlignment="1">
      <alignment horizontal="center"/>
    </xf>
    <xf numFmtId="10" fontId="4" fillId="0" borderId="0" xfId="0" applyNumberFormat="1" applyFont="1" applyAlignment="1">
      <alignment/>
    </xf>
    <xf numFmtId="10" fontId="4" fillId="0" borderId="0" xfId="0" applyNumberFormat="1" applyFont="1" applyBorder="1" applyAlignment="1">
      <alignment/>
    </xf>
    <xf numFmtId="0" fontId="5" fillId="3" borderId="50" xfId="0" applyFont="1" applyFill="1" applyBorder="1" applyAlignment="1">
      <alignment horizontal="center"/>
    </xf>
    <xf numFmtId="10" fontId="5" fillId="3" borderId="21" xfId="0" applyNumberFormat="1" applyFont="1" applyFill="1" applyBorder="1" applyAlignment="1">
      <alignment horizontal="center"/>
    </xf>
    <xf numFmtId="0" fontId="5" fillId="3" borderId="33" xfId="0" applyFont="1" applyFill="1" applyBorder="1" applyAlignment="1">
      <alignment horizontal="center"/>
    </xf>
    <xf numFmtId="0" fontId="5" fillId="3" borderId="64" xfId="0" applyFont="1" applyFill="1" applyBorder="1" applyAlignment="1">
      <alignment horizontal="center"/>
    </xf>
    <xf numFmtId="10" fontId="5" fillId="3" borderId="2" xfId="0" applyNumberFormat="1" applyFont="1" applyFill="1" applyBorder="1" applyAlignment="1">
      <alignment horizontal="center"/>
    </xf>
    <xf numFmtId="0" fontId="5" fillId="3" borderId="0" xfId="0" applyFont="1" applyFill="1" applyBorder="1" applyAlignment="1">
      <alignment horizontal="center"/>
    </xf>
    <xf numFmtId="0" fontId="5" fillId="3" borderId="2" xfId="0" applyFont="1" applyFill="1" applyBorder="1" applyAlignment="1">
      <alignment horizontal="center"/>
    </xf>
    <xf numFmtId="0" fontId="5" fillId="3" borderId="51" xfId="0" applyFont="1" applyFill="1" applyBorder="1" applyAlignment="1">
      <alignment horizontal="center"/>
    </xf>
    <xf numFmtId="10" fontId="5" fillId="3" borderId="14" xfId="0" applyNumberFormat="1" applyFont="1" applyFill="1" applyBorder="1" applyAlignment="1">
      <alignment horizontal="center"/>
    </xf>
    <xf numFmtId="0" fontId="5" fillId="3" borderId="6" xfId="0" applyFont="1" applyFill="1" applyBorder="1" applyAlignment="1">
      <alignment horizontal="center"/>
    </xf>
    <xf numFmtId="0" fontId="4" fillId="0" borderId="0" xfId="0" applyNumberFormat="1" applyFont="1" applyBorder="1" applyAlignment="1" applyProtection="1">
      <alignment horizontal="left" vertical="center"/>
      <protection hidden="1"/>
    </xf>
    <xf numFmtId="0" fontId="15" fillId="0" borderId="0" xfId="0" applyFont="1" applyBorder="1" applyAlignment="1" applyProtection="1">
      <alignment vertical="center"/>
      <protection hidden="1"/>
    </xf>
    <xf numFmtId="0" fontId="4" fillId="0" borderId="13" xfId="0" applyFont="1" applyBorder="1" applyAlignment="1">
      <alignment/>
    </xf>
    <xf numFmtId="169" fontId="4" fillId="0" borderId="13" xfId="0" applyNumberFormat="1" applyFont="1" applyBorder="1" applyAlignment="1">
      <alignment/>
    </xf>
    <xf numFmtId="0" fontId="4" fillId="0" borderId="23" xfId="0" applyFont="1" applyBorder="1" applyAlignment="1">
      <alignment horizontal="left"/>
    </xf>
    <xf numFmtId="185" fontId="4" fillId="0" borderId="0" xfId="36" applyNumberFormat="1" applyFont="1" applyFill="1" applyBorder="1" applyAlignment="1" applyProtection="1">
      <alignment/>
      <protection/>
    </xf>
    <xf numFmtId="0" fontId="4" fillId="0" borderId="23" xfId="0" applyFont="1" applyBorder="1" applyAlignment="1" applyProtection="1">
      <alignment/>
      <protection hidden="1"/>
    </xf>
    <xf numFmtId="37" fontId="5" fillId="0" borderId="0" xfId="0" applyNumberFormat="1" applyFont="1" applyFill="1" applyBorder="1" applyAlignment="1" applyProtection="1">
      <alignment horizontal="left"/>
      <protection hidden="1"/>
    </xf>
    <xf numFmtId="179" fontId="5" fillId="0" borderId="0" xfId="37" applyFont="1" applyFill="1" applyBorder="1" applyProtection="1">
      <alignment/>
      <protection/>
    </xf>
    <xf numFmtId="179" fontId="4" fillId="3" borderId="23" xfId="34" applyFont="1" applyFill="1" applyBorder="1" applyProtection="1">
      <alignment/>
      <protection/>
    </xf>
    <xf numFmtId="0" fontId="5" fillId="0" borderId="0" xfId="0" applyFont="1" applyFill="1" applyBorder="1" applyAlignment="1">
      <alignment horizontal="left"/>
    </xf>
    <xf numFmtId="179" fontId="4" fillId="0" borderId="0" xfId="34" applyFont="1" applyFill="1" applyBorder="1" applyProtection="1">
      <alignment/>
      <protection/>
    </xf>
    <xf numFmtId="179" fontId="5" fillId="0" borderId="0" xfId="35" applyNumberFormat="1" applyFont="1" applyFill="1" applyBorder="1" applyAlignment="1" applyProtection="1">
      <alignment horizontal="left"/>
      <protection/>
    </xf>
    <xf numFmtId="179" fontId="5" fillId="3" borderId="23" xfId="35" applyNumberFormat="1" applyFont="1" applyFill="1" applyBorder="1" applyAlignment="1" applyProtection="1">
      <alignment horizontal="left"/>
      <protection/>
    </xf>
    <xf numFmtId="37" fontId="4" fillId="0" borderId="17" xfId="0" applyNumberFormat="1" applyFont="1" applyFill="1" applyBorder="1" applyAlignment="1" applyProtection="1">
      <alignment horizontal="left"/>
      <protection hidden="1"/>
    </xf>
    <xf numFmtId="2" fontId="4" fillId="0" borderId="0" xfId="0" applyNumberFormat="1" applyFont="1" applyAlignment="1">
      <alignment/>
    </xf>
    <xf numFmtId="3" fontId="4" fillId="0" borderId="0" xfId="0" applyNumberFormat="1" applyFont="1" applyAlignment="1">
      <alignment/>
    </xf>
    <xf numFmtId="0" fontId="5" fillId="0" borderId="0" xfId="0" applyFont="1" applyBorder="1" applyAlignment="1">
      <alignment/>
    </xf>
    <xf numFmtId="9" fontId="4" fillId="0" borderId="23" xfId="0" applyNumberFormat="1" applyFont="1" applyFill="1" applyBorder="1" applyAlignment="1">
      <alignment/>
    </xf>
    <xf numFmtId="9" fontId="4" fillId="0" borderId="23" xfId="30" applyFont="1" applyFill="1" applyBorder="1" applyAlignment="1">
      <alignment/>
    </xf>
    <xf numFmtId="0" fontId="5" fillId="3" borderId="23" xfId="0" applyFont="1" applyFill="1" applyBorder="1" applyAlignment="1">
      <alignment/>
    </xf>
    <xf numFmtId="3" fontId="5" fillId="3" borderId="23" xfId="0" applyNumberFormat="1" applyFont="1" applyFill="1" applyBorder="1" applyAlignment="1">
      <alignment/>
    </xf>
    <xf numFmtId="178" fontId="5" fillId="0" borderId="0" xfId="34" applyNumberFormat="1" applyFont="1" applyFill="1" applyBorder="1" applyProtection="1">
      <alignment/>
      <protection/>
    </xf>
    <xf numFmtId="178" fontId="5" fillId="0" borderId="0" xfId="37" applyNumberFormat="1" applyFont="1" applyFill="1" applyBorder="1" applyProtection="1">
      <alignment/>
      <protection/>
    </xf>
    <xf numFmtId="0" fontId="5" fillId="0" borderId="0" xfId="0" applyNumberFormat="1" applyFont="1" applyFill="1" applyBorder="1" applyAlignment="1" applyProtection="1">
      <alignment horizontal="center" vertical="center"/>
      <protection hidden="1"/>
    </xf>
    <xf numFmtId="0" fontId="4" fillId="0" borderId="70" xfId="0" applyFont="1" applyFill="1" applyBorder="1" applyAlignment="1" applyProtection="1">
      <alignment horizontal="center" vertical="center"/>
      <protection hidden="1"/>
    </xf>
    <xf numFmtId="0" fontId="4" fillId="0" borderId="0" xfId="0" applyFont="1" applyAlignment="1" applyProtection="1">
      <alignment horizontal="center"/>
      <protection/>
    </xf>
    <xf numFmtId="0" fontId="5" fillId="0" borderId="71" xfId="0" applyFont="1" applyFill="1" applyBorder="1" applyAlignment="1" applyProtection="1">
      <alignment horizontal="center" vertical="center"/>
      <protection hidden="1"/>
    </xf>
    <xf numFmtId="190" fontId="5" fillId="3" borderId="14"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xf>
    <xf numFmtId="0" fontId="4" fillId="0" borderId="0" xfId="0" applyFont="1" applyFill="1" applyBorder="1" applyAlignment="1">
      <alignment/>
    </xf>
    <xf numFmtId="190" fontId="5" fillId="3" borderId="14" xfId="0" applyNumberFormat="1" applyFont="1" applyFill="1" applyBorder="1" applyAlignment="1" applyProtection="1">
      <alignment vertical="center"/>
      <protection hidden="1"/>
    </xf>
    <xf numFmtId="0" fontId="4" fillId="0" borderId="23" xfId="0" applyFont="1" applyBorder="1" applyAlignment="1" applyProtection="1">
      <alignment/>
      <protection/>
    </xf>
    <xf numFmtId="0" fontId="5" fillId="3" borderId="14" xfId="0" applyFont="1" applyFill="1" applyBorder="1" applyAlignment="1" applyProtection="1">
      <alignment horizontal="center" vertical="center"/>
      <protection hidden="1"/>
    </xf>
    <xf numFmtId="190" fontId="5" fillId="3" borderId="3" xfId="0" applyNumberFormat="1" applyFont="1" applyFill="1" applyBorder="1" applyAlignment="1" applyProtection="1">
      <alignment horizontal="center" vertical="center"/>
      <protection hidden="1"/>
    </xf>
    <xf numFmtId="0" fontId="5" fillId="3" borderId="21" xfId="0" applyFont="1" applyFill="1" applyBorder="1" applyAlignment="1" applyProtection="1">
      <alignment vertical="center"/>
      <protection hidden="1"/>
    </xf>
    <xf numFmtId="0" fontId="4" fillId="0" borderId="17" xfId="0" applyFont="1" applyBorder="1" applyAlignment="1" applyProtection="1">
      <alignment/>
      <protection/>
    </xf>
    <xf numFmtId="0" fontId="26" fillId="0" borderId="17" xfId="0" applyFont="1" applyBorder="1" applyAlignment="1" applyProtection="1">
      <alignment/>
      <protection/>
    </xf>
    <xf numFmtId="0" fontId="4" fillId="0" borderId="0" xfId="0" applyFont="1" applyBorder="1" applyAlignment="1">
      <alignment horizontal="left"/>
    </xf>
    <xf numFmtId="0" fontId="5" fillId="0" borderId="6" xfId="0" applyNumberFormat="1" applyFont="1" applyBorder="1" applyAlignment="1" applyProtection="1">
      <alignment/>
      <protection hidden="1"/>
    </xf>
    <xf numFmtId="0" fontId="4" fillId="0" borderId="6" xfId="0" applyFont="1" applyBorder="1" applyAlignment="1" applyProtection="1">
      <alignment/>
      <protection hidden="1"/>
    </xf>
    <xf numFmtId="0" fontId="5" fillId="7" borderId="0" xfId="0" applyNumberFormat="1" applyFont="1" applyFill="1" applyBorder="1" applyAlignment="1" applyProtection="1">
      <alignment horizontal="left"/>
      <protection hidden="1"/>
    </xf>
    <xf numFmtId="0" fontId="5" fillId="7" borderId="0" xfId="0" applyFont="1" applyFill="1" applyBorder="1" applyAlignment="1">
      <alignment horizontal="left"/>
    </xf>
    <xf numFmtId="3" fontId="4" fillId="0" borderId="23" xfId="0" applyNumberFormat="1" applyFont="1" applyBorder="1" applyAlignment="1">
      <alignment/>
    </xf>
    <xf numFmtId="3" fontId="4" fillId="0" borderId="0" xfId="0" applyNumberFormat="1" applyFont="1" applyFill="1" applyBorder="1" applyAlignment="1" applyProtection="1">
      <alignment/>
      <protection locked="0"/>
    </xf>
    <xf numFmtId="0" fontId="5" fillId="3" borderId="50" xfId="0" applyFont="1" applyFill="1" applyBorder="1" applyAlignment="1">
      <alignment/>
    </xf>
    <xf numFmtId="0" fontId="5" fillId="3" borderId="37" xfId="0" applyNumberFormat="1" applyFont="1" applyFill="1" applyBorder="1" applyAlignment="1">
      <alignment/>
    </xf>
    <xf numFmtId="0" fontId="5" fillId="3" borderId="51" xfId="0" applyFont="1" applyFill="1" applyBorder="1" applyAlignment="1">
      <alignment/>
    </xf>
    <xf numFmtId="0" fontId="5" fillId="3" borderId="22" xfId="0" applyNumberFormat="1" applyFont="1" applyFill="1" applyBorder="1" applyAlignment="1">
      <alignment/>
    </xf>
    <xf numFmtId="1" fontId="5" fillId="0" borderId="0" xfId="0" applyNumberFormat="1" applyFont="1" applyFill="1" applyBorder="1" applyAlignment="1">
      <alignment/>
    </xf>
    <xf numFmtId="0" fontId="5" fillId="3" borderId="23" xfId="0" applyFont="1" applyFill="1" applyBorder="1" applyAlignment="1">
      <alignment horizontal="center"/>
    </xf>
    <xf numFmtId="0" fontId="5" fillId="3" borderId="25" xfId="0" applyFont="1" applyFill="1" applyBorder="1" applyAlignment="1" applyProtection="1">
      <alignment/>
      <protection hidden="1"/>
    </xf>
    <xf numFmtId="0" fontId="4" fillId="0" borderId="24" xfId="34" applyNumberFormat="1" applyFont="1" applyBorder="1" applyProtection="1">
      <alignment/>
      <protection/>
    </xf>
    <xf numFmtId="187" fontId="5" fillId="3" borderId="23" xfId="0" applyNumberFormat="1" applyFont="1" applyFill="1" applyBorder="1" applyAlignment="1" applyProtection="1">
      <alignment horizontal="left"/>
      <protection hidden="1"/>
    </xf>
    <xf numFmtId="0" fontId="5" fillId="0" borderId="0" xfId="0" applyFont="1" applyBorder="1" applyAlignment="1" applyProtection="1">
      <alignment vertical="center"/>
      <protection hidden="1"/>
    </xf>
    <xf numFmtId="0" fontId="5" fillId="3" borderId="13" xfId="0" applyFont="1" applyFill="1" applyBorder="1" applyAlignment="1" applyProtection="1">
      <alignment wrapText="1"/>
      <protection hidden="1"/>
    </xf>
    <xf numFmtId="0" fontId="4" fillId="3" borderId="17" xfId="0" applyFont="1" applyFill="1" applyBorder="1" applyAlignment="1" applyProtection="1">
      <alignment/>
      <protection hidden="1"/>
    </xf>
    <xf numFmtId="37" fontId="5" fillId="0" borderId="0" xfId="0" applyNumberFormat="1" applyFont="1" applyBorder="1" applyAlignment="1">
      <alignment/>
    </xf>
    <xf numFmtId="37" fontId="4" fillId="0" borderId="0" xfId="0" applyNumberFormat="1" applyFont="1" applyBorder="1" applyAlignment="1">
      <alignment/>
    </xf>
    <xf numFmtId="37" fontId="4" fillId="0" borderId="0" xfId="0" applyNumberFormat="1" applyFont="1" applyBorder="1" applyAlignment="1">
      <alignment horizontal="center"/>
    </xf>
    <xf numFmtId="166" fontId="4" fillId="0" borderId="0" xfId="0" applyNumberFormat="1" applyFont="1" applyBorder="1" applyAlignment="1">
      <alignment/>
    </xf>
    <xf numFmtId="3" fontId="4" fillId="0" borderId="0" xfId="0" applyNumberFormat="1" applyFont="1" applyBorder="1" applyAlignment="1">
      <alignment horizontal="center"/>
    </xf>
    <xf numFmtId="179" fontId="4" fillId="3" borderId="23" xfId="0" applyNumberFormat="1" applyFont="1" applyFill="1" applyBorder="1" applyAlignment="1" applyProtection="1">
      <alignment/>
      <protection/>
    </xf>
    <xf numFmtId="166" fontId="4" fillId="0" borderId="23" xfId="0" applyNumberFormat="1" applyFont="1" applyBorder="1" applyAlignment="1">
      <alignment/>
    </xf>
    <xf numFmtId="3" fontId="4" fillId="0" borderId="17" xfId="0" applyNumberFormat="1" applyFont="1" applyBorder="1" applyAlignment="1" applyProtection="1">
      <alignment/>
      <protection/>
    </xf>
    <xf numFmtId="37" fontId="4" fillId="0" borderId="23" xfId="0" applyNumberFormat="1" applyFont="1" applyBorder="1" applyAlignment="1">
      <alignment/>
    </xf>
    <xf numFmtId="37" fontId="4" fillId="0" borderId="23" xfId="0" applyNumberFormat="1" applyFont="1" applyBorder="1" applyAlignment="1">
      <alignment horizontal="left" vertical="top" wrapText="1"/>
    </xf>
    <xf numFmtId="37" fontId="4" fillId="0" borderId="23" xfId="0" applyNumberFormat="1" applyFont="1" applyBorder="1" applyAlignment="1">
      <alignment horizontal="right"/>
    </xf>
    <xf numFmtId="3" fontId="4" fillId="0" borderId="38" xfId="0" applyNumberFormat="1" applyFont="1" applyBorder="1" applyAlignment="1">
      <alignment/>
    </xf>
    <xf numFmtId="37" fontId="5" fillId="3" borderId="72" xfId="0" applyNumberFormat="1" applyFont="1" applyFill="1" applyBorder="1" applyAlignment="1">
      <alignment horizontal="center" vertical="top"/>
    </xf>
    <xf numFmtId="37" fontId="5" fillId="3" borderId="44" xfId="0" applyNumberFormat="1" applyFont="1" applyFill="1" applyBorder="1" applyAlignment="1">
      <alignment horizontal="center"/>
    </xf>
    <xf numFmtId="37" fontId="5" fillId="3" borderId="73" xfId="0" applyNumberFormat="1" applyFont="1" applyFill="1" applyBorder="1" applyAlignment="1">
      <alignment horizontal="center"/>
    </xf>
    <xf numFmtId="0" fontId="5" fillId="3" borderId="21" xfId="0" applyFont="1" applyFill="1" applyBorder="1" applyAlignment="1">
      <alignment/>
    </xf>
    <xf numFmtId="0" fontId="5" fillId="3" borderId="14" xfId="0" applyFont="1" applyFill="1" applyBorder="1" applyAlignment="1">
      <alignment/>
    </xf>
    <xf numFmtId="0" fontId="4" fillId="7" borderId="0" xfId="0" applyFont="1" applyFill="1" applyBorder="1" applyAlignment="1">
      <alignment/>
    </xf>
    <xf numFmtId="0" fontId="4" fillId="0" borderId="52" xfId="0" applyFont="1" applyFill="1" applyBorder="1" applyAlignment="1" applyProtection="1">
      <alignment/>
      <protection hidden="1"/>
    </xf>
    <xf numFmtId="0" fontId="5" fillId="3" borderId="25" xfId="0" applyFont="1" applyFill="1" applyBorder="1" applyAlignment="1">
      <alignment/>
    </xf>
    <xf numFmtId="0" fontId="4" fillId="0" borderId="74" xfId="0" applyFont="1" applyBorder="1" applyAlignment="1">
      <alignment/>
    </xf>
    <xf numFmtId="169" fontId="5" fillId="3" borderId="23" xfId="0" applyNumberFormat="1" applyFont="1" applyFill="1" applyBorder="1" applyAlignment="1">
      <alignment/>
    </xf>
    <xf numFmtId="169" fontId="4" fillId="7" borderId="0" xfId="0" applyNumberFormat="1" applyFont="1" applyFill="1" applyBorder="1" applyAlignment="1">
      <alignment/>
    </xf>
    <xf numFmtId="3" fontId="4" fillId="7" borderId="23" xfId="0" applyNumberFormat="1" applyFont="1" applyFill="1" applyBorder="1" applyAlignment="1">
      <alignment horizontal="right"/>
    </xf>
    <xf numFmtId="3" fontId="5" fillId="3" borderId="23" xfId="0" applyNumberFormat="1" applyFont="1" applyFill="1" applyBorder="1" applyAlignment="1">
      <alignment horizontal="right"/>
    </xf>
    <xf numFmtId="9" fontId="4" fillId="0" borderId="23" xfId="30" applyFont="1" applyFill="1" applyBorder="1" applyAlignment="1" applyProtection="1">
      <alignment/>
      <protection locked="0"/>
    </xf>
    <xf numFmtId="0" fontId="4" fillId="0" borderId="6" xfId="0" applyFont="1" applyBorder="1" applyAlignment="1" applyProtection="1">
      <alignment/>
      <protection locked="0"/>
    </xf>
    <xf numFmtId="37" fontId="5" fillId="3" borderId="2" xfId="0" applyNumberFormat="1" applyFont="1" applyFill="1" applyBorder="1" applyAlignment="1" applyProtection="1">
      <alignment horizontal="center" vertical="center"/>
      <protection hidden="1"/>
    </xf>
    <xf numFmtId="179" fontId="4" fillId="0" borderId="24" xfId="34" applyFont="1" applyFill="1" applyBorder="1" applyAlignment="1" applyProtection="1">
      <alignment/>
      <protection/>
    </xf>
    <xf numFmtId="171" fontId="21" fillId="0" borderId="74" xfId="37" applyNumberFormat="1" applyFont="1" applyFill="1" applyBorder="1" applyAlignment="1" applyProtection="1">
      <alignment/>
      <protection/>
    </xf>
    <xf numFmtId="37" fontId="5" fillId="3" borderId="23" xfId="0" applyNumberFormat="1" applyFont="1" applyFill="1" applyBorder="1" applyAlignment="1">
      <alignment/>
    </xf>
    <xf numFmtId="3" fontId="5" fillId="3" borderId="17" xfId="0" applyNumberFormat="1" applyFont="1" applyFill="1" applyBorder="1" applyAlignment="1" applyProtection="1">
      <alignment/>
      <protection/>
    </xf>
    <xf numFmtId="166" fontId="5" fillId="3" borderId="23" xfId="0" applyNumberFormat="1" applyFont="1" applyFill="1" applyBorder="1" applyAlignment="1">
      <alignment/>
    </xf>
    <xf numFmtId="185" fontId="5" fillId="3" borderId="17" xfId="36" applyNumberFormat="1" applyFont="1" applyFill="1" applyBorder="1" applyAlignment="1" applyProtection="1">
      <alignment/>
      <protection/>
    </xf>
    <xf numFmtId="3" fontId="4" fillId="0" borderId="23" xfId="0" applyNumberFormat="1" applyFont="1" applyBorder="1" applyAlignment="1" applyProtection="1">
      <alignment/>
      <protection/>
    </xf>
    <xf numFmtId="3" fontId="4" fillId="7" borderId="38" xfId="0" applyNumberFormat="1" applyFont="1" applyFill="1" applyBorder="1" applyAlignment="1">
      <alignment horizontal="right"/>
    </xf>
    <xf numFmtId="3" fontId="4" fillId="0" borderId="24" xfId="34" applyNumberFormat="1" applyFont="1" applyFill="1" applyBorder="1" applyProtection="1">
      <alignment/>
      <protection locked="0"/>
    </xf>
    <xf numFmtId="3" fontId="5" fillId="3" borderId="23" xfId="37" applyNumberFormat="1" applyFont="1" applyBorder="1" applyAlignment="1" applyProtection="1">
      <alignment/>
      <protection/>
    </xf>
    <xf numFmtId="3" fontId="4" fillId="7" borderId="0" xfId="0" applyNumberFormat="1" applyFont="1" applyFill="1" applyBorder="1" applyAlignment="1">
      <alignment/>
    </xf>
    <xf numFmtId="179" fontId="5" fillId="3" borderId="23" xfId="0" applyNumberFormat="1" applyFont="1" applyFill="1" applyBorder="1" applyAlignment="1">
      <alignment/>
    </xf>
    <xf numFmtId="0" fontId="5" fillId="3" borderId="23" xfId="0" applyFont="1" applyFill="1" applyBorder="1" applyAlignment="1" applyProtection="1">
      <alignment/>
      <protection hidden="1"/>
    </xf>
    <xf numFmtId="0" fontId="5" fillId="0" borderId="23" xfId="0" applyFont="1" applyFill="1" applyBorder="1" applyAlignment="1" applyProtection="1">
      <alignment/>
      <protection hidden="1"/>
    </xf>
    <xf numFmtId="0" fontId="4" fillId="0" borderId="5" xfId="0" applyNumberFormat="1" applyFont="1" applyBorder="1" applyAlignment="1" applyProtection="1">
      <alignment vertical="center"/>
      <protection/>
    </xf>
    <xf numFmtId="37" fontId="5" fillId="3" borderId="25" xfId="0" applyNumberFormat="1" applyFont="1" applyFill="1" applyBorder="1" applyAlignment="1" applyProtection="1">
      <alignment horizontal="left"/>
      <protection hidden="1"/>
    </xf>
    <xf numFmtId="37" fontId="5" fillId="3" borderId="13" xfId="0" applyNumberFormat="1" applyFont="1" applyFill="1" applyBorder="1" applyAlignment="1" applyProtection="1">
      <alignment horizontal="left"/>
      <protection hidden="1"/>
    </xf>
    <xf numFmtId="3" fontId="5" fillId="3" borderId="25" xfId="0" applyNumberFormat="1" applyFont="1" applyFill="1" applyBorder="1" applyAlignment="1">
      <alignment/>
    </xf>
    <xf numFmtId="0" fontId="4" fillId="0" borderId="0" xfId="0" applyFont="1" applyFill="1" applyBorder="1" applyAlignment="1">
      <alignment wrapText="1"/>
    </xf>
    <xf numFmtId="0" fontId="5" fillId="3" borderId="21" xfId="0" applyFont="1" applyFill="1" applyBorder="1" applyAlignment="1">
      <alignment horizontal="center" wrapText="1" shrinkToFit="1"/>
    </xf>
    <xf numFmtId="0" fontId="5" fillId="3" borderId="2" xfId="0" applyFont="1" applyFill="1" applyBorder="1" applyAlignment="1">
      <alignment horizontal="center" wrapText="1" shrinkToFit="1"/>
    </xf>
    <xf numFmtId="0" fontId="5" fillId="3" borderId="14" xfId="0" applyFont="1" applyFill="1" applyBorder="1" applyAlignment="1">
      <alignment horizontal="center" wrapText="1" shrinkToFit="1"/>
    </xf>
    <xf numFmtId="0" fontId="5" fillId="3" borderId="2" xfId="0" applyFont="1" applyFill="1" applyBorder="1" applyAlignment="1">
      <alignment/>
    </xf>
    <xf numFmtId="9" fontId="4" fillId="3" borderId="23" xfId="30" applyNumberFormat="1" applyFont="1" applyFill="1" applyBorder="1" applyAlignment="1">
      <alignment/>
    </xf>
    <xf numFmtId="37" fontId="4" fillId="7" borderId="0" xfId="0" applyNumberFormat="1" applyFont="1" applyFill="1" applyBorder="1" applyAlignment="1" applyProtection="1">
      <alignment/>
      <protection hidden="1"/>
    </xf>
    <xf numFmtId="179" fontId="4" fillId="7" borderId="0" xfId="34" applyFont="1" applyFill="1" applyBorder="1" applyAlignment="1" applyProtection="1">
      <alignment/>
      <protection/>
    </xf>
    <xf numFmtId="0" fontId="0" fillId="7" borderId="0" xfId="0" applyFill="1" applyBorder="1" applyAlignment="1">
      <alignment/>
    </xf>
    <xf numFmtId="0" fontId="0" fillId="0" borderId="0" xfId="33" applyBorder="1" applyAlignment="1">
      <alignment horizontal="left" vertical="center" wrapText="1"/>
      <protection/>
    </xf>
    <xf numFmtId="179" fontId="5" fillId="0" borderId="0" xfId="34" applyFont="1" applyFill="1" applyBorder="1" applyAlignment="1" applyProtection="1">
      <alignment horizontal="left"/>
      <protection hidden="1"/>
    </xf>
    <xf numFmtId="0" fontId="4" fillId="0" borderId="25" xfId="0" applyFont="1" applyFill="1" applyBorder="1" applyAlignment="1" applyProtection="1">
      <alignment/>
      <protection hidden="1"/>
    </xf>
    <xf numFmtId="0" fontId="4" fillId="0" borderId="17" xfId="0" applyFont="1" applyBorder="1" applyAlignment="1" applyProtection="1">
      <alignment/>
      <protection/>
    </xf>
    <xf numFmtId="0" fontId="5" fillId="0" borderId="0" xfId="0" applyFont="1" applyAlignment="1" applyProtection="1">
      <alignment/>
      <protection hidden="1"/>
    </xf>
    <xf numFmtId="9" fontId="4" fillId="0" borderId="24" xfId="30" applyFont="1" applyFill="1" applyBorder="1" applyAlignment="1" applyProtection="1">
      <alignment/>
      <protection locked="0"/>
    </xf>
    <xf numFmtId="9" fontId="4" fillId="3" borderId="23" xfId="30" applyFont="1" applyFill="1" applyBorder="1" applyAlignment="1">
      <alignment/>
    </xf>
    <xf numFmtId="3" fontId="4" fillId="3" borderId="23" xfId="0" applyNumberFormat="1" applyFont="1" applyFill="1" applyBorder="1" applyAlignment="1">
      <alignment/>
    </xf>
    <xf numFmtId="37" fontId="5" fillId="3" borderId="38" xfId="0" applyNumberFormat="1" applyFont="1" applyFill="1" applyBorder="1" applyAlignment="1" applyProtection="1">
      <alignment/>
      <protection hidden="1"/>
    </xf>
    <xf numFmtId="179" fontId="5" fillId="3" borderId="38" xfId="37" applyFont="1" applyBorder="1" applyProtection="1">
      <alignment/>
      <protection/>
    </xf>
    <xf numFmtId="179" fontId="5" fillId="7" borderId="38" xfId="37" applyFont="1" applyFill="1" applyBorder="1" applyProtection="1">
      <alignment/>
      <protection/>
    </xf>
    <xf numFmtId="0" fontId="4" fillId="0" borderId="25" xfId="0" applyFont="1" applyBorder="1" applyAlignment="1" applyProtection="1">
      <alignment/>
      <protection/>
    </xf>
    <xf numFmtId="1" fontId="4" fillId="0" borderId="23" xfId="0" applyNumberFormat="1" applyFont="1" applyBorder="1" applyAlignment="1" applyProtection="1">
      <alignment horizontal="center"/>
      <protection hidden="1"/>
    </xf>
    <xf numFmtId="1" fontId="4" fillId="0" borderId="24" xfId="0" applyNumberFormat="1" applyFont="1" applyBorder="1" applyAlignment="1" applyProtection="1">
      <alignment horizontal="center"/>
      <protection hidden="1"/>
    </xf>
    <xf numFmtId="167" fontId="4" fillId="0" borderId="0" xfId="0" applyNumberFormat="1" applyFont="1" applyFill="1" applyBorder="1" applyAlignment="1" applyProtection="1">
      <alignment horizontal="center"/>
      <protection/>
    </xf>
    <xf numFmtId="167" fontId="4" fillId="3" borderId="23" xfId="0" applyNumberFormat="1" applyFont="1" applyFill="1" applyBorder="1" applyAlignment="1" applyProtection="1">
      <alignment horizontal="center"/>
      <protection/>
    </xf>
    <xf numFmtId="0" fontId="4" fillId="0" borderId="25" xfId="0" applyFont="1" applyFill="1" applyBorder="1" applyAlignment="1" applyProtection="1">
      <alignment/>
      <protection hidden="1"/>
    </xf>
    <xf numFmtId="0" fontId="4" fillId="0" borderId="13" xfId="0" applyFont="1" applyFill="1" applyBorder="1" applyAlignment="1" applyProtection="1">
      <alignment wrapText="1"/>
      <protection hidden="1"/>
    </xf>
    <xf numFmtId="0" fontId="4" fillId="0" borderId="17" xfId="0" applyFont="1" applyBorder="1" applyAlignment="1" applyProtection="1">
      <alignment/>
      <protection hidden="1"/>
    </xf>
    <xf numFmtId="179" fontId="4" fillId="3" borderId="23" xfId="37" applyFont="1" applyBorder="1" applyProtection="1">
      <alignment/>
      <protection/>
    </xf>
    <xf numFmtId="179" fontId="4" fillId="7" borderId="23" xfId="37" applyFont="1" applyFill="1" applyBorder="1" applyProtection="1">
      <alignment/>
      <protection/>
    </xf>
    <xf numFmtId="0" fontId="5" fillId="3" borderId="3"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5" fillId="0" borderId="23" xfId="0" applyNumberFormat="1" applyFont="1" applyBorder="1" applyAlignment="1" applyProtection="1">
      <alignment vertical="center"/>
      <protection hidden="1"/>
    </xf>
    <xf numFmtId="0" fontId="2" fillId="0" borderId="0" xfId="0" applyNumberFormat="1" applyFont="1" applyAlignment="1" applyProtection="1">
      <alignment/>
      <protection/>
    </xf>
    <xf numFmtId="173" fontId="4" fillId="0" borderId="23" xfId="0" applyNumberFormat="1" applyFont="1" applyFill="1" applyBorder="1" applyAlignment="1">
      <alignment/>
    </xf>
    <xf numFmtId="3" fontId="3" fillId="3" borderId="14" xfId="0" applyNumberFormat="1" applyFont="1" applyFill="1" applyBorder="1" applyAlignment="1" applyProtection="1">
      <alignment horizontal="left" vertical="center"/>
      <protection hidden="1"/>
    </xf>
    <xf numFmtId="0" fontId="4" fillId="3" borderId="14" xfId="0" applyFont="1" applyFill="1" applyBorder="1" applyAlignment="1">
      <alignment/>
    </xf>
    <xf numFmtId="179" fontId="5" fillId="0" borderId="23" xfId="0" applyNumberFormat="1" applyFont="1" applyBorder="1" applyAlignment="1">
      <alignment/>
    </xf>
    <xf numFmtId="167" fontId="4" fillId="0" borderId="23" xfId="0" applyNumberFormat="1" applyFont="1" applyFill="1" applyBorder="1" applyAlignment="1" applyProtection="1">
      <alignment horizontal="center"/>
      <protection hidden="1"/>
    </xf>
    <xf numFmtId="167" fontId="4" fillId="0" borderId="24" xfId="0" applyNumberFormat="1" applyFont="1" applyFill="1" applyBorder="1" applyAlignment="1" applyProtection="1">
      <alignment horizontal="center"/>
      <protection hidden="1"/>
    </xf>
    <xf numFmtId="3" fontId="4" fillId="0" borderId="23" xfId="0" applyNumberFormat="1" applyFont="1" applyBorder="1" applyAlignment="1" applyProtection="1">
      <alignment/>
      <protection hidden="1"/>
    </xf>
    <xf numFmtId="3" fontId="4" fillId="0" borderId="24" xfId="36" applyNumberFormat="1" applyFont="1" applyFill="1" applyBorder="1" applyProtection="1">
      <alignment/>
      <protection locked="0"/>
    </xf>
    <xf numFmtId="0" fontId="4" fillId="0" borderId="0" xfId="0" applyNumberFormat="1" applyFont="1" applyAlignment="1" applyProtection="1">
      <alignment horizontal="left" vertical="top" wrapText="1"/>
      <protection hidden="1"/>
    </xf>
    <xf numFmtId="0" fontId="4" fillId="0" borderId="17" xfId="0" applyFont="1" applyBorder="1" applyAlignment="1">
      <alignment horizontal="left"/>
    </xf>
    <xf numFmtId="37" fontId="4" fillId="0" borderId="17" xfId="0" applyNumberFormat="1" applyFont="1" applyFill="1" applyBorder="1" applyAlignment="1" applyProtection="1">
      <alignment horizontal="left"/>
      <protection hidden="1" locked="0"/>
    </xf>
    <xf numFmtId="0" fontId="5" fillId="7" borderId="0" xfId="0" applyFont="1" applyFill="1" applyAlignment="1">
      <alignment/>
    </xf>
    <xf numFmtId="0" fontId="4" fillId="7" borderId="50" xfId="0" applyFont="1" applyFill="1" applyBorder="1" applyAlignment="1">
      <alignment/>
    </xf>
    <xf numFmtId="0" fontId="4" fillId="7" borderId="37" xfId="0" applyFont="1" applyFill="1" applyBorder="1" applyAlignment="1">
      <alignment/>
    </xf>
    <xf numFmtId="0" fontId="4" fillId="7" borderId="64" xfId="0" applyFont="1" applyFill="1" applyBorder="1" applyAlignment="1">
      <alignment/>
    </xf>
    <xf numFmtId="0" fontId="4" fillId="7" borderId="34" xfId="0" applyFont="1" applyFill="1" applyBorder="1" applyAlignment="1">
      <alignment/>
    </xf>
    <xf numFmtId="0" fontId="5" fillId="3" borderId="2" xfId="0" applyNumberFormat="1" applyFont="1" applyFill="1" applyBorder="1" applyAlignment="1">
      <alignment horizontal="center"/>
    </xf>
    <xf numFmtId="0" fontId="4" fillId="7" borderId="51" xfId="0" applyFont="1" applyFill="1" applyBorder="1" applyAlignment="1">
      <alignment/>
    </xf>
    <xf numFmtId="0" fontId="4" fillId="7" borderId="22" xfId="0" applyFont="1" applyFill="1" applyBorder="1" applyAlignment="1">
      <alignment/>
    </xf>
    <xf numFmtId="169" fontId="5" fillId="7" borderId="0" xfId="0" applyNumberFormat="1" applyFont="1" applyFill="1" applyBorder="1" applyAlignment="1">
      <alignment horizontal="center"/>
    </xf>
    <xf numFmtId="3" fontId="4" fillId="7" borderId="23" xfId="0" applyNumberFormat="1" applyFont="1" applyFill="1" applyBorder="1" applyAlignment="1">
      <alignment/>
    </xf>
    <xf numFmtId="4" fontId="4" fillId="7" borderId="0" xfId="0" applyNumberFormat="1" applyFont="1" applyFill="1" applyBorder="1" applyAlignment="1">
      <alignment/>
    </xf>
    <xf numFmtId="4" fontId="4" fillId="7" borderId="0" xfId="0" applyNumberFormat="1" applyFont="1" applyFill="1" applyAlignment="1">
      <alignment/>
    </xf>
    <xf numFmtId="3" fontId="4" fillId="7" borderId="0" xfId="0" applyNumberFormat="1" applyFont="1" applyFill="1" applyAlignment="1">
      <alignment/>
    </xf>
    <xf numFmtId="0" fontId="4" fillId="7" borderId="0" xfId="0" applyFont="1" applyFill="1" applyAlignment="1" quotePrefix="1">
      <alignment/>
    </xf>
    <xf numFmtId="169" fontId="4" fillId="7" borderId="0" xfId="0" applyNumberFormat="1" applyFont="1" applyFill="1" applyBorder="1" applyAlignment="1" applyProtection="1">
      <alignment/>
      <protection/>
    </xf>
    <xf numFmtId="3" fontId="4" fillId="7" borderId="23" xfId="0" applyNumberFormat="1" applyFont="1" applyFill="1" applyBorder="1" applyAlignment="1" applyProtection="1">
      <alignment/>
      <protection/>
    </xf>
    <xf numFmtId="179" fontId="4" fillId="0" borderId="49" xfId="34" applyFont="1" applyFill="1" applyBorder="1" applyProtection="1">
      <alignment/>
      <protection locked="0"/>
    </xf>
    <xf numFmtId="0" fontId="4" fillId="7" borderId="0" xfId="0" applyFont="1" applyFill="1" applyAlignment="1" applyProtection="1">
      <alignment/>
      <protection/>
    </xf>
    <xf numFmtId="0" fontId="4" fillId="7" borderId="0" xfId="0" applyFont="1" applyFill="1" applyBorder="1" applyAlignment="1" applyProtection="1">
      <alignment/>
      <protection/>
    </xf>
    <xf numFmtId="3" fontId="4" fillId="7" borderId="0" xfId="0" applyNumberFormat="1" applyFont="1" applyFill="1" applyBorder="1" applyAlignment="1" applyProtection="1">
      <alignment/>
      <protection/>
    </xf>
    <xf numFmtId="0" fontId="5" fillId="7" borderId="0" xfId="0" applyFont="1" applyFill="1" applyAlignment="1" applyProtection="1">
      <alignment horizontal="center"/>
      <protection/>
    </xf>
    <xf numFmtId="169" fontId="4" fillId="7" borderId="0" xfId="0" applyNumberFormat="1" applyFont="1" applyFill="1" applyAlignment="1" applyProtection="1">
      <alignment horizontal="center"/>
      <protection/>
    </xf>
    <xf numFmtId="169" fontId="5" fillId="7" borderId="0" xfId="0" applyNumberFormat="1" applyFont="1" applyFill="1" applyAlignment="1" applyProtection="1">
      <alignment horizontal="center"/>
      <protection/>
    </xf>
    <xf numFmtId="169" fontId="5" fillId="7" borderId="0" xfId="0" applyNumberFormat="1" applyFont="1" applyFill="1" applyBorder="1" applyAlignment="1" applyProtection="1">
      <alignment horizontal="center"/>
      <protection/>
    </xf>
    <xf numFmtId="0" fontId="5" fillId="3" borderId="50" xfId="0" applyFont="1" applyFill="1" applyBorder="1" applyAlignment="1" applyProtection="1" quotePrefix="1">
      <alignment horizontal="center"/>
      <protection/>
    </xf>
    <xf numFmtId="169" fontId="5" fillId="3" borderId="21" xfId="0" applyNumberFormat="1" applyFont="1" applyFill="1" applyBorder="1" applyAlignment="1" applyProtection="1" quotePrefix="1">
      <alignment horizontal="center"/>
      <protection/>
    </xf>
    <xf numFmtId="169" fontId="4" fillId="7" borderId="0" xfId="0" applyNumberFormat="1" applyFont="1" applyFill="1" applyBorder="1" applyAlignment="1" applyProtection="1" quotePrefix="1">
      <alignment horizontal="center"/>
      <protection/>
    </xf>
    <xf numFmtId="0" fontId="5" fillId="3" borderId="64" xfId="0" applyFont="1" applyFill="1" applyBorder="1" applyAlignment="1" applyProtection="1">
      <alignment horizontal="center"/>
      <protection/>
    </xf>
    <xf numFmtId="169" fontId="5" fillId="3" borderId="2" xfId="0" applyNumberFormat="1" applyFont="1" applyFill="1" applyBorder="1" applyAlignment="1" applyProtection="1">
      <alignment horizontal="center"/>
      <protection/>
    </xf>
    <xf numFmtId="169" fontId="4" fillId="7" borderId="0" xfId="0" applyNumberFormat="1" applyFont="1" applyFill="1" applyBorder="1" applyAlignment="1" applyProtection="1">
      <alignment horizontal="center"/>
      <protection/>
    </xf>
    <xf numFmtId="1" fontId="5" fillId="3" borderId="51" xfId="0" applyNumberFormat="1" applyFont="1" applyFill="1" applyBorder="1" applyAlignment="1" applyProtection="1">
      <alignment horizontal="center"/>
      <protection/>
    </xf>
    <xf numFmtId="1" fontId="5" fillId="3" borderId="14" xfId="0" applyNumberFormat="1" applyFont="1" applyFill="1" applyBorder="1" applyAlignment="1" applyProtection="1">
      <alignment horizontal="center"/>
      <protection/>
    </xf>
    <xf numFmtId="1" fontId="4" fillId="7" borderId="0" xfId="0" applyNumberFormat="1" applyFont="1" applyFill="1" applyBorder="1" applyAlignment="1" applyProtection="1">
      <alignment horizontal="center"/>
      <protection/>
    </xf>
    <xf numFmtId="170" fontId="4" fillId="7" borderId="38" xfId="0" applyNumberFormat="1" applyFont="1" applyFill="1" applyBorder="1" applyAlignment="1" applyProtection="1">
      <alignment horizontal="center"/>
      <protection/>
    </xf>
    <xf numFmtId="169" fontId="4" fillId="7" borderId="0" xfId="0" applyNumberFormat="1" applyFont="1" applyFill="1" applyBorder="1" applyAlignment="1" applyProtection="1">
      <alignment/>
      <protection/>
    </xf>
    <xf numFmtId="170" fontId="4" fillId="7" borderId="24" xfId="0" applyNumberFormat="1" applyFont="1" applyFill="1" applyBorder="1" applyAlignment="1" applyProtection="1">
      <alignment horizontal="center"/>
      <protection/>
    </xf>
    <xf numFmtId="3" fontId="4" fillId="7" borderId="24" xfId="0" applyNumberFormat="1" applyFont="1" applyFill="1" applyBorder="1" applyAlignment="1" applyProtection="1">
      <alignment/>
      <protection/>
    </xf>
    <xf numFmtId="179" fontId="5" fillId="3" borderId="23" xfId="0" applyNumberFormat="1" applyFont="1" applyFill="1" applyBorder="1" applyAlignment="1">
      <alignment horizontal="left"/>
    </xf>
    <xf numFmtId="3" fontId="5" fillId="3" borderId="23" xfId="0" applyNumberFormat="1" applyFont="1" applyFill="1" applyBorder="1" applyAlignment="1" applyProtection="1">
      <alignment/>
      <protection/>
    </xf>
    <xf numFmtId="3" fontId="4" fillId="7" borderId="0" xfId="0" applyNumberFormat="1" applyFont="1" applyFill="1" applyAlignment="1" applyProtection="1">
      <alignment/>
      <protection/>
    </xf>
    <xf numFmtId="170" fontId="4" fillId="7" borderId="0" xfId="0" applyNumberFormat="1" applyFont="1" applyFill="1" applyAlignment="1" applyProtection="1">
      <alignment horizontal="center"/>
      <protection/>
    </xf>
    <xf numFmtId="0" fontId="4" fillId="7" borderId="0" xfId="0" applyFont="1" applyFill="1" applyBorder="1" applyAlignment="1" applyProtection="1">
      <alignment/>
      <protection/>
    </xf>
    <xf numFmtId="170" fontId="4" fillId="7" borderId="23" xfId="0" applyNumberFormat="1" applyFont="1" applyFill="1" applyBorder="1" applyAlignment="1" applyProtection="1">
      <alignment horizontal="center"/>
      <protection/>
    </xf>
    <xf numFmtId="179" fontId="4" fillId="0" borderId="23" xfId="34" applyFont="1" applyFill="1" applyBorder="1" applyAlignment="1" applyProtection="1">
      <alignment horizontal="right"/>
      <protection locked="0"/>
    </xf>
    <xf numFmtId="179" fontId="5" fillId="3" borderId="23" xfId="34" applyFont="1" applyFill="1" applyBorder="1" applyAlignment="1" applyProtection="1">
      <alignment horizontal="right"/>
      <protection/>
    </xf>
    <xf numFmtId="2" fontId="5" fillId="0" borderId="0" xfId="0" applyNumberFormat="1" applyFont="1" applyAlignment="1" applyProtection="1">
      <alignment/>
      <protection/>
    </xf>
    <xf numFmtId="0" fontId="4" fillId="0" borderId="0" xfId="0" applyNumberFormat="1" applyFont="1" applyAlignment="1" applyProtection="1">
      <alignment horizontal="left" wrapText="1"/>
      <protection/>
    </xf>
    <xf numFmtId="0" fontId="4" fillId="0" borderId="0" xfId="0" applyNumberFormat="1" applyFont="1" applyAlignment="1" applyProtection="1">
      <alignment wrapText="1"/>
      <protection/>
    </xf>
    <xf numFmtId="177" fontId="5" fillId="3" borderId="23" xfId="0" applyNumberFormat="1" applyFont="1" applyFill="1" applyBorder="1" applyAlignment="1" applyProtection="1">
      <alignment horizontal="left"/>
      <protection hidden="1"/>
    </xf>
    <xf numFmtId="4" fontId="4" fillId="0" borderId="23" xfId="0" applyNumberFormat="1" applyFont="1" applyFill="1" applyBorder="1" applyAlignment="1">
      <alignment/>
    </xf>
    <xf numFmtId="4" fontId="4" fillId="0" borderId="23" xfId="0" applyNumberFormat="1" applyFont="1" applyFill="1" applyBorder="1" applyAlignment="1" applyProtection="1">
      <alignment/>
      <protection/>
    </xf>
    <xf numFmtId="37" fontId="4" fillId="0" borderId="13" xfId="0" applyNumberFormat="1" applyFont="1" applyFill="1" applyBorder="1" applyAlignment="1" applyProtection="1">
      <alignment/>
      <protection hidden="1"/>
    </xf>
    <xf numFmtId="9" fontId="4" fillId="7" borderId="23" xfId="0" applyNumberFormat="1" applyFont="1" applyFill="1" applyBorder="1" applyAlignment="1">
      <alignment/>
    </xf>
    <xf numFmtId="0" fontId="5" fillId="0" borderId="13" xfId="0" applyFont="1" applyFill="1" applyBorder="1" applyAlignment="1" applyProtection="1">
      <alignment horizontal="left"/>
      <protection hidden="1"/>
    </xf>
    <xf numFmtId="4" fontId="4" fillId="0" borderId="24" xfId="0" applyNumberFormat="1" applyFont="1" applyFill="1" applyBorder="1" applyAlignment="1" applyProtection="1">
      <alignment/>
      <protection/>
    </xf>
    <xf numFmtId="4" fontId="4" fillId="0" borderId="24" xfId="0" applyNumberFormat="1" applyFont="1" applyFill="1" applyBorder="1" applyAlignment="1">
      <alignment/>
    </xf>
    <xf numFmtId="0" fontId="4" fillId="0" borderId="0" xfId="0" applyFont="1" applyAlignment="1">
      <alignment horizontal="left"/>
    </xf>
    <xf numFmtId="37" fontId="4" fillId="0" borderId="25" xfId="0" applyNumberFormat="1" applyFont="1" applyFill="1" applyBorder="1" applyAlignment="1" applyProtection="1">
      <alignment horizontal="left"/>
      <protection hidden="1"/>
    </xf>
    <xf numFmtId="3" fontId="5" fillId="3" borderId="23" xfId="0" applyNumberFormat="1" applyFont="1" applyFill="1" applyBorder="1" applyAlignment="1" applyProtection="1">
      <alignment horizontal="right"/>
      <protection/>
    </xf>
    <xf numFmtId="3" fontId="4" fillId="0" borderId="23" xfId="0" applyNumberFormat="1" applyFont="1" applyBorder="1" applyAlignment="1" applyProtection="1">
      <alignment horizontal="right"/>
      <protection/>
    </xf>
    <xf numFmtId="9" fontId="4" fillId="0" borderId="24" xfId="34" applyNumberFormat="1" applyFont="1" applyFill="1" applyBorder="1" applyProtection="1">
      <alignment/>
      <protection locked="0"/>
    </xf>
    <xf numFmtId="169" fontId="4" fillId="7" borderId="23" xfId="0" applyNumberFormat="1" applyFont="1" applyFill="1" applyBorder="1" applyAlignment="1" applyProtection="1">
      <alignment/>
      <protection/>
    </xf>
    <xf numFmtId="179" fontId="4" fillId="3" borderId="23" xfId="0" applyNumberFormat="1" applyFont="1" applyFill="1" applyBorder="1" applyAlignment="1" applyProtection="1">
      <alignment/>
      <protection/>
    </xf>
    <xf numFmtId="3" fontId="5" fillId="3" borderId="23" xfId="0" applyNumberFormat="1" applyFont="1" applyFill="1" applyBorder="1" applyAlignment="1" applyProtection="1">
      <alignment/>
      <protection hidden="1"/>
    </xf>
    <xf numFmtId="0" fontId="1" fillId="0" borderId="0" xfId="0" applyFont="1" applyBorder="1" applyAlignment="1" applyProtection="1">
      <alignment horizontal="left"/>
      <protection/>
    </xf>
    <xf numFmtId="0" fontId="0" fillId="0" borderId="0" xfId="0" applyFont="1" applyAlignment="1" applyProtection="1">
      <alignment horizontal="right"/>
      <protection/>
    </xf>
    <xf numFmtId="0" fontId="3" fillId="0" borderId="5" xfId="0" applyNumberFormat="1" applyFont="1" applyBorder="1" applyAlignment="1" applyProtection="1">
      <alignment horizontal="left" vertical="center"/>
      <protection/>
    </xf>
    <xf numFmtId="49" fontId="4" fillId="0" borderId="0" xfId="0" applyNumberFormat="1" applyFont="1" applyAlignment="1" applyProtection="1">
      <alignment horizontal="left"/>
      <protection/>
    </xf>
    <xf numFmtId="0" fontId="4" fillId="8" borderId="3" xfId="0" applyNumberFormat="1" applyFont="1" applyFill="1" applyBorder="1" applyAlignment="1" applyProtection="1">
      <alignment/>
      <protection/>
    </xf>
    <xf numFmtId="0" fontId="5" fillId="8" borderId="3" xfId="0" applyNumberFormat="1" applyFont="1" applyFill="1" applyBorder="1" applyAlignment="1" applyProtection="1">
      <alignment/>
      <protection/>
    </xf>
    <xf numFmtId="0" fontId="5" fillId="8" borderId="3" xfId="0" applyNumberFormat="1" applyFont="1" applyFill="1" applyBorder="1" applyAlignment="1" applyProtection="1">
      <alignment horizontal="left"/>
      <protection/>
    </xf>
    <xf numFmtId="49" fontId="5" fillId="8" borderId="3" xfId="0" applyNumberFormat="1" applyFont="1" applyFill="1" applyBorder="1" applyAlignment="1" applyProtection="1">
      <alignment horizontal="right"/>
      <protection/>
    </xf>
    <xf numFmtId="0" fontId="5" fillId="0" borderId="64" xfId="0" applyNumberFormat="1" applyFont="1" applyBorder="1" applyAlignment="1" applyProtection="1">
      <alignment horizontal="left"/>
      <protection hidden="1"/>
    </xf>
    <xf numFmtId="170" fontId="4" fillId="0" borderId="21" xfId="0" applyNumberFormat="1" applyFont="1" applyBorder="1" applyAlignment="1" applyProtection="1">
      <alignment/>
      <protection hidden="1"/>
    </xf>
    <xf numFmtId="14" fontId="4" fillId="0" borderId="34" xfId="0" applyNumberFormat="1" applyFont="1" applyBorder="1" applyAlignment="1" applyProtection="1">
      <alignment horizontal="left"/>
      <protection hidden="1"/>
    </xf>
    <xf numFmtId="0" fontId="4" fillId="0" borderId="2" xfId="0" applyNumberFormat="1" applyFont="1" applyBorder="1" applyAlignment="1" applyProtection="1">
      <alignment horizontal="right" wrapText="1"/>
      <protection hidden="1"/>
    </xf>
    <xf numFmtId="170" fontId="4" fillId="0" borderId="2" xfId="0" applyNumberFormat="1" applyFont="1" applyBorder="1" applyAlignment="1" applyProtection="1">
      <alignment/>
      <protection hidden="1"/>
    </xf>
    <xf numFmtId="0" fontId="5" fillId="0" borderId="51" xfId="0" applyNumberFormat="1" applyFont="1" applyBorder="1" applyAlignment="1" applyProtection="1">
      <alignment horizontal="left"/>
      <protection hidden="1"/>
    </xf>
    <xf numFmtId="170" fontId="4" fillId="0" borderId="14" xfId="0" applyNumberFormat="1" applyFont="1" applyBorder="1" applyAlignment="1" applyProtection="1">
      <alignment/>
      <protection hidden="1"/>
    </xf>
    <xf numFmtId="0" fontId="4" fillId="0" borderId="22" xfId="0" applyNumberFormat="1" applyFont="1" applyBorder="1" applyAlignment="1" applyProtection="1">
      <alignment horizontal="left"/>
      <protection hidden="1"/>
    </xf>
    <xf numFmtId="0" fontId="4" fillId="0" borderId="14" xfId="0" applyFont="1" applyBorder="1" applyAlignment="1" applyProtection="1">
      <alignment horizontal="right"/>
      <protection hidden="1"/>
    </xf>
    <xf numFmtId="0" fontId="4" fillId="0" borderId="0" xfId="0" applyNumberFormat="1" applyFont="1" applyAlignment="1" applyProtection="1">
      <alignment horizontal="left"/>
      <protection hidden="1"/>
    </xf>
    <xf numFmtId="0" fontId="4" fillId="0" borderId="0" xfId="0" applyFont="1" applyAlignment="1" applyProtection="1">
      <alignment horizontal="right"/>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right"/>
      <protection/>
    </xf>
    <xf numFmtId="0" fontId="4" fillId="0" borderId="0" xfId="0" applyNumberFormat="1" applyFont="1" applyAlignment="1" applyProtection="1">
      <alignment horizontal="right"/>
      <protection/>
    </xf>
    <xf numFmtId="0" fontId="0" fillId="0" borderId="0" xfId="0" applyNumberFormat="1" applyFont="1" applyAlignment="1" applyProtection="1">
      <alignment horizontal="right"/>
      <protection/>
    </xf>
    <xf numFmtId="0" fontId="5" fillId="0" borderId="0" xfId="0" applyFont="1" applyAlignment="1" applyProtection="1">
      <alignment horizontal="left"/>
      <protection/>
    </xf>
    <xf numFmtId="37" fontId="5" fillId="3" borderId="25" xfId="0" applyNumberFormat="1" applyFont="1" applyFill="1" applyBorder="1" applyAlignment="1" applyProtection="1">
      <alignment horizontal="left"/>
      <protection/>
    </xf>
    <xf numFmtId="37" fontId="5" fillId="3" borderId="17" xfId="0" applyNumberFormat="1" applyFont="1" applyFill="1" applyBorder="1" applyAlignment="1" applyProtection="1">
      <alignment horizontal="left"/>
      <protection/>
    </xf>
    <xf numFmtId="0" fontId="5" fillId="7" borderId="0" xfId="0" applyFont="1" applyFill="1" applyAlignment="1">
      <alignment horizontal="center"/>
    </xf>
    <xf numFmtId="0" fontId="5" fillId="0" borderId="0" xfId="0" applyFont="1" applyAlignment="1">
      <alignment horizontal="center"/>
    </xf>
    <xf numFmtId="0" fontId="5" fillId="3" borderId="23" xfId="0" applyNumberFormat="1" applyFont="1" applyFill="1" applyBorder="1" applyAlignment="1" applyProtection="1">
      <alignment horizontal="center"/>
      <protection hidden="1"/>
    </xf>
    <xf numFmtId="0" fontId="4" fillId="0" borderId="23" xfId="0" applyFont="1" applyBorder="1" applyAlignment="1">
      <alignment wrapText="1"/>
    </xf>
    <xf numFmtId="9" fontId="4" fillId="7" borderId="23" xfId="30" applyFont="1" applyFill="1" applyBorder="1" applyAlignment="1" applyProtection="1">
      <alignment/>
      <protection/>
    </xf>
    <xf numFmtId="0" fontId="5" fillId="3" borderId="23" xfId="0" applyNumberFormat="1" applyFont="1" applyFill="1" applyBorder="1" applyAlignment="1" applyProtection="1">
      <alignment horizontal="center"/>
      <protection/>
    </xf>
    <xf numFmtId="0" fontId="0" fillId="0" borderId="0" xfId="0" applyAlignment="1">
      <alignment horizontal="center"/>
    </xf>
    <xf numFmtId="178" fontId="0" fillId="3" borderId="23" xfId="0" applyNumberFormat="1" applyFill="1" applyBorder="1" applyAlignment="1">
      <alignment/>
    </xf>
    <xf numFmtId="0" fontId="5" fillId="3" borderId="24" xfId="0" applyNumberFormat="1" applyFont="1" applyFill="1" applyBorder="1" applyAlignment="1" applyProtection="1">
      <alignment horizontal="center"/>
      <protection hidden="1"/>
    </xf>
    <xf numFmtId="0" fontId="5" fillId="7" borderId="0" xfId="0" applyNumberFormat="1" applyFont="1" applyFill="1" applyBorder="1" applyAlignment="1" applyProtection="1">
      <alignment horizontal="center"/>
      <protection hidden="1"/>
    </xf>
    <xf numFmtId="0" fontId="5" fillId="0" borderId="0" xfId="0" applyFont="1" applyBorder="1" applyAlignment="1">
      <alignment horizontal="center"/>
    </xf>
    <xf numFmtId="0" fontId="5" fillId="0" borderId="0" xfId="0" applyNumberFormat="1" applyFont="1" applyBorder="1" applyAlignment="1" applyProtection="1">
      <alignment horizontal="center" vertical="center"/>
      <protection hidden="1"/>
    </xf>
    <xf numFmtId="0" fontId="5" fillId="0" borderId="0" xfId="0" applyNumberFormat="1" applyFont="1" applyFill="1" applyBorder="1" applyAlignment="1" applyProtection="1">
      <alignment horizontal="center"/>
      <protection hidden="1"/>
    </xf>
    <xf numFmtId="0" fontId="5" fillId="0" borderId="0" xfId="0" applyNumberFormat="1" applyFont="1" applyAlignment="1" applyProtection="1">
      <alignment horizontal="center"/>
      <protection hidden="1"/>
    </xf>
    <xf numFmtId="0" fontId="5" fillId="0" borderId="0" xfId="0" applyNumberFormat="1" applyFont="1" applyBorder="1" applyAlignment="1" applyProtection="1">
      <alignment horizontal="center" vertical="center"/>
      <protection/>
    </xf>
    <xf numFmtId="0" fontId="5" fillId="3" borderId="25" xfId="0" applyFont="1" applyFill="1" applyBorder="1" applyAlignment="1" applyProtection="1">
      <alignment horizontal="left"/>
      <protection/>
    </xf>
    <xf numFmtId="0" fontId="5" fillId="3" borderId="13" xfId="0" applyFont="1" applyFill="1" applyBorder="1" applyAlignment="1" applyProtection="1">
      <alignment horizontal="center"/>
      <protection/>
    </xf>
    <xf numFmtId="0" fontId="5" fillId="3" borderId="17" xfId="0" applyFont="1" applyFill="1" applyBorder="1" applyAlignment="1" applyProtection="1">
      <alignment horizontal="center"/>
      <protection/>
    </xf>
    <xf numFmtId="0" fontId="5" fillId="3" borderId="23" xfId="0" applyFont="1" applyFill="1" applyBorder="1" applyAlignment="1" applyProtection="1" quotePrefix="1">
      <alignment horizontal="center"/>
      <protection/>
    </xf>
    <xf numFmtId="0" fontId="4" fillId="0" borderId="75" xfId="0" applyFont="1" applyBorder="1" applyAlignment="1" applyProtection="1">
      <alignment/>
      <protection/>
    </xf>
    <xf numFmtId="49" fontId="4" fillId="0" borderId="26" xfId="0" applyNumberFormat="1" applyFont="1" applyBorder="1" applyAlignment="1" applyProtection="1">
      <alignment horizontal="center"/>
      <protection/>
    </xf>
    <xf numFmtId="0" fontId="4" fillId="0" borderId="47" xfId="0" applyFont="1" applyBorder="1" applyAlignment="1" applyProtection="1">
      <alignment/>
      <protection/>
    </xf>
    <xf numFmtId="10" fontId="4" fillId="0" borderId="23" xfId="0" applyNumberFormat="1" applyFont="1" applyBorder="1" applyAlignment="1" applyProtection="1">
      <alignment horizontal="center"/>
      <protection/>
    </xf>
    <xf numFmtId="49" fontId="4" fillId="0" borderId="13" xfId="0" applyNumberFormat="1" applyFont="1" applyBorder="1" applyAlignment="1" applyProtection="1">
      <alignment horizontal="center"/>
      <protection/>
    </xf>
    <xf numFmtId="49" fontId="4" fillId="0" borderId="32" xfId="0" applyNumberFormat="1" applyFont="1" applyBorder="1" applyAlignment="1" applyProtection="1">
      <alignment horizontal="center"/>
      <protection/>
    </xf>
    <xf numFmtId="0" fontId="4" fillId="0" borderId="32" xfId="0" applyFont="1" applyBorder="1" applyAlignment="1" applyProtection="1">
      <alignment/>
      <protection/>
    </xf>
    <xf numFmtId="0" fontId="4" fillId="0" borderId="32" xfId="0" applyFont="1" applyBorder="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5" fillId="3" borderId="16" xfId="0" applyNumberFormat="1" applyFont="1" applyFill="1" applyBorder="1" applyAlignment="1">
      <alignment horizontal="center"/>
    </xf>
    <xf numFmtId="0" fontId="3" fillId="0" borderId="5" xfId="33" applyNumberFormat="1" applyFont="1" applyBorder="1" applyAlignment="1" applyProtection="1">
      <alignment vertical="center"/>
      <protection hidden="1"/>
    </xf>
    <xf numFmtId="0" fontId="13" fillId="0" borderId="5" xfId="33" applyNumberFormat="1" applyFont="1" applyBorder="1" applyAlignment="1" applyProtection="1">
      <alignment vertical="center"/>
      <protection hidden="1"/>
    </xf>
    <xf numFmtId="4" fontId="0" fillId="0" borderId="23" xfId="0" applyNumberFormat="1" applyFont="1" applyFill="1" applyBorder="1" applyAlignment="1">
      <alignment/>
    </xf>
    <xf numFmtId="4" fontId="0" fillId="0" borderId="23" xfId="0" applyNumberFormat="1" applyFont="1" applyFill="1" applyBorder="1" applyAlignment="1" applyProtection="1">
      <alignment/>
      <protection/>
    </xf>
    <xf numFmtId="0" fontId="0" fillId="0" borderId="23" xfId="0" applyFont="1" applyFill="1" applyBorder="1" applyAlignment="1" quotePrefix="1">
      <alignment/>
    </xf>
    <xf numFmtId="169" fontId="0" fillId="0" borderId="23" xfId="0" applyNumberFormat="1" applyFont="1" applyFill="1" applyBorder="1" applyAlignment="1">
      <alignment/>
    </xf>
    <xf numFmtId="169" fontId="4" fillId="0" borderId="23" xfId="34" applyNumberFormat="1" applyFill="1" applyBorder="1" applyProtection="1">
      <alignment/>
      <protection/>
    </xf>
    <xf numFmtId="169" fontId="4" fillId="0" borderId="24" xfId="34" applyNumberFormat="1" applyFill="1" applyBorder="1" applyProtection="1">
      <alignment/>
      <protection/>
    </xf>
    <xf numFmtId="169" fontId="5" fillId="3" borderId="23" xfId="37" applyNumberFormat="1" applyBorder="1" applyProtection="1">
      <alignment/>
      <protection/>
    </xf>
    <xf numFmtId="169" fontId="4" fillId="0" borderId="0" xfId="0" applyNumberFormat="1" applyFont="1" applyBorder="1" applyAlignment="1" applyProtection="1">
      <alignment/>
      <protection/>
    </xf>
    <xf numFmtId="169" fontId="5" fillId="3" borderId="23" xfId="37" applyNumberFormat="1" applyFill="1" applyBorder="1" applyProtection="1">
      <alignment/>
      <protection/>
    </xf>
    <xf numFmtId="169" fontId="4" fillId="0" borderId="0" xfId="0" applyNumberFormat="1" applyFont="1" applyAlignment="1" applyProtection="1">
      <alignment/>
      <protection/>
    </xf>
    <xf numFmtId="169" fontId="4" fillId="0" borderId="24" xfId="34" applyNumberFormat="1" applyFont="1" applyFill="1" applyBorder="1" applyProtection="1" quotePrefix="1">
      <alignment/>
      <protection/>
    </xf>
    <xf numFmtId="169" fontId="5" fillId="0" borderId="0" xfId="0" applyNumberFormat="1" applyFont="1" applyFill="1" applyBorder="1" applyAlignment="1">
      <alignment/>
    </xf>
    <xf numFmtId="169" fontId="4" fillId="0" borderId="23" xfId="0" applyNumberFormat="1" applyFont="1" applyBorder="1" applyAlignment="1">
      <alignment horizontal="right"/>
    </xf>
    <xf numFmtId="169" fontId="4" fillId="0" borderId="23" xfId="0" applyNumberFormat="1" applyFont="1" applyFill="1" applyBorder="1" applyAlignment="1">
      <alignment horizontal="right"/>
    </xf>
    <xf numFmtId="169" fontId="4" fillId="0" borderId="17" xfId="0" applyNumberFormat="1" applyFont="1" applyBorder="1" applyAlignment="1">
      <alignment horizontal="right"/>
    </xf>
    <xf numFmtId="169" fontId="4" fillId="0" borderId="23" xfId="34" applyNumberFormat="1" applyFont="1" applyFill="1" applyBorder="1" applyProtection="1">
      <alignment/>
      <protection locked="0"/>
    </xf>
    <xf numFmtId="169" fontId="4" fillId="9" borderId="23" xfId="0" applyNumberFormat="1" applyFont="1" applyFill="1" applyBorder="1" applyAlignment="1" applyProtection="1">
      <alignment/>
      <protection hidden="1"/>
    </xf>
    <xf numFmtId="169" fontId="4" fillId="0" borderId="24" xfId="34" applyNumberFormat="1" applyFont="1" applyFill="1" applyBorder="1" applyProtection="1">
      <alignment/>
      <protection locked="0"/>
    </xf>
    <xf numFmtId="169" fontId="4" fillId="9" borderId="25" xfId="0" applyNumberFormat="1" applyFont="1" applyFill="1" applyBorder="1" applyAlignment="1" applyProtection="1">
      <alignment/>
      <protection hidden="1"/>
    </xf>
    <xf numFmtId="169" fontId="4" fillId="9" borderId="13" xfId="0" applyNumberFormat="1" applyFont="1" applyFill="1" applyBorder="1" applyAlignment="1" applyProtection="1">
      <alignment/>
      <protection hidden="1"/>
    </xf>
    <xf numFmtId="169" fontId="4" fillId="3" borderId="13" xfId="0" applyNumberFormat="1" applyFont="1" applyFill="1" applyBorder="1" applyAlignment="1">
      <alignment/>
    </xf>
    <xf numFmtId="169" fontId="4" fillId="9" borderId="0" xfId="0" applyNumberFormat="1" applyFont="1" applyFill="1" applyBorder="1" applyAlignment="1" applyProtection="1">
      <alignment/>
      <protection locked="0"/>
    </xf>
    <xf numFmtId="169" fontId="4" fillId="9" borderId="0" xfId="0" applyNumberFormat="1" applyFont="1" applyFill="1" applyAlignment="1">
      <alignment/>
    </xf>
    <xf numFmtId="169" fontId="4" fillId="9" borderId="13" xfId="0" applyNumberFormat="1" applyFont="1" applyFill="1" applyBorder="1" applyAlignment="1">
      <alignment/>
    </xf>
    <xf numFmtId="169" fontId="4" fillId="0" borderId="74" xfId="0" applyNumberFormat="1" applyFont="1" applyBorder="1" applyAlignment="1">
      <alignment/>
    </xf>
    <xf numFmtId="169" fontId="5" fillId="3" borderId="13" xfId="0" applyNumberFormat="1" applyFont="1" applyFill="1" applyBorder="1" applyAlignment="1">
      <alignment/>
    </xf>
    <xf numFmtId="169" fontId="5" fillId="3" borderId="3" xfId="0" applyNumberFormat="1" applyFont="1" applyFill="1" applyBorder="1" applyAlignment="1">
      <alignment/>
    </xf>
    <xf numFmtId="49" fontId="4" fillId="0" borderId="0" xfId="0" applyNumberFormat="1" applyFont="1" applyAlignment="1" applyProtection="1">
      <alignment/>
      <protection/>
    </xf>
    <xf numFmtId="0" fontId="5" fillId="0" borderId="0" xfId="0" applyFont="1" applyAlignment="1" applyProtection="1">
      <alignment vertical="top"/>
      <protection/>
    </xf>
    <xf numFmtId="49" fontId="4" fillId="0" borderId="0" xfId="0" applyNumberFormat="1" applyFont="1" applyAlignment="1" applyProtection="1">
      <alignment horizontal="justify"/>
      <protection/>
    </xf>
    <xf numFmtId="49" fontId="4" fillId="0" borderId="0" xfId="0" applyNumberFormat="1" applyFont="1" applyAlignment="1" applyProtection="1">
      <alignment horizontal="justify" wrapText="1"/>
      <protection/>
    </xf>
    <xf numFmtId="49" fontId="0" fillId="0" borderId="0" xfId="0" applyNumberFormat="1" applyFont="1" applyAlignment="1" applyProtection="1">
      <alignment horizontal="justify"/>
      <protection/>
    </xf>
    <xf numFmtId="49" fontId="4" fillId="0" borderId="0" xfId="0" applyNumberFormat="1" applyFont="1" applyAlignment="1" applyProtection="1">
      <alignment wrapText="1"/>
      <protection/>
    </xf>
    <xf numFmtId="37" fontId="4" fillId="0" borderId="13" xfId="0" applyNumberFormat="1" applyFont="1" applyFill="1" applyBorder="1" applyAlignment="1" applyProtection="1">
      <alignment horizontal="left" vertical="center"/>
      <protection locked="0"/>
    </xf>
    <xf numFmtId="37" fontId="4" fillId="0" borderId="61" xfId="0" applyNumberFormat="1" applyFont="1" applyFill="1" applyBorder="1" applyAlignment="1" applyProtection="1">
      <alignment horizontal="center" vertical="center"/>
      <protection locked="0"/>
    </xf>
    <xf numFmtId="37" fontId="4" fillId="0" borderId="76" xfId="0" applyNumberFormat="1" applyFont="1" applyFill="1" applyBorder="1" applyAlignment="1" applyProtection="1">
      <alignment horizontal="center" vertical="center"/>
      <protection locked="0"/>
    </xf>
    <xf numFmtId="37" fontId="4" fillId="0" borderId="23" xfId="0" applyNumberFormat="1" applyFont="1" applyFill="1" applyBorder="1" applyAlignment="1" applyProtection="1">
      <alignment horizontal="center" vertical="center"/>
      <protection locked="0"/>
    </xf>
    <xf numFmtId="37" fontId="4" fillId="0" borderId="77" xfId="0" applyNumberFormat="1" applyFont="1" applyFill="1" applyBorder="1" applyAlignment="1" applyProtection="1">
      <alignment horizontal="center" vertical="center"/>
      <protection locked="0"/>
    </xf>
    <xf numFmtId="0" fontId="4" fillId="0" borderId="27"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4" fillId="0" borderId="29"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4" fillId="0" borderId="17" xfId="0" applyFont="1" applyBorder="1" applyAlignment="1" applyProtection="1">
      <alignment horizontal="left" vertical="center"/>
      <protection hidden="1"/>
    </xf>
    <xf numFmtId="37" fontId="4" fillId="0" borderId="25" xfId="0" applyNumberFormat="1" applyFont="1" applyFill="1" applyBorder="1" applyAlignment="1" applyProtection="1">
      <alignment horizontal="left" vertical="center"/>
      <protection locked="0"/>
    </xf>
    <xf numFmtId="15" fontId="4" fillId="0" borderId="30" xfId="0" applyNumberFormat="1" applyFont="1" applyFill="1" applyBorder="1" applyAlignment="1" applyProtection="1" quotePrefix="1">
      <alignment horizontal="right" vertical="center"/>
      <protection locked="0"/>
    </xf>
    <xf numFmtId="15" fontId="4" fillId="0" borderId="18" xfId="0" applyNumberFormat="1" applyFont="1" applyFill="1" applyBorder="1" applyAlignment="1" applyProtection="1" quotePrefix="1">
      <alignment horizontal="right" vertical="center"/>
      <protection locked="0"/>
    </xf>
    <xf numFmtId="0" fontId="0" fillId="0" borderId="0" xfId="0" applyBorder="1" applyAlignment="1" applyProtection="1">
      <alignment horizontal="justify" vertical="top" wrapText="1"/>
      <protection hidden="1"/>
    </xf>
    <xf numFmtId="0" fontId="0" fillId="0" borderId="0" xfId="0" applyBorder="1" applyAlignment="1" applyProtection="1">
      <alignment horizontal="justify" wrapText="1"/>
      <protection hidden="1"/>
    </xf>
    <xf numFmtId="0" fontId="5" fillId="0" borderId="78" xfId="0" applyFont="1" applyBorder="1" applyAlignment="1" applyProtection="1">
      <alignment horizontal="left" vertical="center"/>
      <protection hidden="1"/>
    </xf>
    <xf numFmtId="0" fontId="5" fillId="0" borderId="61" xfId="0" applyFont="1" applyBorder="1" applyAlignment="1" applyProtection="1">
      <alignment horizontal="left" vertical="center"/>
      <protection hidden="1"/>
    </xf>
    <xf numFmtId="0" fontId="5" fillId="0" borderId="70" xfId="0" applyFont="1" applyBorder="1" applyAlignment="1" applyProtection="1">
      <alignment horizontal="center" wrapText="1"/>
      <protection hidden="1"/>
    </xf>
    <xf numFmtId="37" fontId="4" fillId="0" borderId="40" xfId="0" applyNumberFormat="1" applyFont="1" applyFill="1" applyBorder="1" applyAlignment="1" applyProtection="1">
      <alignment horizontal="right" vertical="center"/>
      <protection locked="0"/>
    </xf>
    <xf numFmtId="37" fontId="4" fillId="0" borderId="18" xfId="0" applyNumberFormat="1" applyFont="1" applyFill="1" applyBorder="1" applyAlignment="1" applyProtection="1">
      <alignment horizontal="right" vertical="center"/>
      <protection locked="0"/>
    </xf>
    <xf numFmtId="0" fontId="5" fillId="0" borderId="62" xfId="0" applyFont="1" applyBorder="1" applyAlignment="1" applyProtection="1" quotePrefix="1">
      <alignment horizontal="left" wrapText="1"/>
      <protection hidden="1"/>
    </xf>
    <xf numFmtId="0" fontId="5" fillId="0" borderId="48" xfId="0" applyFont="1" applyBorder="1" applyAlignment="1" applyProtection="1">
      <alignment horizontal="left" wrapText="1"/>
      <protection hidden="1"/>
    </xf>
    <xf numFmtId="0" fontId="5" fillId="0" borderId="63" xfId="0" applyFont="1" applyBorder="1" applyAlignment="1" applyProtection="1">
      <alignment horizontal="left" wrapText="1"/>
      <protection hidden="1"/>
    </xf>
    <xf numFmtId="0" fontId="5" fillId="0" borderId="35" xfId="0" applyFont="1" applyBorder="1" applyAlignment="1" applyProtection="1">
      <alignment horizontal="center" wrapText="1"/>
      <protection hidden="1"/>
    </xf>
    <xf numFmtId="0" fontId="5" fillId="0" borderId="32" xfId="0" applyFont="1" applyBorder="1" applyAlignment="1" applyProtection="1">
      <alignment horizontal="center" wrapText="1"/>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14" fontId="5" fillId="0" borderId="16" xfId="0" applyNumberFormat="1" applyFont="1" applyBorder="1" applyAlignment="1" applyProtection="1">
      <alignment horizontal="left" wrapText="1"/>
      <protection hidden="1"/>
    </xf>
    <xf numFmtId="0" fontId="5" fillId="0" borderId="5" xfId="0" applyFont="1" applyBorder="1" applyAlignment="1" applyProtection="1">
      <alignment horizontal="left" wrapText="1"/>
      <protection hidden="1"/>
    </xf>
    <xf numFmtId="0" fontId="5" fillId="0" borderId="7" xfId="0" applyFont="1" applyBorder="1" applyAlignment="1" applyProtection="1">
      <alignment horizontal="left" wrapText="1"/>
      <protection hidden="1"/>
    </xf>
    <xf numFmtId="0" fontId="4" fillId="0" borderId="16" xfId="0" applyFont="1" applyBorder="1" applyAlignment="1" applyProtection="1">
      <alignment horizontal="center" wrapText="1"/>
      <protection hidden="1"/>
    </xf>
    <xf numFmtId="0" fontId="4" fillId="0" borderId="5"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5" fillId="0" borderId="16"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4" fillId="0" borderId="0" xfId="0" applyFont="1" applyBorder="1" applyAlignment="1" applyProtection="1">
      <alignment horizontal="justify" wrapText="1"/>
      <protection hidden="1"/>
    </xf>
    <xf numFmtId="0" fontId="0" fillId="0" borderId="0" xfId="0" applyAlignment="1" applyProtection="1">
      <alignment horizontal="justify" wrapText="1"/>
      <protection hidden="1"/>
    </xf>
    <xf numFmtId="37" fontId="4" fillId="0" borderId="79" xfId="0" applyNumberFormat="1" applyFont="1" applyFill="1" applyBorder="1" applyAlignment="1" applyProtection="1">
      <alignment horizontal="left" vertical="center"/>
      <protection locked="0"/>
    </xf>
    <xf numFmtId="0" fontId="4" fillId="0" borderId="28"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5" fillId="0" borderId="80"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0" fontId="5" fillId="0" borderId="47" xfId="0" applyFont="1" applyBorder="1" applyAlignment="1" applyProtection="1">
      <alignment horizontal="left" vertical="center"/>
      <protection hidden="1"/>
    </xf>
    <xf numFmtId="0" fontId="4" fillId="0" borderId="30" xfId="0" applyFont="1" applyBorder="1" applyAlignment="1" applyProtection="1">
      <alignment horizontal="left" vertical="center"/>
      <protection hidden="1"/>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37" fontId="4" fillId="0" borderId="36" xfId="0" applyNumberFormat="1" applyFont="1" applyFill="1" applyBorder="1" applyAlignment="1" applyProtection="1">
      <alignment horizontal="left" vertical="center"/>
      <protection locked="0"/>
    </xf>
    <xf numFmtId="37" fontId="4" fillId="0" borderId="81" xfId="0" applyNumberFormat="1" applyFont="1" applyFill="1" applyBorder="1" applyAlignment="1" applyProtection="1">
      <alignment horizontal="left" vertical="center"/>
      <protection locked="0"/>
    </xf>
    <xf numFmtId="37" fontId="4" fillId="0" borderId="75" xfId="0" applyNumberFormat="1" applyFont="1" applyFill="1" applyBorder="1" applyAlignment="1" applyProtection="1">
      <alignment horizontal="left" vertical="center"/>
      <protection locked="0"/>
    </xf>
    <xf numFmtId="37" fontId="4" fillId="0" borderId="26" xfId="0" applyNumberFormat="1" applyFont="1" applyFill="1" applyBorder="1" applyAlignment="1" applyProtection="1">
      <alignment horizontal="left" vertical="center"/>
      <protection locked="0"/>
    </xf>
    <xf numFmtId="37" fontId="4" fillId="0" borderId="71" xfId="0" applyNumberFormat="1" applyFont="1" applyFill="1" applyBorder="1" applyAlignment="1" applyProtection="1">
      <alignment horizontal="left" vertical="center"/>
      <protection locked="0"/>
    </xf>
    <xf numFmtId="37" fontId="4" fillId="0" borderId="40" xfId="0" applyNumberFormat="1" applyFont="1" applyFill="1" applyBorder="1" applyAlignment="1" applyProtection="1">
      <alignment horizontal="left" vertical="center"/>
      <protection locked="0"/>
    </xf>
    <xf numFmtId="37" fontId="4" fillId="0" borderId="18" xfId="0" applyNumberFormat="1" applyFont="1" applyFill="1" applyBorder="1" applyAlignment="1" applyProtection="1">
      <alignment horizontal="left" vertical="center"/>
      <protection locked="0"/>
    </xf>
    <xf numFmtId="37" fontId="4" fillId="0" borderId="65" xfId="0" applyNumberFormat="1" applyFont="1" applyFill="1" applyBorder="1" applyAlignment="1" applyProtection="1">
      <alignment horizontal="left" vertical="center"/>
      <protection locked="0"/>
    </xf>
    <xf numFmtId="0" fontId="5" fillId="0" borderId="62" xfId="0" applyFont="1" applyBorder="1" applyAlignment="1" applyProtection="1">
      <alignment horizontal="left" vertical="center"/>
      <protection hidden="1"/>
    </xf>
    <xf numFmtId="0" fontId="5" fillId="0" borderId="48" xfId="0" applyFont="1" applyBorder="1" applyAlignment="1" applyProtection="1">
      <alignment horizontal="left" vertical="center"/>
      <protection hidden="1"/>
    </xf>
    <xf numFmtId="0" fontId="5" fillId="0" borderId="39" xfId="0" applyFont="1" applyBorder="1" applyAlignment="1" applyProtection="1">
      <alignment horizontal="left" vertical="center"/>
      <protection hidden="1"/>
    </xf>
    <xf numFmtId="37" fontId="4" fillId="0" borderId="82" xfId="0" applyNumberFormat="1" applyFont="1" applyFill="1" applyBorder="1" applyAlignment="1" applyProtection="1">
      <alignment horizontal="left" vertical="center"/>
      <protection locked="0"/>
    </xf>
    <xf numFmtId="37" fontId="4" fillId="0" borderId="48" xfId="0" applyNumberFormat="1" applyFont="1" applyFill="1" applyBorder="1" applyAlignment="1" applyProtection="1">
      <alignment horizontal="left" vertical="center"/>
      <protection locked="0"/>
    </xf>
    <xf numFmtId="37" fontId="4" fillId="0" borderId="63" xfId="0" applyNumberFormat="1" applyFont="1" applyFill="1" applyBorder="1" applyAlignment="1" applyProtection="1">
      <alignment horizontal="left" vertical="center"/>
      <protection locked="0"/>
    </xf>
    <xf numFmtId="37" fontId="4" fillId="0" borderId="25" xfId="0" applyNumberFormat="1" applyFont="1" applyFill="1" applyBorder="1" applyAlignment="1" applyProtection="1">
      <alignment vertical="center"/>
      <protection locked="0"/>
    </xf>
    <xf numFmtId="0" fontId="0" fillId="0" borderId="13" xfId="0" applyBorder="1" applyAlignment="1">
      <alignment vertical="center"/>
    </xf>
    <xf numFmtId="0" fontId="0" fillId="0" borderId="79" xfId="0" applyBorder="1" applyAlignment="1">
      <alignment vertical="center"/>
    </xf>
    <xf numFmtId="37" fontId="4" fillId="0" borderId="40" xfId="0" applyNumberFormat="1" applyFont="1" applyFill="1" applyBorder="1" applyAlignment="1" applyProtection="1">
      <alignment vertical="center"/>
      <protection locked="0"/>
    </xf>
    <xf numFmtId="0" fontId="0" fillId="0" borderId="18" xfId="0" applyBorder="1" applyAlignment="1">
      <alignment vertical="center"/>
    </xf>
    <xf numFmtId="0" fontId="0" fillId="0" borderId="65" xfId="0" applyBorder="1" applyAlignment="1">
      <alignment vertical="center"/>
    </xf>
    <xf numFmtId="37" fontId="4" fillId="0" borderId="82" xfId="0" applyNumberFormat="1" applyFont="1" applyFill="1" applyBorder="1" applyAlignment="1" applyProtection="1">
      <alignment vertical="center"/>
      <protection locked="0"/>
    </xf>
    <xf numFmtId="0" fontId="0" fillId="0" borderId="48" xfId="0" applyBorder="1" applyAlignment="1">
      <alignment vertical="center"/>
    </xf>
    <xf numFmtId="0" fontId="0" fillId="0" borderId="63" xfId="0" applyBorder="1" applyAlignment="1">
      <alignment vertical="center"/>
    </xf>
    <xf numFmtId="0" fontId="4" fillId="0" borderId="0" xfId="0" applyNumberFormat="1" applyFont="1" applyAlignment="1" applyProtection="1">
      <alignment vertical="center" wrapText="1"/>
      <protection hidden="1"/>
    </xf>
    <xf numFmtId="0" fontId="0" fillId="0" borderId="0" xfId="0" applyAlignment="1" applyProtection="1">
      <alignment vertical="center" wrapText="1"/>
      <protection hidden="1"/>
    </xf>
    <xf numFmtId="0" fontId="4" fillId="0" borderId="0" xfId="0" applyNumberFormat="1" applyFont="1" applyAlignment="1" applyProtection="1">
      <alignment horizontal="justify" vertical="top" wrapText="1"/>
      <protection/>
    </xf>
    <xf numFmtId="0" fontId="4" fillId="0" borderId="0" xfId="0" applyFont="1" applyAlignment="1" applyProtection="1" quotePrefix="1">
      <alignment horizontal="justify" vertical="top" wrapText="1"/>
      <protection hidden="1"/>
    </xf>
    <xf numFmtId="0" fontId="4" fillId="0" borderId="0" xfId="0" applyFont="1" applyAlignment="1" applyProtection="1">
      <alignment horizontal="justify" vertical="top" wrapText="1"/>
      <protection hidden="1"/>
    </xf>
    <xf numFmtId="0" fontId="5" fillId="0" borderId="0" xfId="0" applyFont="1" applyAlignment="1" applyProtection="1">
      <alignment horizontal="justify" vertical="top" wrapText="1"/>
      <protection hidden="1"/>
    </xf>
    <xf numFmtId="0" fontId="4" fillId="0" borderId="0" xfId="0" applyFont="1" applyAlignment="1" applyProtection="1" quotePrefix="1">
      <alignment horizontal="justify" vertical="top"/>
      <protection hidden="1"/>
    </xf>
    <xf numFmtId="0" fontId="4" fillId="0" borderId="0" xfId="0" applyFont="1" applyAlignment="1" applyProtection="1">
      <alignment horizontal="justify" vertical="top"/>
      <protection hidden="1"/>
    </xf>
    <xf numFmtId="0" fontId="4" fillId="0" borderId="0" xfId="0" applyFont="1" applyAlignment="1" applyProtection="1">
      <alignment horizontal="left" vertical="top" wrapText="1"/>
      <protection hidden="1"/>
    </xf>
    <xf numFmtId="0" fontId="0" fillId="0" borderId="0" xfId="0" applyAlignment="1" applyProtection="1">
      <alignment horizontal="justify" vertical="top" wrapText="1"/>
      <protection hidden="1"/>
    </xf>
    <xf numFmtId="0" fontId="4" fillId="0" borderId="0" xfId="0" applyFont="1" applyAlignment="1" applyProtection="1" quotePrefix="1">
      <alignment horizontal="left" vertical="top" wrapText="1"/>
      <protection hidden="1"/>
    </xf>
    <xf numFmtId="0" fontId="5" fillId="0" borderId="0" xfId="0" applyFont="1" applyAlignment="1" applyProtection="1">
      <alignment horizontal="left" vertical="top" wrapText="1"/>
      <protection hidden="1"/>
    </xf>
    <xf numFmtId="0" fontId="5" fillId="0" borderId="0" xfId="0" applyNumberFormat="1" applyFont="1" applyAlignment="1" applyProtection="1">
      <alignment horizontal="left" vertical="top" wrapText="1"/>
      <protection hidden="1"/>
    </xf>
    <xf numFmtId="0" fontId="4" fillId="0" borderId="0" xfId="0" applyNumberFormat="1" applyFont="1" applyAlignment="1" applyProtection="1">
      <alignment horizontal="left" vertical="top" wrapText="1"/>
      <protection hidden="1"/>
    </xf>
    <xf numFmtId="0" fontId="0" fillId="0" borderId="0" xfId="0" applyFont="1" applyAlignment="1" applyProtection="1">
      <alignment horizontal="left" wrapText="1"/>
      <protection/>
    </xf>
    <xf numFmtId="0" fontId="4" fillId="0" borderId="0" xfId="0" applyNumberFormat="1" applyFont="1" applyAlignment="1" applyProtection="1">
      <alignment horizontal="left" vertical="top" wrapText="1"/>
      <protection/>
    </xf>
    <xf numFmtId="0" fontId="4" fillId="0" borderId="0" xfId="0" applyNumberFormat="1" applyFont="1" applyAlignment="1" applyProtection="1">
      <alignment horizontal="left" wrapText="1"/>
      <protection/>
    </xf>
    <xf numFmtId="0" fontId="4" fillId="0" borderId="0" xfId="0" applyNumberFormat="1" applyFont="1" applyAlignment="1" applyProtection="1">
      <alignment horizontal="justify" vertical="top" wrapText="1"/>
      <protection hidden="1"/>
    </xf>
    <xf numFmtId="0" fontId="4" fillId="0" borderId="0" xfId="0" applyNumberFormat="1" applyFont="1" applyBorder="1" applyAlignment="1" applyProtection="1">
      <alignment horizontal="left" vertical="top" wrapText="1"/>
      <protection hidden="1"/>
    </xf>
    <xf numFmtId="0" fontId="4" fillId="0" borderId="0" xfId="0" applyNumberFormat="1" applyFont="1" applyAlignment="1" applyProtection="1">
      <alignment wrapText="1"/>
      <protection/>
    </xf>
    <xf numFmtId="0" fontId="5" fillId="3" borderId="25" xfId="0" applyFont="1" applyFill="1" applyBorder="1" applyAlignment="1">
      <alignment horizontal="left"/>
    </xf>
    <xf numFmtId="0" fontId="5" fillId="3" borderId="13" xfId="0" applyFont="1" applyFill="1" applyBorder="1" applyAlignment="1">
      <alignment horizontal="left"/>
    </xf>
    <xf numFmtId="0" fontId="5" fillId="3" borderId="17" xfId="0" applyFont="1" applyFill="1" applyBorder="1" applyAlignment="1">
      <alignment horizontal="left"/>
    </xf>
    <xf numFmtId="0" fontId="5" fillId="3" borderId="50" xfId="0" applyFont="1" applyFill="1" applyBorder="1" applyAlignment="1">
      <alignment horizontal="center"/>
    </xf>
    <xf numFmtId="0" fontId="4" fillId="3" borderId="37" xfId="0" applyFont="1" applyFill="1" applyBorder="1" applyAlignment="1">
      <alignment horizontal="center"/>
    </xf>
    <xf numFmtId="0" fontId="5" fillId="3" borderId="51" xfId="0" applyNumberFormat="1" applyFont="1" applyFill="1" applyBorder="1" applyAlignment="1">
      <alignment horizontal="center"/>
    </xf>
    <xf numFmtId="0" fontId="4" fillId="3" borderId="22" xfId="0" applyFont="1" applyFill="1" applyBorder="1" applyAlignment="1">
      <alignment horizontal="center"/>
    </xf>
    <xf numFmtId="0" fontId="5" fillId="3" borderId="51" xfId="0" applyFont="1" applyFill="1" applyBorder="1" applyAlignment="1">
      <alignment horizontal="center"/>
    </xf>
    <xf numFmtId="0" fontId="5" fillId="3" borderId="22" xfId="0" applyFont="1" applyFill="1" applyBorder="1" applyAlignment="1">
      <alignment horizontal="center"/>
    </xf>
    <xf numFmtId="0" fontId="4" fillId="0" borderId="25" xfId="0" applyFont="1" applyBorder="1" applyAlignment="1">
      <alignment horizontal="left"/>
    </xf>
    <xf numFmtId="0" fontId="4" fillId="0" borderId="13" xfId="0" applyFont="1" applyBorder="1" applyAlignment="1">
      <alignment horizontal="left"/>
    </xf>
    <xf numFmtId="0" fontId="4" fillId="0" borderId="17" xfId="0" applyFont="1" applyBorder="1" applyAlignment="1">
      <alignment horizontal="left"/>
    </xf>
    <xf numFmtId="169" fontId="5" fillId="3" borderId="50" xfId="0" applyNumberFormat="1" applyFont="1" applyFill="1" applyBorder="1" applyAlignment="1">
      <alignment horizontal="center"/>
    </xf>
    <xf numFmtId="0" fontId="4" fillId="0" borderId="0" xfId="0" applyFont="1" applyAlignment="1">
      <alignment horizontal="left" vertical="top" wrapText="1"/>
    </xf>
    <xf numFmtId="37" fontId="5" fillId="3" borderId="16"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left" vertical="center"/>
      <protection hidden="1"/>
    </xf>
    <xf numFmtId="0" fontId="4" fillId="0" borderId="23" xfId="0" applyFont="1" applyBorder="1" applyAlignment="1">
      <alignment horizontal="left"/>
    </xf>
    <xf numFmtId="0" fontId="4" fillId="0" borderId="25" xfId="0" applyFont="1" applyBorder="1" applyAlignment="1" applyProtection="1">
      <alignment horizontal="left"/>
      <protection/>
    </xf>
    <xf numFmtId="0" fontId="4" fillId="0" borderId="17" xfId="0" applyFont="1" applyBorder="1" applyAlignment="1" applyProtection="1">
      <alignment horizontal="left"/>
      <protection/>
    </xf>
    <xf numFmtId="37" fontId="5" fillId="3" borderId="25" xfId="0" applyNumberFormat="1" applyFont="1" applyFill="1" applyBorder="1" applyAlignment="1" applyProtection="1">
      <alignment horizontal="left"/>
      <protection hidden="1"/>
    </xf>
    <xf numFmtId="37" fontId="5" fillId="3" borderId="13" xfId="0" applyNumberFormat="1" applyFont="1" applyFill="1" applyBorder="1" applyAlignment="1" applyProtection="1">
      <alignment horizontal="left"/>
      <protection hidden="1"/>
    </xf>
    <xf numFmtId="37" fontId="5" fillId="3" borderId="17" xfId="0" applyNumberFormat="1" applyFont="1" applyFill="1" applyBorder="1" applyAlignment="1" applyProtection="1">
      <alignment horizontal="left"/>
      <protection hidden="1"/>
    </xf>
    <xf numFmtId="37" fontId="4" fillId="0" borderId="25" xfId="0" applyNumberFormat="1" applyFont="1" applyFill="1" applyBorder="1" applyAlignment="1" applyProtection="1">
      <alignment horizontal="left"/>
      <protection hidden="1"/>
    </xf>
    <xf numFmtId="37" fontId="4" fillId="0" borderId="17" xfId="0" applyNumberFormat="1" applyFont="1" applyFill="1" applyBorder="1" applyAlignment="1" applyProtection="1">
      <alignment horizontal="left"/>
      <protection hidden="1"/>
    </xf>
    <xf numFmtId="179" fontId="4" fillId="0" borderId="25" xfId="34" applyFont="1" applyFill="1" applyBorder="1" applyAlignment="1" applyProtection="1">
      <alignment horizontal="left"/>
      <protection locked="0"/>
    </xf>
    <xf numFmtId="0" fontId="0" fillId="0" borderId="17" xfId="0" applyBorder="1" applyAlignment="1">
      <alignment horizontal="left"/>
    </xf>
    <xf numFmtId="179" fontId="4" fillId="0" borderId="25" xfId="34" applyFont="1" applyFill="1" applyBorder="1" applyAlignment="1" applyProtection="1">
      <alignment horizontal="center"/>
      <protection locked="0"/>
    </xf>
    <xf numFmtId="179" fontId="4" fillId="0" borderId="13" xfId="34" applyFont="1" applyFill="1" applyBorder="1" applyAlignment="1" applyProtection="1">
      <alignment horizontal="center"/>
      <protection locked="0"/>
    </xf>
    <xf numFmtId="179" fontId="4" fillId="0" borderId="17" xfId="34" applyFont="1" applyFill="1" applyBorder="1" applyAlignment="1" applyProtection="1">
      <alignment horizontal="center"/>
      <protection locked="0"/>
    </xf>
    <xf numFmtId="0" fontId="5" fillId="3" borderId="21" xfId="0" applyFont="1" applyFill="1" applyBorder="1" applyAlignment="1">
      <alignment horizontal="center" wrapText="1" shrinkToFit="1"/>
    </xf>
    <xf numFmtId="0" fontId="5" fillId="3" borderId="2" xfId="0" applyFont="1" applyFill="1" applyBorder="1" applyAlignment="1">
      <alignment horizontal="center" wrapText="1" shrinkToFit="1"/>
    </xf>
    <xf numFmtId="0" fontId="5" fillId="3" borderId="14" xfId="0" applyFont="1" applyFill="1" applyBorder="1" applyAlignment="1">
      <alignment horizontal="center" wrapText="1" shrinkToFit="1"/>
    </xf>
    <xf numFmtId="0" fontId="5" fillId="3" borderId="21"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5" fillId="3" borderId="14" xfId="0" applyFont="1" applyFill="1" applyBorder="1" applyAlignment="1">
      <alignment horizontal="center" vertical="center" wrapText="1" shrinkToFit="1"/>
    </xf>
    <xf numFmtId="0" fontId="5" fillId="3" borderId="21" xfId="0" applyFont="1" applyFill="1" applyBorder="1" applyAlignment="1">
      <alignment horizontal="center" wrapText="1"/>
    </xf>
    <xf numFmtId="0" fontId="5" fillId="3" borderId="2" xfId="0" applyFont="1" applyFill="1" applyBorder="1" applyAlignment="1">
      <alignment horizontal="center" wrapText="1"/>
    </xf>
    <xf numFmtId="0" fontId="5" fillId="3" borderId="14" xfId="0" applyFont="1" applyFill="1" applyBorder="1" applyAlignment="1">
      <alignment horizontal="center" wrapText="1"/>
    </xf>
    <xf numFmtId="178" fontId="0" fillId="3" borderId="23" xfId="0" applyNumberFormat="1" applyFill="1" applyBorder="1" applyAlignment="1">
      <alignment horizontal="center"/>
    </xf>
    <xf numFmtId="0" fontId="0" fillId="3" borderId="23" xfId="0" applyFill="1" applyBorder="1" applyAlignment="1">
      <alignment horizontal="center"/>
    </xf>
    <xf numFmtId="0" fontId="5" fillId="3" borderId="16" xfId="0" applyFont="1" applyFill="1" applyBorder="1" applyAlignment="1" applyProtection="1">
      <alignment horizontal="left" vertical="center"/>
      <protection hidden="1"/>
    </xf>
    <xf numFmtId="0" fontId="5" fillId="3" borderId="7" xfId="0" applyFont="1" applyFill="1" applyBorder="1" applyAlignment="1" applyProtection="1">
      <alignment horizontal="left" vertical="center"/>
      <protection hidden="1"/>
    </xf>
    <xf numFmtId="0" fontId="5" fillId="3" borderId="16"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49" fontId="5" fillId="0" borderId="32" xfId="0" applyNumberFormat="1" applyFont="1" applyFill="1" applyBorder="1" applyAlignment="1" applyProtection="1">
      <alignment wrapText="1"/>
      <protection locked="0"/>
    </xf>
    <xf numFmtId="0" fontId="5" fillId="0" borderId="18" xfId="0" applyFont="1" applyBorder="1" applyAlignment="1" applyProtection="1">
      <alignment wrapText="1"/>
      <protection locked="0"/>
    </xf>
    <xf numFmtId="171" fontId="4" fillId="0" borderId="40" xfId="0" applyNumberFormat="1" applyFont="1" applyFill="1" applyBorder="1" applyAlignment="1" applyProtection="1">
      <alignment horizontal="right"/>
      <protection locked="0"/>
    </xf>
    <xf numFmtId="171" fontId="4" fillId="0" borderId="19" xfId="0" applyNumberFormat="1" applyFont="1" applyFill="1" applyBorder="1" applyAlignment="1" applyProtection="1">
      <alignment horizontal="right"/>
      <protection locked="0"/>
    </xf>
    <xf numFmtId="49" fontId="5" fillId="0" borderId="25" xfId="0" applyNumberFormat="1" applyFont="1" applyFill="1" applyBorder="1" applyAlignment="1" applyProtection="1">
      <alignment horizontal="left" wrapText="1"/>
      <protection locked="0"/>
    </xf>
    <xf numFmtId="49" fontId="5" fillId="0" borderId="13" xfId="0" applyNumberFormat="1" applyFont="1" applyFill="1" applyBorder="1" applyAlignment="1" applyProtection="1">
      <alignment horizontal="left" wrapText="1"/>
      <protection locked="0"/>
    </xf>
    <xf numFmtId="49" fontId="5" fillId="0" borderId="17" xfId="0" applyNumberFormat="1" applyFont="1" applyFill="1" applyBorder="1" applyAlignment="1" applyProtection="1">
      <alignment horizontal="left" wrapText="1"/>
      <protection locked="0"/>
    </xf>
    <xf numFmtId="0" fontId="5" fillId="3" borderId="16" xfId="0" applyFont="1" applyFill="1" applyBorder="1" applyAlignment="1" applyProtection="1">
      <alignment vertical="center" wrapText="1"/>
      <protection hidden="1"/>
    </xf>
    <xf numFmtId="0" fontId="4" fillId="0" borderId="7" xfId="0" applyFont="1" applyBorder="1" applyAlignment="1" applyProtection="1">
      <alignment/>
      <protection hidden="1"/>
    </xf>
    <xf numFmtId="171" fontId="4" fillId="0" borderId="82" xfId="0" applyNumberFormat="1" applyFont="1" applyFill="1" applyBorder="1" applyAlignment="1" applyProtection="1">
      <alignment horizontal="right"/>
      <protection locked="0"/>
    </xf>
    <xf numFmtId="171" fontId="4" fillId="0" borderId="39" xfId="0" applyNumberFormat="1" applyFont="1" applyFill="1" applyBorder="1" applyAlignment="1" applyProtection="1">
      <alignment horizontal="right"/>
      <protection locked="0"/>
    </xf>
    <xf numFmtId="49" fontId="5" fillId="0" borderId="48" xfId="0" applyNumberFormat="1" applyFont="1" applyFill="1" applyBorder="1" applyAlignment="1" applyProtection="1">
      <alignment wrapText="1"/>
      <protection locked="0"/>
    </xf>
    <xf numFmtId="0" fontId="5" fillId="0" borderId="48" xfId="0" applyFont="1" applyBorder="1" applyAlignment="1" applyProtection="1">
      <alignment wrapText="1"/>
      <protection locked="0"/>
    </xf>
    <xf numFmtId="178" fontId="4" fillId="0" borderId="25" xfId="34" applyNumberFormat="1" applyFont="1" applyFill="1" applyBorder="1" applyAlignment="1" applyProtection="1">
      <alignment horizontal="center"/>
      <protection locked="0"/>
    </xf>
    <xf numFmtId="178" fontId="4" fillId="0" borderId="17" xfId="34" applyNumberFormat="1" applyFont="1" applyFill="1" applyBorder="1" applyAlignment="1" applyProtection="1">
      <alignment horizontal="center"/>
      <protection locked="0"/>
    </xf>
    <xf numFmtId="0" fontId="5" fillId="3" borderId="50" xfId="0" applyFont="1" applyFill="1" applyBorder="1" applyAlignment="1" applyProtection="1">
      <alignment horizontal="center" vertical="center"/>
      <protection hidden="1"/>
    </xf>
    <xf numFmtId="0" fontId="5" fillId="3" borderId="37" xfId="0" applyFont="1" applyFill="1" applyBorder="1" applyAlignment="1" applyProtection="1">
      <alignment horizontal="center" vertical="center"/>
      <protection hidden="1"/>
    </xf>
    <xf numFmtId="190" fontId="5" fillId="3" borderId="51" xfId="0" applyNumberFormat="1" applyFont="1" applyFill="1" applyBorder="1" applyAlignment="1" applyProtection="1">
      <alignment horizontal="center" vertical="center"/>
      <protection hidden="1"/>
    </xf>
    <xf numFmtId="190" fontId="5" fillId="3" borderId="22" xfId="0" applyNumberFormat="1" applyFont="1" applyFill="1" applyBorder="1" applyAlignment="1" applyProtection="1">
      <alignment horizontal="center" vertical="center"/>
      <protection hidden="1"/>
    </xf>
    <xf numFmtId="178" fontId="4" fillId="0" borderId="82" xfId="34" applyNumberFormat="1" applyFont="1" applyFill="1" applyBorder="1" applyAlignment="1" applyProtection="1">
      <alignment horizontal="center"/>
      <protection locked="0"/>
    </xf>
    <xf numFmtId="178" fontId="4" fillId="0" borderId="39" xfId="34" applyNumberFormat="1" applyFont="1" applyFill="1" applyBorder="1" applyAlignment="1" applyProtection="1">
      <alignment horizontal="center"/>
      <protection locked="0"/>
    </xf>
    <xf numFmtId="178" fontId="5" fillId="3" borderId="25" xfId="34" applyNumberFormat="1" applyFont="1" applyFill="1" applyBorder="1" applyAlignment="1" applyProtection="1">
      <alignment horizontal="center"/>
      <protection/>
    </xf>
    <xf numFmtId="178" fontId="5" fillId="3" borderId="17" xfId="34" applyNumberFormat="1" applyFont="1" applyFill="1" applyBorder="1" applyAlignment="1" applyProtection="1">
      <alignment horizontal="center"/>
      <protection/>
    </xf>
    <xf numFmtId="37" fontId="5" fillId="3" borderId="16" xfId="0" applyNumberFormat="1" applyFont="1" applyFill="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37" fontId="5" fillId="3" borderId="16" xfId="0" applyNumberFormat="1" applyFont="1" applyFill="1" applyBorder="1" applyAlignment="1" applyProtection="1">
      <alignment horizontal="center" vertical="center"/>
      <protection hidden="1"/>
    </xf>
    <xf numFmtId="37" fontId="5" fillId="3" borderId="7" xfId="0" applyNumberFormat="1" applyFont="1" applyFill="1" applyBorder="1" applyAlignment="1" applyProtection="1">
      <alignment horizontal="center" vertical="center"/>
      <protection hidden="1"/>
    </xf>
    <xf numFmtId="0" fontId="5" fillId="3" borderId="23" xfId="0" applyFont="1" applyFill="1" applyBorder="1" applyAlignment="1">
      <alignment horizontal="left"/>
    </xf>
    <xf numFmtId="0" fontId="4" fillId="0" borderId="24" xfId="0" applyFont="1" applyBorder="1" applyAlignment="1">
      <alignment horizontal="left"/>
    </xf>
    <xf numFmtId="169" fontId="4" fillId="9" borderId="23" xfId="0" applyNumberFormat="1" applyFont="1" applyFill="1" applyBorder="1" applyAlignment="1" applyProtection="1">
      <alignment horizontal="center"/>
      <protection hidden="1"/>
    </xf>
    <xf numFmtId="37" fontId="5" fillId="8" borderId="52" xfId="0" applyNumberFormat="1" applyFont="1" applyFill="1" applyBorder="1" applyAlignment="1">
      <alignment horizontal="center"/>
    </xf>
    <xf numFmtId="37" fontId="5" fillId="8" borderId="0" xfId="0" applyNumberFormat="1" applyFont="1" applyFill="1" applyBorder="1" applyAlignment="1">
      <alignment horizontal="center"/>
    </xf>
    <xf numFmtId="37" fontId="5" fillId="8" borderId="31" xfId="0" applyNumberFormat="1" applyFont="1" applyFill="1" applyBorder="1" applyAlignment="1">
      <alignment horizontal="center"/>
    </xf>
    <xf numFmtId="37" fontId="5" fillId="8" borderId="75" xfId="0" applyNumberFormat="1" applyFont="1" applyFill="1" applyBorder="1" applyAlignment="1">
      <alignment horizontal="center"/>
    </xf>
    <xf numFmtId="37" fontId="5" fillId="8" borderId="26" xfId="0" applyNumberFormat="1" applyFont="1" applyFill="1" applyBorder="1" applyAlignment="1">
      <alignment horizontal="center"/>
    </xf>
    <xf numFmtId="37" fontId="5" fillId="8" borderId="47" xfId="0" applyNumberFormat="1" applyFont="1" applyFill="1" applyBorder="1" applyAlignment="1">
      <alignment horizontal="center"/>
    </xf>
    <xf numFmtId="37" fontId="5" fillId="3" borderId="50" xfId="0" applyNumberFormat="1"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wrapText="1"/>
      <protection hidden="1"/>
    </xf>
    <xf numFmtId="37" fontId="5" fillId="3" borderId="50" xfId="0" applyNumberFormat="1" applyFont="1" applyFill="1" applyBorder="1" applyAlignment="1" applyProtection="1">
      <alignment horizontal="center" vertical="center"/>
      <protection hidden="1"/>
    </xf>
    <xf numFmtId="37" fontId="5" fillId="3" borderId="33" xfId="0" applyNumberFormat="1" applyFont="1" applyFill="1" applyBorder="1" applyAlignment="1" applyProtection="1">
      <alignment horizontal="center" vertical="center"/>
      <protection hidden="1"/>
    </xf>
    <xf numFmtId="37" fontId="5" fillId="3" borderId="37" xfId="0" applyNumberFormat="1" applyFont="1" applyFill="1" applyBorder="1" applyAlignment="1" applyProtection="1">
      <alignment horizontal="center" vertical="center"/>
      <protection hidden="1"/>
    </xf>
    <xf numFmtId="37" fontId="5" fillId="3" borderId="51" xfId="0" applyNumberFormat="1" applyFont="1" applyFill="1" applyBorder="1" applyAlignment="1" applyProtection="1">
      <alignment horizontal="center" vertical="center"/>
      <protection hidden="1"/>
    </xf>
    <xf numFmtId="37" fontId="5" fillId="3" borderId="6" xfId="0" applyNumberFormat="1" applyFont="1" applyFill="1" applyBorder="1" applyAlignment="1" applyProtection="1">
      <alignment horizontal="center" vertical="center"/>
      <protection hidden="1"/>
    </xf>
    <xf numFmtId="37" fontId="5" fillId="3" borderId="22" xfId="0" applyNumberFormat="1" applyFont="1" applyFill="1" applyBorder="1" applyAlignment="1" applyProtection="1">
      <alignment horizontal="center" vertical="center"/>
      <protection hidden="1"/>
    </xf>
    <xf numFmtId="0" fontId="4" fillId="0" borderId="25"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4" fillId="0" borderId="12" xfId="0" applyNumberFormat="1" applyFont="1" applyFill="1" applyBorder="1" applyAlignment="1" applyProtection="1">
      <alignment horizontal="left"/>
      <protection hidden="1"/>
    </xf>
    <xf numFmtId="179" fontId="2" fillId="0" borderId="13" xfId="34" applyFont="1" applyFill="1" applyBorder="1" applyAlignment="1" applyProtection="1">
      <alignment/>
      <protection/>
    </xf>
    <xf numFmtId="179" fontId="2" fillId="0" borderId="32" xfId="34" applyFont="1" applyFill="1" applyBorder="1" applyAlignment="1" applyProtection="1">
      <alignment/>
      <protection/>
    </xf>
    <xf numFmtId="179" fontId="2" fillId="0" borderId="13" xfId="34" applyFont="1" applyFill="1" applyBorder="1" applyAlignment="1" applyProtection="1">
      <alignment horizontal="right"/>
      <protection/>
    </xf>
    <xf numFmtId="179" fontId="2" fillId="0" borderId="32" xfId="34" applyFont="1" applyFill="1" applyBorder="1" applyAlignment="1" applyProtection="1">
      <alignment horizontal="right"/>
      <protection/>
    </xf>
    <xf numFmtId="3" fontId="3" fillId="3" borderId="16" xfId="0" applyNumberFormat="1"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3" fontId="3" fillId="3" borderId="5" xfId="0" applyNumberFormat="1" applyFont="1" applyFill="1" applyBorder="1" applyAlignment="1" applyProtection="1">
      <alignment horizontal="center" vertical="center" wrapText="1"/>
      <protection hidden="1"/>
    </xf>
    <xf numFmtId="3" fontId="3" fillId="3" borderId="7" xfId="0" applyNumberFormat="1" applyFont="1" applyFill="1" applyBorder="1" applyAlignment="1" applyProtection="1">
      <alignment horizontal="center" vertical="center" wrapText="1"/>
      <protection hidden="1"/>
    </xf>
    <xf numFmtId="0" fontId="0" fillId="3" borderId="16" xfId="33" applyFill="1" applyBorder="1" applyAlignment="1">
      <alignment horizontal="center"/>
      <protection/>
    </xf>
    <xf numFmtId="0" fontId="0" fillId="3" borderId="5" xfId="33" applyFill="1" applyBorder="1" applyAlignment="1">
      <alignment horizontal="center"/>
      <protection/>
    </xf>
    <xf numFmtId="0" fontId="0" fillId="3" borderId="7" xfId="33" applyFill="1" applyBorder="1" applyAlignment="1">
      <alignment horizontal="center"/>
      <protection/>
    </xf>
    <xf numFmtId="0" fontId="5" fillId="3" borderId="24" xfId="32" applyFont="1" applyFill="1" applyBorder="1" applyAlignment="1" applyProtection="1">
      <alignment horizontal="center" vertical="center"/>
      <protection hidden="1"/>
    </xf>
    <xf numFmtId="0" fontId="5" fillId="3" borderId="74" xfId="32" applyFont="1" applyFill="1" applyBorder="1" applyAlignment="1" applyProtection="1">
      <alignment horizontal="center" vertical="center"/>
      <protection hidden="1"/>
    </xf>
    <xf numFmtId="0" fontId="5" fillId="3" borderId="38" xfId="32" applyFont="1" applyFill="1" applyBorder="1" applyAlignment="1" applyProtection="1">
      <alignment horizontal="center" vertical="center"/>
      <protection hidden="1"/>
    </xf>
    <xf numFmtId="0" fontId="0" fillId="0" borderId="23" xfId="33" applyFont="1" applyBorder="1" applyAlignment="1">
      <alignment vertical="center" wrapText="1"/>
      <protection/>
    </xf>
    <xf numFmtId="0" fontId="0" fillId="0" borderId="23" xfId="33" applyBorder="1" applyAlignment="1">
      <alignment vertical="center" wrapText="1"/>
      <protection/>
    </xf>
    <xf numFmtId="0" fontId="0" fillId="0" borderId="83" xfId="33" applyBorder="1" applyAlignment="1">
      <alignment horizontal="center"/>
      <protection/>
    </xf>
    <xf numFmtId="0" fontId="4" fillId="0" borderId="21" xfId="33" applyFont="1" applyFill="1" applyBorder="1" applyAlignment="1" applyProtection="1">
      <alignment horizontal="center" vertical="center" wrapText="1"/>
      <protection locked="0"/>
    </xf>
    <xf numFmtId="0" fontId="4" fillId="0" borderId="2" xfId="33" applyFont="1" applyFill="1" applyBorder="1" applyAlignment="1" applyProtection="1">
      <alignment horizontal="center" vertical="center" wrapText="1"/>
      <protection locked="0"/>
    </xf>
    <xf numFmtId="0" fontId="0" fillId="0" borderId="0" xfId="33" applyAlignment="1">
      <alignment horizontal="center"/>
      <protection/>
    </xf>
    <xf numFmtId="0" fontId="4" fillId="0" borderId="16" xfId="33" applyFont="1" applyFill="1" applyBorder="1" applyAlignment="1" applyProtection="1">
      <alignment horizontal="center" vertical="center" wrapText="1"/>
      <protection locked="0"/>
    </xf>
    <xf numFmtId="0" fontId="4" fillId="0" borderId="14" xfId="33" applyFont="1" applyFill="1" applyBorder="1" applyAlignment="1" applyProtection="1">
      <alignment horizontal="center" vertical="center" wrapText="1"/>
      <protection locked="0"/>
    </xf>
    <xf numFmtId="0" fontId="4" fillId="0" borderId="50" xfId="33" applyFont="1" applyFill="1" applyBorder="1" applyAlignment="1" applyProtection="1">
      <alignment horizontal="center" vertical="center" wrapText="1"/>
      <protection locked="0"/>
    </xf>
    <xf numFmtId="0" fontId="4" fillId="0" borderId="64" xfId="33" applyFont="1" applyFill="1" applyBorder="1" applyAlignment="1" applyProtection="1">
      <alignment horizontal="center" vertical="center" wrapText="1"/>
      <protection locked="0"/>
    </xf>
    <xf numFmtId="0" fontId="4" fillId="0" borderId="51" xfId="33" applyFont="1" applyFill="1" applyBorder="1" applyAlignment="1" applyProtection="1">
      <alignment horizontal="center" vertical="center" wrapText="1"/>
      <protection locked="0"/>
    </xf>
    <xf numFmtId="0" fontId="5" fillId="3" borderId="24" xfId="33" applyFont="1" applyFill="1" applyBorder="1" applyAlignment="1" applyProtection="1">
      <alignment horizontal="center" vertical="center"/>
      <protection hidden="1"/>
    </xf>
    <xf numFmtId="0" fontId="5" fillId="3" borderId="74" xfId="33" applyFont="1" applyFill="1" applyBorder="1" applyAlignment="1" applyProtection="1">
      <alignment horizontal="center" vertical="center"/>
      <protection hidden="1"/>
    </xf>
    <xf numFmtId="0" fontId="5" fillId="3" borderId="38" xfId="33" applyFont="1" applyFill="1" applyBorder="1" applyAlignment="1" applyProtection="1">
      <alignment horizontal="center" vertical="center"/>
      <protection hidden="1"/>
    </xf>
    <xf numFmtId="0" fontId="0" fillId="0" borderId="52" xfId="33" applyFont="1" applyBorder="1" applyAlignment="1">
      <alignment vertical="center" wrapText="1"/>
      <protection/>
    </xf>
    <xf numFmtId="0" fontId="0" fillId="0" borderId="0" xfId="0" applyAlignment="1">
      <alignment vertical="center" wrapText="1"/>
    </xf>
    <xf numFmtId="0" fontId="0" fillId="0" borderId="52" xfId="33" applyBorder="1" applyAlignment="1">
      <alignment vertical="center" wrapText="1"/>
      <protection/>
    </xf>
    <xf numFmtId="0" fontId="0" fillId="0" borderId="49" xfId="33" applyFont="1" applyBorder="1" applyAlignment="1">
      <alignment horizontal="left" vertical="center" wrapText="1"/>
      <protection/>
    </xf>
    <xf numFmtId="0" fontId="0" fillId="0" borderId="52" xfId="33" applyFont="1" applyBorder="1" applyAlignment="1">
      <alignment horizontal="left" vertical="center" wrapText="1"/>
      <protection/>
    </xf>
    <xf numFmtId="0" fontId="0" fillId="0" borderId="75" xfId="33" applyFont="1" applyBorder="1" applyAlignment="1">
      <alignment horizontal="left" vertical="center" wrapText="1"/>
      <protection/>
    </xf>
  </cellXfs>
  <cellStyles count="31">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Nacalculatieformulier 2002" xfId="33"/>
    <cellStyle name="Tabelstandaard" xfId="34"/>
    <cellStyle name="Tabelstandaard financieel" xfId="35"/>
    <cellStyle name="Tabelstandaard negatief" xfId="36"/>
    <cellStyle name="Tabelstandaard Totaal" xfId="37"/>
    <cellStyle name="Tabelstandaard Totaal Negatief" xfId="38"/>
    <cellStyle name="Table  - Opmaakprofiel6" xfId="39"/>
    <cellStyle name="Title  - Opmaakprofiel1" xfId="40"/>
    <cellStyle name="TotCol - Opmaakprofiel5" xfId="41"/>
    <cellStyle name="TotRow - Opmaakprofiel4" xfId="42"/>
    <cellStyle name="Currency" xfId="43"/>
    <cellStyle name="Currency [0]" xfId="44"/>
  </cellStyles>
  <dxfs count="4">
    <dxf>
      <fill>
        <patternFill>
          <bgColor rgb="FFFFCC99"/>
        </patternFill>
      </fill>
      <border/>
    </dxf>
    <dxf>
      <fill>
        <patternFill>
          <bgColor rgb="FFFFFFCC"/>
        </patternFill>
      </fill>
      <border/>
    </dxf>
    <dxf>
      <font>
        <color auto="1"/>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wmf" /></Relationships>
</file>

<file path=xl/drawings/_rels/drawing1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2.xml.rels><?xml version="1.0" encoding="utf-8" standalone="yes"?><Relationships xmlns="http://schemas.openxmlformats.org/package/2006/relationships"><Relationship Id="rId1" Type="http://schemas.openxmlformats.org/officeDocument/2006/relationships/image" Target="../media/image2.wmf" /></Relationships>
</file>

<file path=xl/drawings/_rels/drawing13.xml.rels><?xml version="1.0" encoding="utf-8" standalone="yes"?><Relationships xmlns="http://schemas.openxmlformats.org/package/2006/relationships"><Relationship Id="rId1" Type="http://schemas.openxmlformats.org/officeDocument/2006/relationships/image" Target="../media/image2.wmf" /></Relationships>
</file>

<file path=xl/drawings/_rels/drawing14.xml.rels><?xml version="1.0" encoding="utf-8" standalone="yes"?><Relationships xmlns="http://schemas.openxmlformats.org/package/2006/relationships"><Relationship Id="rId1" Type="http://schemas.openxmlformats.org/officeDocument/2006/relationships/image" Target="../media/image2.wmf" /></Relationships>
</file>

<file path=xl/drawings/_rels/drawing15.xml.rels><?xml version="1.0" encoding="utf-8" standalone="yes"?><Relationships xmlns="http://schemas.openxmlformats.org/package/2006/relationships"><Relationship Id="rId1" Type="http://schemas.openxmlformats.org/officeDocument/2006/relationships/image" Target="../media/image2.wmf" /></Relationships>
</file>

<file path=xl/drawings/_rels/drawing16.xml.rels><?xml version="1.0" encoding="utf-8" standalone="yes"?><Relationships xmlns="http://schemas.openxmlformats.org/package/2006/relationships"><Relationship Id="rId1" Type="http://schemas.openxmlformats.org/officeDocument/2006/relationships/image" Target="../media/image2.wmf" /></Relationships>
</file>

<file path=xl/drawings/_rels/drawing17.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s>
</file>

<file path=xl/drawings/_rels/drawing7.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8.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9.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0</xdr:rowOff>
    </xdr:from>
    <xdr:to>
      <xdr:col>6</xdr:col>
      <xdr:colOff>0</xdr:colOff>
      <xdr:row>38</xdr:row>
      <xdr:rowOff>0</xdr:rowOff>
    </xdr:to>
    <xdr:grpSp>
      <xdr:nvGrpSpPr>
        <xdr:cNvPr id="1" name="Group 1"/>
        <xdr:cNvGrpSpPr>
          <a:grpSpLocks/>
        </xdr:cNvGrpSpPr>
      </xdr:nvGrpSpPr>
      <xdr:grpSpPr>
        <a:xfrm>
          <a:off x="4905375" y="6229350"/>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0</xdr:rowOff>
    </xdr:from>
    <xdr:to>
      <xdr:col>6</xdr:col>
      <xdr:colOff>0</xdr:colOff>
      <xdr:row>38</xdr:row>
      <xdr:rowOff>0</xdr:rowOff>
    </xdr:to>
    <xdr:grpSp>
      <xdr:nvGrpSpPr>
        <xdr:cNvPr id="5" name="Group 5"/>
        <xdr:cNvGrpSpPr>
          <a:grpSpLocks/>
        </xdr:cNvGrpSpPr>
      </xdr:nvGrpSpPr>
      <xdr:grpSpPr>
        <a:xfrm>
          <a:off x="4905375" y="6229350"/>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180975</xdr:colOff>
      <xdr:row>0</xdr:row>
      <xdr:rowOff>9525</xdr:rowOff>
    </xdr:from>
    <xdr:to>
      <xdr:col>13</xdr:col>
      <xdr:colOff>0</xdr:colOff>
      <xdr:row>2</xdr:row>
      <xdr:rowOff>0</xdr:rowOff>
    </xdr:to>
    <xdr:grpSp>
      <xdr:nvGrpSpPr>
        <xdr:cNvPr id="9" name="Group 9"/>
        <xdr:cNvGrpSpPr>
          <a:grpSpLocks/>
        </xdr:cNvGrpSpPr>
      </xdr:nvGrpSpPr>
      <xdr:grpSpPr>
        <a:xfrm>
          <a:off x="8086725" y="9525"/>
          <a:ext cx="180975" cy="390525"/>
          <a:chOff x="769" y="35"/>
          <a:chExt cx="110" cy="41"/>
        </a:xfrm>
        <a:solidFill>
          <a:srgbClr val="FFFFFF"/>
        </a:solidFill>
      </xdr:grpSpPr>
      <xdr:sp>
        <xdr:nvSpPr>
          <xdr:cNvPr id="10" name="Rectangle 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 name="Picture 12"/>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13" name="Rectangle 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4" name="Group 14"/>
        <xdr:cNvGrpSpPr>
          <a:grpSpLocks/>
        </xdr:cNvGrpSpPr>
      </xdr:nvGrpSpPr>
      <xdr:grpSpPr>
        <a:xfrm>
          <a:off x="7543800" y="6553200"/>
          <a:ext cx="0" cy="0"/>
          <a:chOff x="790" y="4"/>
          <a:chExt cx="90" cy="54"/>
        </a:xfrm>
        <a:solidFill>
          <a:srgbClr val="FFFFFF"/>
        </a:solidFill>
      </xdr:grpSpPr>
      <xdr:sp>
        <xdr:nvSpPr>
          <xdr:cNvPr id="15"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7"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8" name="Group 18"/>
        <xdr:cNvGrpSpPr>
          <a:grpSpLocks/>
        </xdr:cNvGrpSpPr>
      </xdr:nvGrpSpPr>
      <xdr:grpSpPr>
        <a:xfrm>
          <a:off x="7543800" y="6553200"/>
          <a:ext cx="0" cy="0"/>
          <a:chOff x="790" y="4"/>
          <a:chExt cx="90" cy="54"/>
        </a:xfrm>
        <a:solidFill>
          <a:srgbClr val="FFFFFF"/>
        </a:solidFill>
      </xdr:grpSpPr>
      <xdr:sp>
        <xdr:nvSpPr>
          <xdr:cNvPr id="19" name="Rectangle 1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2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2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2" name="Group 22"/>
        <xdr:cNvGrpSpPr>
          <a:grpSpLocks/>
        </xdr:cNvGrpSpPr>
      </xdr:nvGrpSpPr>
      <xdr:grpSpPr>
        <a:xfrm>
          <a:off x="4905375" y="6238875"/>
          <a:ext cx="0" cy="152400"/>
          <a:chOff x="769" y="35"/>
          <a:chExt cx="110" cy="41"/>
        </a:xfrm>
        <a:solidFill>
          <a:srgbClr val="FFFFFF"/>
        </a:solidFill>
      </xdr:grpSpPr>
      <xdr:sp>
        <xdr:nvSpPr>
          <xdr:cNvPr id="23" name="Rectangle 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25"/>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7" name="Group 27"/>
        <xdr:cNvGrpSpPr>
          <a:grpSpLocks/>
        </xdr:cNvGrpSpPr>
      </xdr:nvGrpSpPr>
      <xdr:grpSpPr>
        <a:xfrm>
          <a:off x="4905375" y="6238875"/>
          <a:ext cx="0" cy="152400"/>
          <a:chOff x="769" y="35"/>
          <a:chExt cx="110" cy="41"/>
        </a:xfrm>
        <a:solidFill>
          <a:srgbClr val="FFFFFF"/>
        </a:solidFill>
      </xdr:grpSpPr>
      <xdr:sp>
        <xdr:nvSpPr>
          <xdr:cNvPr id="28" name="Rectangle 2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 name="Picture 30"/>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31" name="Rectangle 3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2" name="Group 32"/>
        <xdr:cNvGrpSpPr>
          <a:grpSpLocks/>
        </xdr:cNvGrpSpPr>
      </xdr:nvGrpSpPr>
      <xdr:grpSpPr>
        <a:xfrm>
          <a:off x="3114675" y="43148250"/>
          <a:ext cx="9525" cy="0"/>
          <a:chOff x="790" y="4"/>
          <a:chExt cx="90" cy="54"/>
        </a:xfrm>
        <a:solidFill>
          <a:srgbClr val="FFFFFF"/>
        </a:solidFill>
      </xdr:grpSpPr>
      <xdr:sp>
        <xdr:nvSpPr>
          <xdr:cNvPr id="33" name="Rectangle 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4" name="Picture 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5" name="TextBox 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6" name="Group 36"/>
        <xdr:cNvGrpSpPr>
          <a:grpSpLocks/>
        </xdr:cNvGrpSpPr>
      </xdr:nvGrpSpPr>
      <xdr:grpSpPr>
        <a:xfrm>
          <a:off x="3114675" y="43148250"/>
          <a:ext cx="9525" cy="0"/>
          <a:chOff x="790" y="4"/>
          <a:chExt cx="90" cy="54"/>
        </a:xfrm>
        <a:solidFill>
          <a:srgbClr val="FFFFFF"/>
        </a:solidFill>
      </xdr:grpSpPr>
      <xdr:sp>
        <xdr:nvSpPr>
          <xdr:cNvPr id="37"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8"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9"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16</xdr:col>
      <xdr:colOff>657225</xdr:colOff>
      <xdr:row>350</xdr:row>
      <xdr:rowOff>0</xdr:rowOff>
    </xdr:from>
    <xdr:to>
      <xdr:col>18</xdr:col>
      <xdr:colOff>9525</xdr:colOff>
      <xdr:row>350</xdr:row>
      <xdr:rowOff>0</xdr:rowOff>
    </xdr:to>
    <xdr:grpSp>
      <xdr:nvGrpSpPr>
        <xdr:cNvPr id="40" name="Group 40"/>
        <xdr:cNvGrpSpPr>
          <a:grpSpLocks/>
        </xdr:cNvGrpSpPr>
      </xdr:nvGrpSpPr>
      <xdr:grpSpPr>
        <a:xfrm>
          <a:off x="10982325" y="56749950"/>
          <a:ext cx="590550" cy="0"/>
          <a:chOff x="769" y="35"/>
          <a:chExt cx="110" cy="41"/>
        </a:xfrm>
        <a:solidFill>
          <a:srgbClr val="FFFFFF"/>
        </a:solidFill>
      </xdr:grpSpPr>
      <xdr:sp>
        <xdr:nvSpPr>
          <xdr:cNvPr id="41" name="Rectangle 4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 name="Picture 43"/>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44" name="Rectangle 4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47625</xdr:rowOff>
    </xdr:from>
    <xdr:to>
      <xdr:col>8</xdr:col>
      <xdr:colOff>847725</xdr:colOff>
      <xdr:row>1</xdr:row>
      <xdr:rowOff>171450</xdr:rowOff>
    </xdr:to>
    <xdr:grpSp>
      <xdr:nvGrpSpPr>
        <xdr:cNvPr id="1" name="Group 28"/>
        <xdr:cNvGrpSpPr>
          <a:grpSpLocks/>
        </xdr:cNvGrpSpPr>
      </xdr:nvGrpSpPr>
      <xdr:grpSpPr>
        <a:xfrm>
          <a:off x="7715250" y="47625"/>
          <a:ext cx="847725" cy="323850"/>
          <a:chOff x="769" y="35"/>
          <a:chExt cx="110" cy="41"/>
        </a:xfrm>
        <a:solidFill>
          <a:srgbClr val="FFFFFF"/>
        </a:solidFill>
      </xdr:grpSpPr>
      <xdr:sp>
        <xdr:nvSpPr>
          <xdr:cNvPr id="2" name="Rectangle 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0</xdr:rowOff>
    </xdr:from>
    <xdr:to>
      <xdr:col>9</xdr:col>
      <xdr:colOff>361950</xdr:colOff>
      <xdr:row>0</xdr:row>
      <xdr:rowOff>0</xdr:rowOff>
    </xdr:to>
    <xdr:grpSp>
      <xdr:nvGrpSpPr>
        <xdr:cNvPr id="1" name="Group 1"/>
        <xdr:cNvGrpSpPr>
          <a:grpSpLocks/>
        </xdr:cNvGrpSpPr>
      </xdr:nvGrpSpPr>
      <xdr:grpSpPr>
        <a:xfrm>
          <a:off x="8582025" y="0"/>
          <a:ext cx="1181100" cy="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400050</xdr:colOff>
      <xdr:row>0</xdr:row>
      <xdr:rowOff>0</xdr:rowOff>
    </xdr:from>
    <xdr:to>
      <xdr:col>9</xdr:col>
      <xdr:colOff>361950</xdr:colOff>
      <xdr:row>0</xdr:row>
      <xdr:rowOff>0</xdr:rowOff>
    </xdr:to>
    <xdr:grpSp>
      <xdr:nvGrpSpPr>
        <xdr:cNvPr id="6" name="Group 6"/>
        <xdr:cNvGrpSpPr>
          <a:grpSpLocks/>
        </xdr:cNvGrpSpPr>
      </xdr:nvGrpSpPr>
      <xdr:grpSpPr>
        <a:xfrm>
          <a:off x="8582025" y="0"/>
          <a:ext cx="1181100" cy="0"/>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400050</xdr:colOff>
      <xdr:row>0</xdr:row>
      <xdr:rowOff>0</xdr:rowOff>
    </xdr:from>
    <xdr:to>
      <xdr:col>8</xdr:col>
      <xdr:colOff>57150</xdr:colOff>
      <xdr:row>2</xdr:row>
      <xdr:rowOff>0</xdr:rowOff>
    </xdr:to>
    <xdr:grpSp>
      <xdr:nvGrpSpPr>
        <xdr:cNvPr id="11" name="Group 21"/>
        <xdr:cNvGrpSpPr>
          <a:grpSpLocks/>
        </xdr:cNvGrpSpPr>
      </xdr:nvGrpSpPr>
      <xdr:grpSpPr>
        <a:xfrm>
          <a:off x="7600950" y="0"/>
          <a:ext cx="1247775" cy="323850"/>
          <a:chOff x="769" y="35"/>
          <a:chExt cx="110" cy="41"/>
        </a:xfrm>
        <a:solidFill>
          <a:srgbClr val="FFFFFF"/>
        </a:solidFill>
      </xdr:grpSpPr>
      <xdr:sp>
        <xdr:nvSpPr>
          <xdr:cNvPr id="12" name="Rectangle 2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2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2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2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32</xdr:row>
      <xdr:rowOff>0</xdr:rowOff>
    </xdr:from>
    <xdr:to>
      <xdr:col>0</xdr:col>
      <xdr:colOff>0</xdr:colOff>
      <xdr:row>32</xdr:row>
      <xdr:rowOff>0</xdr:rowOff>
    </xdr:to>
    <xdr:grpSp>
      <xdr:nvGrpSpPr>
        <xdr:cNvPr id="16" name="Group 28"/>
        <xdr:cNvGrpSpPr>
          <a:grpSpLocks/>
        </xdr:cNvGrpSpPr>
      </xdr:nvGrpSpPr>
      <xdr:grpSpPr>
        <a:xfrm>
          <a:off x="0" y="5181600"/>
          <a:ext cx="0" cy="0"/>
          <a:chOff x="769" y="35"/>
          <a:chExt cx="110" cy="41"/>
        </a:xfrm>
        <a:solidFill>
          <a:srgbClr val="FFFFFF"/>
        </a:solidFill>
      </xdr:grpSpPr>
      <xdr:sp>
        <xdr:nvSpPr>
          <xdr:cNvPr id="17" name="Rectangle 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32</xdr:row>
      <xdr:rowOff>0</xdr:rowOff>
    </xdr:from>
    <xdr:to>
      <xdr:col>0</xdr:col>
      <xdr:colOff>0</xdr:colOff>
      <xdr:row>32</xdr:row>
      <xdr:rowOff>0</xdr:rowOff>
    </xdr:to>
    <xdr:grpSp>
      <xdr:nvGrpSpPr>
        <xdr:cNvPr id="21" name="Group 33"/>
        <xdr:cNvGrpSpPr>
          <a:grpSpLocks/>
        </xdr:cNvGrpSpPr>
      </xdr:nvGrpSpPr>
      <xdr:grpSpPr>
        <a:xfrm>
          <a:off x="0" y="5181600"/>
          <a:ext cx="0" cy="0"/>
          <a:chOff x="769" y="35"/>
          <a:chExt cx="110" cy="41"/>
        </a:xfrm>
        <a:solidFill>
          <a:srgbClr val="FFFFFF"/>
        </a:solidFill>
      </xdr:grpSpPr>
      <xdr:sp>
        <xdr:nvSpPr>
          <xdr:cNvPr id="22" name="Rectangle 3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 name="Rectangle 3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3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5" name="Rectangle 3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904875</xdr:colOff>
      <xdr:row>1</xdr:row>
      <xdr:rowOff>190500</xdr:rowOff>
    </xdr:to>
    <xdr:grpSp>
      <xdr:nvGrpSpPr>
        <xdr:cNvPr id="1" name="Group 1"/>
        <xdr:cNvGrpSpPr>
          <a:grpSpLocks/>
        </xdr:cNvGrpSpPr>
      </xdr:nvGrpSpPr>
      <xdr:grpSpPr>
        <a:xfrm>
          <a:off x="7505700" y="0"/>
          <a:ext cx="876300" cy="390525"/>
          <a:chOff x="758" y="1"/>
          <a:chExt cx="110" cy="41"/>
        </a:xfrm>
        <a:solidFill>
          <a:srgbClr val="FFFFFF"/>
        </a:solidFill>
      </xdr:grpSpPr>
      <xdr:sp>
        <xdr:nvSpPr>
          <xdr:cNvPr id="2" name="Rectangle 2"/>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5"/>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9525</xdr:rowOff>
    </xdr:from>
    <xdr:to>
      <xdr:col>6</xdr:col>
      <xdr:colOff>47625</xdr:colOff>
      <xdr:row>2</xdr:row>
      <xdr:rowOff>0</xdr:rowOff>
    </xdr:to>
    <xdr:grpSp>
      <xdr:nvGrpSpPr>
        <xdr:cNvPr id="1" name="Group 56"/>
        <xdr:cNvGrpSpPr>
          <a:grpSpLocks/>
        </xdr:cNvGrpSpPr>
      </xdr:nvGrpSpPr>
      <xdr:grpSpPr>
        <a:xfrm>
          <a:off x="7362825" y="9525"/>
          <a:ext cx="990600" cy="390525"/>
          <a:chOff x="758" y="1"/>
          <a:chExt cx="110" cy="41"/>
        </a:xfrm>
        <a:solidFill>
          <a:srgbClr val="FFFFFF"/>
        </a:solidFill>
      </xdr:grpSpPr>
      <xdr:sp>
        <xdr:nvSpPr>
          <xdr:cNvPr id="2" name="Rectangle 57"/>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58"/>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59"/>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60"/>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9525</xdr:rowOff>
    </xdr:from>
    <xdr:to>
      <xdr:col>7</xdr:col>
      <xdr:colOff>0</xdr:colOff>
      <xdr:row>2</xdr:row>
      <xdr:rowOff>0</xdr:rowOff>
    </xdr:to>
    <xdr:grpSp>
      <xdr:nvGrpSpPr>
        <xdr:cNvPr id="1" name="Group 36"/>
        <xdr:cNvGrpSpPr>
          <a:grpSpLocks/>
        </xdr:cNvGrpSpPr>
      </xdr:nvGrpSpPr>
      <xdr:grpSpPr>
        <a:xfrm>
          <a:off x="7400925" y="9525"/>
          <a:ext cx="1047750" cy="390525"/>
          <a:chOff x="769" y="35"/>
          <a:chExt cx="110" cy="41"/>
        </a:xfrm>
        <a:solidFill>
          <a:srgbClr val="FFFFFF"/>
        </a:solidFill>
      </xdr:grpSpPr>
      <xdr:sp>
        <xdr:nvSpPr>
          <xdr:cNvPr id="2" name="Rectangle 3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3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4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152400</xdr:colOff>
      <xdr:row>46</xdr:row>
      <xdr:rowOff>123825</xdr:rowOff>
    </xdr:from>
    <xdr:to>
      <xdr:col>7</xdr:col>
      <xdr:colOff>19050</xdr:colOff>
      <xdr:row>47</xdr:row>
      <xdr:rowOff>123825</xdr:rowOff>
    </xdr:to>
    <xdr:grpSp>
      <xdr:nvGrpSpPr>
        <xdr:cNvPr id="6" name="Group 54"/>
        <xdr:cNvGrpSpPr>
          <a:grpSpLocks/>
        </xdr:cNvGrpSpPr>
      </xdr:nvGrpSpPr>
      <xdr:grpSpPr>
        <a:xfrm>
          <a:off x="7419975" y="7296150"/>
          <a:ext cx="1047750" cy="152400"/>
          <a:chOff x="769" y="35"/>
          <a:chExt cx="110" cy="41"/>
        </a:xfrm>
        <a:solidFill>
          <a:srgbClr val="FFFFFF"/>
        </a:solidFill>
      </xdr:grpSpPr>
      <xdr:sp>
        <xdr:nvSpPr>
          <xdr:cNvPr id="7" name="Rectangle 5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5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5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5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89</xdr:row>
      <xdr:rowOff>9525</xdr:rowOff>
    </xdr:from>
    <xdr:to>
      <xdr:col>7</xdr:col>
      <xdr:colOff>0</xdr:colOff>
      <xdr:row>91</xdr:row>
      <xdr:rowOff>0</xdr:rowOff>
    </xdr:to>
    <xdr:grpSp>
      <xdr:nvGrpSpPr>
        <xdr:cNvPr id="11" name="Group 79"/>
        <xdr:cNvGrpSpPr>
          <a:grpSpLocks/>
        </xdr:cNvGrpSpPr>
      </xdr:nvGrpSpPr>
      <xdr:grpSpPr>
        <a:xfrm>
          <a:off x="7400925" y="13773150"/>
          <a:ext cx="1047750" cy="295275"/>
          <a:chOff x="769" y="35"/>
          <a:chExt cx="110" cy="41"/>
        </a:xfrm>
        <a:solidFill>
          <a:srgbClr val="FFFFFF"/>
        </a:solidFill>
      </xdr:grpSpPr>
      <xdr:sp>
        <xdr:nvSpPr>
          <xdr:cNvPr id="12" name="Rectangle 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116</xdr:row>
      <xdr:rowOff>9525</xdr:rowOff>
    </xdr:from>
    <xdr:to>
      <xdr:col>7</xdr:col>
      <xdr:colOff>0</xdr:colOff>
      <xdr:row>118</xdr:row>
      <xdr:rowOff>0</xdr:rowOff>
    </xdr:to>
    <xdr:grpSp>
      <xdr:nvGrpSpPr>
        <xdr:cNvPr id="16" name="Group 84"/>
        <xdr:cNvGrpSpPr>
          <a:grpSpLocks/>
        </xdr:cNvGrpSpPr>
      </xdr:nvGrpSpPr>
      <xdr:grpSpPr>
        <a:xfrm>
          <a:off x="7400925" y="17887950"/>
          <a:ext cx="1047750" cy="295275"/>
          <a:chOff x="769" y="35"/>
          <a:chExt cx="110" cy="41"/>
        </a:xfrm>
        <a:solidFill>
          <a:srgbClr val="FFFFFF"/>
        </a:solidFill>
      </xdr:grpSpPr>
      <xdr:sp>
        <xdr:nvSpPr>
          <xdr:cNvPr id="17" name="Rectangle 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39</xdr:row>
      <xdr:rowOff>190500</xdr:rowOff>
    </xdr:from>
    <xdr:to>
      <xdr:col>19</xdr:col>
      <xdr:colOff>581025</xdr:colOff>
      <xdr:row>42</xdr:row>
      <xdr:rowOff>9525</xdr:rowOff>
    </xdr:to>
    <xdr:grpSp>
      <xdr:nvGrpSpPr>
        <xdr:cNvPr id="1" name="Group 41"/>
        <xdr:cNvGrpSpPr>
          <a:grpSpLocks/>
        </xdr:cNvGrpSpPr>
      </xdr:nvGrpSpPr>
      <xdr:grpSpPr>
        <a:xfrm>
          <a:off x="7867650" y="6581775"/>
          <a:ext cx="1085850" cy="419100"/>
          <a:chOff x="769" y="35"/>
          <a:chExt cx="110" cy="41"/>
        </a:xfrm>
        <a:solidFill>
          <a:srgbClr val="FFFFFF"/>
        </a:solidFill>
      </xdr:grpSpPr>
      <xdr:sp>
        <xdr:nvSpPr>
          <xdr:cNvPr id="2" name="Rectangle 4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4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295275</xdr:colOff>
      <xdr:row>0</xdr:row>
      <xdr:rowOff>0</xdr:rowOff>
    </xdr:from>
    <xdr:to>
      <xdr:col>19</xdr:col>
      <xdr:colOff>657225</xdr:colOff>
      <xdr:row>1</xdr:row>
      <xdr:rowOff>190500</xdr:rowOff>
    </xdr:to>
    <xdr:grpSp>
      <xdr:nvGrpSpPr>
        <xdr:cNvPr id="6" name="Group 46"/>
        <xdr:cNvGrpSpPr>
          <a:grpSpLocks/>
        </xdr:cNvGrpSpPr>
      </xdr:nvGrpSpPr>
      <xdr:grpSpPr>
        <a:xfrm>
          <a:off x="7981950" y="0"/>
          <a:ext cx="1047750" cy="390525"/>
          <a:chOff x="769" y="35"/>
          <a:chExt cx="110" cy="41"/>
        </a:xfrm>
        <a:solidFill>
          <a:srgbClr val="FFFFFF"/>
        </a:solidFill>
      </xdr:grpSpPr>
      <xdr:sp>
        <xdr:nvSpPr>
          <xdr:cNvPr id="7"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0</xdr:rowOff>
    </xdr:from>
    <xdr:to>
      <xdr:col>5</xdr:col>
      <xdr:colOff>0</xdr:colOff>
      <xdr:row>1</xdr:row>
      <xdr:rowOff>190500</xdr:rowOff>
    </xdr:to>
    <xdr:grpSp>
      <xdr:nvGrpSpPr>
        <xdr:cNvPr id="1" name="Group 23"/>
        <xdr:cNvGrpSpPr>
          <a:grpSpLocks/>
        </xdr:cNvGrpSpPr>
      </xdr:nvGrpSpPr>
      <xdr:grpSpPr>
        <a:xfrm>
          <a:off x="8429625" y="0"/>
          <a:ext cx="1047750" cy="390525"/>
          <a:chOff x="769" y="35"/>
          <a:chExt cx="110" cy="41"/>
        </a:xfrm>
        <a:solidFill>
          <a:srgbClr val="FFFFFF"/>
        </a:solidFill>
      </xdr:grpSpPr>
      <xdr:sp>
        <xdr:nvSpPr>
          <xdr:cNvPr id="2" name="Rectangle 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19050</xdr:rowOff>
    </xdr:from>
    <xdr:to>
      <xdr:col>5</xdr:col>
      <xdr:colOff>390525</xdr:colOff>
      <xdr:row>2</xdr:row>
      <xdr:rowOff>19050</xdr:rowOff>
    </xdr:to>
    <xdr:grpSp>
      <xdr:nvGrpSpPr>
        <xdr:cNvPr id="1" name="Group 1"/>
        <xdr:cNvGrpSpPr>
          <a:grpSpLocks/>
        </xdr:cNvGrpSpPr>
      </xdr:nvGrpSpPr>
      <xdr:grpSpPr>
        <a:xfrm>
          <a:off x="7848600" y="19050"/>
          <a:ext cx="1381125" cy="32385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123825</xdr:colOff>
      <xdr:row>44</xdr:row>
      <xdr:rowOff>19050</xdr:rowOff>
    </xdr:from>
    <xdr:to>
      <xdr:col>5</xdr:col>
      <xdr:colOff>409575</xdr:colOff>
      <xdr:row>46</xdr:row>
      <xdr:rowOff>19050</xdr:rowOff>
    </xdr:to>
    <xdr:grpSp>
      <xdr:nvGrpSpPr>
        <xdr:cNvPr id="6" name="Group 6"/>
        <xdr:cNvGrpSpPr>
          <a:grpSpLocks/>
        </xdr:cNvGrpSpPr>
      </xdr:nvGrpSpPr>
      <xdr:grpSpPr>
        <a:xfrm>
          <a:off x="7858125" y="6791325"/>
          <a:ext cx="1390650" cy="304800"/>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266700</xdr:colOff>
      <xdr:row>75</xdr:row>
      <xdr:rowOff>133350</xdr:rowOff>
    </xdr:from>
    <xdr:to>
      <xdr:col>6</xdr:col>
      <xdr:colOff>0</xdr:colOff>
      <xdr:row>77</xdr:row>
      <xdr:rowOff>133350</xdr:rowOff>
    </xdr:to>
    <xdr:grpSp>
      <xdr:nvGrpSpPr>
        <xdr:cNvPr id="11" name="Group 11"/>
        <xdr:cNvGrpSpPr>
          <a:grpSpLocks/>
        </xdr:cNvGrpSpPr>
      </xdr:nvGrpSpPr>
      <xdr:grpSpPr>
        <a:xfrm>
          <a:off x="8001000" y="11630025"/>
          <a:ext cx="1390650" cy="304800"/>
          <a:chOff x="769" y="35"/>
          <a:chExt cx="110" cy="41"/>
        </a:xfrm>
        <a:solidFill>
          <a:srgbClr val="FFFFFF"/>
        </a:solidFill>
      </xdr:grpSpPr>
      <xdr:sp>
        <xdr:nvSpPr>
          <xdr:cNvPr id="12" name="Rectangle 1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1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1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19</xdr:row>
      <xdr:rowOff>0</xdr:rowOff>
    </xdr:from>
    <xdr:to>
      <xdr:col>2</xdr:col>
      <xdr:colOff>180975</xdr:colOff>
      <xdr:row>19</xdr:row>
      <xdr:rowOff>0</xdr:rowOff>
    </xdr:to>
    <xdr:sp>
      <xdr:nvSpPr>
        <xdr:cNvPr id="1" name="Rectangle 1"/>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2" name="Rectangle 2"/>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3" name="Rectangle 3"/>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4" name="Rectangle 4"/>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5" name="Rectangle 5"/>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6" name="Rectangle 6"/>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7" name="Rectangle 7"/>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24</xdr:row>
      <xdr:rowOff>47625</xdr:rowOff>
    </xdr:from>
    <xdr:to>
      <xdr:col>2</xdr:col>
      <xdr:colOff>180975</xdr:colOff>
      <xdr:row>24</xdr:row>
      <xdr:rowOff>123825</xdr:rowOff>
    </xdr:to>
    <xdr:sp>
      <xdr:nvSpPr>
        <xdr:cNvPr id="8" name="Rectangle 8"/>
        <xdr:cNvSpPr>
          <a:spLocks/>
        </xdr:cNvSpPr>
      </xdr:nvSpPr>
      <xdr:spPr>
        <a:xfrm>
          <a:off x="962025" y="42005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21</xdr:row>
      <xdr:rowOff>47625</xdr:rowOff>
    </xdr:from>
    <xdr:to>
      <xdr:col>2</xdr:col>
      <xdr:colOff>180975</xdr:colOff>
      <xdr:row>21</xdr:row>
      <xdr:rowOff>123825</xdr:rowOff>
    </xdr:to>
    <xdr:sp>
      <xdr:nvSpPr>
        <xdr:cNvPr id="9" name="Rectangle 19"/>
        <xdr:cNvSpPr>
          <a:spLocks/>
        </xdr:cNvSpPr>
      </xdr:nvSpPr>
      <xdr:spPr>
        <a:xfrm>
          <a:off x="962025" y="37147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47625</xdr:rowOff>
    </xdr:from>
    <xdr:to>
      <xdr:col>2</xdr:col>
      <xdr:colOff>180975</xdr:colOff>
      <xdr:row>19</xdr:row>
      <xdr:rowOff>123825</xdr:rowOff>
    </xdr:to>
    <xdr:sp>
      <xdr:nvSpPr>
        <xdr:cNvPr id="10" name="Rectangle 20"/>
        <xdr:cNvSpPr>
          <a:spLocks/>
        </xdr:cNvSpPr>
      </xdr:nvSpPr>
      <xdr:spPr>
        <a:xfrm>
          <a:off x="962025" y="33909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0</xdr:row>
      <xdr:rowOff>66675</xdr:rowOff>
    </xdr:from>
    <xdr:to>
      <xdr:col>13</xdr:col>
      <xdr:colOff>152400</xdr:colOff>
      <xdr:row>2</xdr:row>
      <xdr:rowOff>285750</xdr:rowOff>
    </xdr:to>
    <xdr:pic>
      <xdr:nvPicPr>
        <xdr:cNvPr id="11" name="LogoKop1"/>
        <xdr:cNvPicPr preferRelativeResize="1">
          <a:picLocks noChangeAspect="1"/>
        </xdr:cNvPicPr>
      </xdr:nvPicPr>
      <xdr:blipFill>
        <a:blip r:embed="rId1"/>
        <a:stretch>
          <a:fillRect/>
        </a:stretch>
      </xdr:blipFill>
      <xdr:spPr>
        <a:xfrm>
          <a:off x="6677025" y="66675"/>
          <a:ext cx="14668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2647950</xdr:colOff>
      <xdr:row>0</xdr:row>
      <xdr:rowOff>9525</xdr:rowOff>
    </xdr:from>
    <xdr:to>
      <xdr:col>9</xdr:col>
      <xdr:colOff>0</xdr:colOff>
      <xdr:row>2</xdr:row>
      <xdr:rowOff>0</xdr:rowOff>
    </xdr:to>
    <xdr:grpSp>
      <xdr:nvGrpSpPr>
        <xdr:cNvPr id="1" name="Group 16"/>
        <xdr:cNvGrpSpPr>
          <a:grpSpLocks/>
        </xdr:cNvGrpSpPr>
      </xdr:nvGrpSpPr>
      <xdr:grpSpPr>
        <a:xfrm>
          <a:off x="7467600" y="9525"/>
          <a:ext cx="1047750" cy="390525"/>
          <a:chOff x="769" y="1"/>
          <a:chExt cx="110" cy="41"/>
        </a:xfrm>
        <a:solidFill>
          <a:srgbClr val="FFFFFF"/>
        </a:solidFill>
      </xdr:grpSpPr>
      <xdr:grpSp>
        <xdr:nvGrpSpPr>
          <xdr:cNvPr id="2" name="Group 1"/>
          <xdr:cNvGrpSpPr>
            <a:grpSpLocks/>
          </xdr:cNvGrpSpPr>
        </xdr:nvGrpSpPr>
        <xdr:grpSpPr>
          <a:xfrm>
            <a:off x="846" y="1"/>
            <a:ext cx="0" cy="41"/>
            <a:chOff x="769" y="35"/>
            <a:chExt cx="110" cy="41"/>
          </a:xfrm>
          <a:solidFill>
            <a:srgbClr val="FFFFFF"/>
          </a:solidFill>
        </xdr:grpSpPr>
        <xdr:sp>
          <xdr:nvSpPr>
            <xdr:cNvPr id="3"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Rectangle 12"/>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13"/>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4"/>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0" name="Rectangle 15"/>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4</xdr:col>
      <xdr:colOff>0</xdr:colOff>
      <xdr:row>2</xdr:row>
      <xdr:rowOff>0</xdr:rowOff>
    </xdr:to>
    <xdr:grpSp>
      <xdr:nvGrpSpPr>
        <xdr:cNvPr id="1" name="Group 6"/>
        <xdr:cNvGrpSpPr>
          <a:grpSpLocks/>
        </xdr:cNvGrpSpPr>
      </xdr:nvGrpSpPr>
      <xdr:grpSpPr>
        <a:xfrm>
          <a:off x="9001125" y="9525"/>
          <a:ext cx="0" cy="390525"/>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29</xdr:row>
      <xdr:rowOff>9525</xdr:rowOff>
    </xdr:from>
    <xdr:to>
      <xdr:col>4</xdr:col>
      <xdr:colOff>0</xdr:colOff>
      <xdr:row>31</xdr:row>
      <xdr:rowOff>0</xdr:rowOff>
    </xdr:to>
    <xdr:grpSp>
      <xdr:nvGrpSpPr>
        <xdr:cNvPr id="6" name="Group 21"/>
        <xdr:cNvGrpSpPr>
          <a:grpSpLocks/>
        </xdr:cNvGrpSpPr>
      </xdr:nvGrpSpPr>
      <xdr:grpSpPr>
        <a:xfrm>
          <a:off x="9001125" y="9534525"/>
          <a:ext cx="0" cy="295275"/>
          <a:chOff x="769" y="35"/>
          <a:chExt cx="110" cy="41"/>
        </a:xfrm>
        <a:solidFill>
          <a:srgbClr val="FFFFFF"/>
        </a:solidFill>
      </xdr:grpSpPr>
      <xdr:sp>
        <xdr:nvSpPr>
          <xdr:cNvPr id="7" name="Rectangle 2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2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2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2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1276350</xdr:colOff>
      <xdr:row>0</xdr:row>
      <xdr:rowOff>9525</xdr:rowOff>
    </xdr:from>
    <xdr:to>
      <xdr:col>5</xdr:col>
      <xdr:colOff>0</xdr:colOff>
      <xdr:row>2</xdr:row>
      <xdr:rowOff>0</xdr:rowOff>
    </xdr:to>
    <xdr:grpSp>
      <xdr:nvGrpSpPr>
        <xdr:cNvPr id="11" name="Group 41"/>
        <xdr:cNvGrpSpPr>
          <a:grpSpLocks/>
        </xdr:cNvGrpSpPr>
      </xdr:nvGrpSpPr>
      <xdr:grpSpPr>
        <a:xfrm>
          <a:off x="8334375" y="9525"/>
          <a:ext cx="1047750" cy="390525"/>
          <a:chOff x="769" y="1"/>
          <a:chExt cx="110" cy="41"/>
        </a:xfrm>
        <a:solidFill>
          <a:srgbClr val="FFFFFF"/>
        </a:solidFill>
      </xdr:grpSpPr>
      <xdr:grpSp>
        <xdr:nvGrpSpPr>
          <xdr:cNvPr id="12" name="Group 42"/>
          <xdr:cNvGrpSpPr>
            <a:grpSpLocks/>
          </xdr:cNvGrpSpPr>
        </xdr:nvGrpSpPr>
        <xdr:grpSpPr>
          <a:xfrm>
            <a:off x="846" y="1"/>
            <a:ext cx="0" cy="41"/>
            <a:chOff x="769" y="35"/>
            <a:chExt cx="110" cy="41"/>
          </a:xfrm>
          <a:solidFill>
            <a:srgbClr val="FFFFFF"/>
          </a:solidFill>
        </xdr:grpSpPr>
        <xdr:sp>
          <xdr:nvSpPr>
            <xdr:cNvPr id="13" name="Rectangle 4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4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4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 name="Rectangle 4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Rectangle 4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4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4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20" name="Rectangle 5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1276350</xdr:colOff>
      <xdr:row>29</xdr:row>
      <xdr:rowOff>9525</xdr:rowOff>
    </xdr:from>
    <xdr:to>
      <xdr:col>5</xdr:col>
      <xdr:colOff>0</xdr:colOff>
      <xdr:row>31</xdr:row>
      <xdr:rowOff>0</xdr:rowOff>
    </xdr:to>
    <xdr:grpSp>
      <xdr:nvGrpSpPr>
        <xdr:cNvPr id="21" name="Group 51"/>
        <xdr:cNvGrpSpPr>
          <a:grpSpLocks/>
        </xdr:cNvGrpSpPr>
      </xdr:nvGrpSpPr>
      <xdr:grpSpPr>
        <a:xfrm>
          <a:off x="8334375" y="9534525"/>
          <a:ext cx="1047750" cy="295275"/>
          <a:chOff x="769" y="1"/>
          <a:chExt cx="110" cy="41"/>
        </a:xfrm>
        <a:solidFill>
          <a:srgbClr val="FFFFFF"/>
        </a:solidFill>
      </xdr:grpSpPr>
      <xdr:grpSp>
        <xdr:nvGrpSpPr>
          <xdr:cNvPr id="22" name="Group 52"/>
          <xdr:cNvGrpSpPr>
            <a:grpSpLocks/>
          </xdr:cNvGrpSpPr>
        </xdr:nvGrpSpPr>
        <xdr:grpSpPr>
          <a:xfrm>
            <a:off x="846" y="1"/>
            <a:ext cx="0" cy="41"/>
            <a:chOff x="769" y="35"/>
            <a:chExt cx="110" cy="41"/>
          </a:xfrm>
          <a:solidFill>
            <a:srgbClr val="FFFFFF"/>
          </a:solidFill>
        </xdr:grpSpPr>
        <xdr:sp>
          <xdr:nvSpPr>
            <xdr:cNvPr id="23" name="Rectangle 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 name="Rectangle 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7" name="Rectangle 5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5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5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30" name="Rectangle 6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63</xdr:row>
      <xdr:rowOff>0</xdr:rowOff>
    </xdr:from>
    <xdr:to>
      <xdr:col>4</xdr:col>
      <xdr:colOff>0</xdr:colOff>
      <xdr:row>64</xdr:row>
      <xdr:rowOff>0</xdr:rowOff>
    </xdr:to>
    <xdr:grpSp>
      <xdr:nvGrpSpPr>
        <xdr:cNvPr id="31" name="Group 61"/>
        <xdr:cNvGrpSpPr>
          <a:grpSpLocks/>
        </xdr:cNvGrpSpPr>
      </xdr:nvGrpSpPr>
      <xdr:grpSpPr>
        <a:xfrm>
          <a:off x="9001125" y="19202400"/>
          <a:ext cx="0" cy="0"/>
          <a:chOff x="769" y="35"/>
          <a:chExt cx="110" cy="41"/>
        </a:xfrm>
        <a:solidFill>
          <a:srgbClr val="FFFFFF"/>
        </a:solidFill>
      </xdr:grpSpPr>
      <xdr:sp>
        <xdr:nvSpPr>
          <xdr:cNvPr id="3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11</xdr:row>
      <xdr:rowOff>0</xdr:rowOff>
    </xdr:from>
    <xdr:to>
      <xdr:col>4</xdr:col>
      <xdr:colOff>0</xdr:colOff>
      <xdr:row>11</xdr:row>
      <xdr:rowOff>0</xdr:rowOff>
    </xdr:to>
    <xdr:grpSp>
      <xdr:nvGrpSpPr>
        <xdr:cNvPr id="36" name="Group 86"/>
        <xdr:cNvGrpSpPr>
          <a:grpSpLocks/>
        </xdr:cNvGrpSpPr>
      </xdr:nvGrpSpPr>
      <xdr:grpSpPr>
        <a:xfrm>
          <a:off x="9001125" y="2171700"/>
          <a:ext cx="0" cy="0"/>
          <a:chOff x="769" y="35"/>
          <a:chExt cx="110" cy="41"/>
        </a:xfrm>
        <a:solidFill>
          <a:srgbClr val="FFFFFF"/>
        </a:solidFill>
      </xdr:grpSpPr>
      <xdr:sp>
        <xdr:nvSpPr>
          <xdr:cNvPr id="37" name="Rectangle 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9" name="Picture 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0" name="Rectangle 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20</xdr:row>
      <xdr:rowOff>9525</xdr:rowOff>
    </xdr:from>
    <xdr:to>
      <xdr:col>4</xdr:col>
      <xdr:colOff>0</xdr:colOff>
      <xdr:row>22</xdr:row>
      <xdr:rowOff>0</xdr:rowOff>
    </xdr:to>
    <xdr:grpSp>
      <xdr:nvGrpSpPr>
        <xdr:cNvPr id="41" name="Group 101"/>
        <xdr:cNvGrpSpPr>
          <a:grpSpLocks/>
        </xdr:cNvGrpSpPr>
      </xdr:nvGrpSpPr>
      <xdr:grpSpPr>
        <a:xfrm>
          <a:off x="9001125" y="6448425"/>
          <a:ext cx="0" cy="295275"/>
          <a:chOff x="769" y="35"/>
          <a:chExt cx="110" cy="41"/>
        </a:xfrm>
        <a:solidFill>
          <a:srgbClr val="FFFFFF"/>
        </a:solidFill>
      </xdr:grpSpPr>
      <xdr:sp>
        <xdr:nvSpPr>
          <xdr:cNvPr id="42" name="Rectangle 10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 name="Rectangle 10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 name="Picture 10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 name="Rectangle 10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1276350</xdr:colOff>
      <xdr:row>20</xdr:row>
      <xdr:rowOff>9525</xdr:rowOff>
    </xdr:from>
    <xdr:to>
      <xdr:col>5</xdr:col>
      <xdr:colOff>0</xdr:colOff>
      <xdr:row>22</xdr:row>
      <xdr:rowOff>0</xdr:rowOff>
    </xdr:to>
    <xdr:grpSp>
      <xdr:nvGrpSpPr>
        <xdr:cNvPr id="46" name="Group 106"/>
        <xdr:cNvGrpSpPr>
          <a:grpSpLocks/>
        </xdr:cNvGrpSpPr>
      </xdr:nvGrpSpPr>
      <xdr:grpSpPr>
        <a:xfrm>
          <a:off x="8334375" y="6448425"/>
          <a:ext cx="1047750" cy="295275"/>
          <a:chOff x="769" y="1"/>
          <a:chExt cx="110" cy="41"/>
        </a:xfrm>
        <a:solidFill>
          <a:srgbClr val="FFFFFF"/>
        </a:solidFill>
      </xdr:grpSpPr>
      <xdr:grpSp>
        <xdr:nvGrpSpPr>
          <xdr:cNvPr id="47" name="Group 107"/>
          <xdr:cNvGrpSpPr>
            <a:grpSpLocks/>
          </xdr:cNvGrpSpPr>
        </xdr:nvGrpSpPr>
        <xdr:grpSpPr>
          <a:xfrm>
            <a:off x="846" y="1"/>
            <a:ext cx="0" cy="41"/>
            <a:chOff x="769" y="35"/>
            <a:chExt cx="110" cy="41"/>
          </a:xfrm>
          <a:solidFill>
            <a:srgbClr val="FFFFFF"/>
          </a:solidFill>
        </xdr:grpSpPr>
        <xdr:sp>
          <xdr:nvSpPr>
            <xdr:cNvPr id="48" name="Rectangle 10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9" name="Rectangle 10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0" name="Picture 11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1" name="Rectangle 11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52" name="Rectangle 112"/>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3" name="Rectangle 113"/>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4" name="Picture 114"/>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55" name="Rectangle 115"/>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46</xdr:row>
      <xdr:rowOff>9525</xdr:rowOff>
    </xdr:from>
    <xdr:to>
      <xdr:col>4</xdr:col>
      <xdr:colOff>0</xdr:colOff>
      <xdr:row>48</xdr:row>
      <xdr:rowOff>0</xdr:rowOff>
    </xdr:to>
    <xdr:grpSp>
      <xdr:nvGrpSpPr>
        <xdr:cNvPr id="56" name="Group 116"/>
        <xdr:cNvGrpSpPr>
          <a:grpSpLocks/>
        </xdr:cNvGrpSpPr>
      </xdr:nvGrpSpPr>
      <xdr:grpSpPr>
        <a:xfrm>
          <a:off x="9001125" y="14944725"/>
          <a:ext cx="0" cy="295275"/>
          <a:chOff x="769" y="35"/>
          <a:chExt cx="110" cy="41"/>
        </a:xfrm>
        <a:solidFill>
          <a:srgbClr val="FFFFFF"/>
        </a:solidFill>
      </xdr:grpSpPr>
      <xdr:sp>
        <xdr:nvSpPr>
          <xdr:cNvPr id="57" name="Rectangle 11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8" name="Rectangle 11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9" name="Picture 11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0" name="Rectangle 12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1276350</xdr:colOff>
      <xdr:row>46</xdr:row>
      <xdr:rowOff>9525</xdr:rowOff>
    </xdr:from>
    <xdr:to>
      <xdr:col>5</xdr:col>
      <xdr:colOff>0</xdr:colOff>
      <xdr:row>48</xdr:row>
      <xdr:rowOff>0</xdr:rowOff>
    </xdr:to>
    <xdr:grpSp>
      <xdr:nvGrpSpPr>
        <xdr:cNvPr id="61" name="Group 121"/>
        <xdr:cNvGrpSpPr>
          <a:grpSpLocks/>
        </xdr:cNvGrpSpPr>
      </xdr:nvGrpSpPr>
      <xdr:grpSpPr>
        <a:xfrm>
          <a:off x="8334375" y="14944725"/>
          <a:ext cx="1047750" cy="295275"/>
          <a:chOff x="769" y="1"/>
          <a:chExt cx="110" cy="41"/>
        </a:xfrm>
        <a:solidFill>
          <a:srgbClr val="FFFFFF"/>
        </a:solidFill>
      </xdr:grpSpPr>
      <xdr:grpSp>
        <xdr:nvGrpSpPr>
          <xdr:cNvPr id="62" name="Group 122"/>
          <xdr:cNvGrpSpPr>
            <a:grpSpLocks/>
          </xdr:cNvGrpSpPr>
        </xdr:nvGrpSpPr>
        <xdr:grpSpPr>
          <a:xfrm>
            <a:off x="846" y="1"/>
            <a:ext cx="0" cy="41"/>
            <a:chOff x="769" y="35"/>
            <a:chExt cx="110" cy="41"/>
          </a:xfrm>
          <a:solidFill>
            <a:srgbClr val="FFFFFF"/>
          </a:solidFill>
        </xdr:grpSpPr>
        <xdr:sp>
          <xdr:nvSpPr>
            <xdr:cNvPr id="63" name="Rectangle 1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4" name="Rectangle 1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5" name="Picture 12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 name="Rectangle 1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7" name="Rectangle 12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8" name="Rectangle 12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9" name="Picture 12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70" name="Rectangle 13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819150</xdr:colOff>
      <xdr:row>0</xdr:row>
      <xdr:rowOff>0</xdr:rowOff>
    </xdr:from>
    <xdr:to>
      <xdr:col>7</xdr:col>
      <xdr:colOff>657225</xdr:colOff>
      <xdr:row>2</xdr:row>
      <xdr:rowOff>0</xdr:rowOff>
    </xdr:to>
    <xdr:grpSp>
      <xdr:nvGrpSpPr>
        <xdr:cNvPr id="1" name="Group 1"/>
        <xdr:cNvGrpSpPr>
          <a:grpSpLocks/>
        </xdr:cNvGrpSpPr>
      </xdr:nvGrpSpPr>
      <xdr:grpSpPr>
        <a:xfrm>
          <a:off x="7029450" y="0"/>
          <a:ext cx="685800" cy="30480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9525</xdr:colOff>
      <xdr:row>0</xdr:row>
      <xdr:rowOff>0</xdr:rowOff>
    </xdr:from>
    <xdr:to>
      <xdr:col>7</xdr:col>
      <xdr:colOff>581025</xdr:colOff>
      <xdr:row>1</xdr:row>
      <xdr:rowOff>142875</xdr:rowOff>
    </xdr:to>
    <xdr:grpSp>
      <xdr:nvGrpSpPr>
        <xdr:cNvPr id="6" name="Group 6"/>
        <xdr:cNvGrpSpPr>
          <a:grpSpLocks/>
        </xdr:cNvGrpSpPr>
      </xdr:nvGrpSpPr>
      <xdr:grpSpPr>
        <a:xfrm>
          <a:off x="7067550" y="0"/>
          <a:ext cx="571500" cy="295275"/>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819150</xdr:colOff>
      <xdr:row>38</xdr:row>
      <xdr:rowOff>0</xdr:rowOff>
    </xdr:from>
    <xdr:to>
      <xdr:col>7</xdr:col>
      <xdr:colOff>657225</xdr:colOff>
      <xdr:row>40</xdr:row>
      <xdr:rowOff>0</xdr:rowOff>
    </xdr:to>
    <xdr:grpSp>
      <xdr:nvGrpSpPr>
        <xdr:cNvPr id="11" name="Group 11"/>
        <xdr:cNvGrpSpPr>
          <a:grpSpLocks/>
        </xdr:cNvGrpSpPr>
      </xdr:nvGrpSpPr>
      <xdr:grpSpPr>
        <a:xfrm>
          <a:off x="7029450" y="5791200"/>
          <a:ext cx="685800" cy="304800"/>
          <a:chOff x="769" y="35"/>
          <a:chExt cx="110" cy="41"/>
        </a:xfrm>
        <a:solidFill>
          <a:srgbClr val="FFFFFF"/>
        </a:solidFill>
      </xdr:grpSpPr>
      <xdr:sp>
        <xdr:nvSpPr>
          <xdr:cNvPr id="12" name="Rectangle 1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1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1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9525</xdr:colOff>
      <xdr:row>38</xdr:row>
      <xdr:rowOff>0</xdr:rowOff>
    </xdr:from>
    <xdr:to>
      <xdr:col>7</xdr:col>
      <xdr:colOff>581025</xdr:colOff>
      <xdr:row>39</xdr:row>
      <xdr:rowOff>142875</xdr:rowOff>
    </xdr:to>
    <xdr:grpSp>
      <xdr:nvGrpSpPr>
        <xdr:cNvPr id="16" name="Group 16"/>
        <xdr:cNvGrpSpPr>
          <a:grpSpLocks/>
        </xdr:cNvGrpSpPr>
      </xdr:nvGrpSpPr>
      <xdr:grpSpPr>
        <a:xfrm>
          <a:off x="7067550" y="5791200"/>
          <a:ext cx="571500" cy="295275"/>
          <a:chOff x="769" y="35"/>
          <a:chExt cx="110" cy="41"/>
        </a:xfrm>
        <a:solidFill>
          <a:srgbClr val="FFFFFF"/>
        </a:solidFill>
      </xdr:grpSpPr>
      <xdr:sp>
        <xdr:nvSpPr>
          <xdr:cNvPr id="17" name="Rectangle 1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1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1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2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0</xdr:rowOff>
    </xdr:from>
    <xdr:to>
      <xdr:col>6</xdr:col>
      <xdr:colOff>771525</xdr:colOff>
      <xdr:row>1</xdr:row>
      <xdr:rowOff>142875</xdr:rowOff>
    </xdr:to>
    <xdr:grpSp>
      <xdr:nvGrpSpPr>
        <xdr:cNvPr id="1" name="Group 26"/>
        <xdr:cNvGrpSpPr>
          <a:grpSpLocks/>
        </xdr:cNvGrpSpPr>
      </xdr:nvGrpSpPr>
      <xdr:grpSpPr>
        <a:xfrm>
          <a:off x="8277225" y="0"/>
          <a:ext cx="742950" cy="295275"/>
          <a:chOff x="769" y="35"/>
          <a:chExt cx="110" cy="41"/>
        </a:xfrm>
        <a:solidFill>
          <a:srgbClr val="FFFFFF"/>
        </a:solidFill>
      </xdr:grpSpPr>
      <xdr:sp>
        <xdr:nvSpPr>
          <xdr:cNvPr id="2" name="Rectangle 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37</xdr:row>
      <xdr:rowOff>0</xdr:rowOff>
    </xdr:from>
    <xdr:to>
      <xdr:col>10</xdr:col>
      <xdr:colOff>0</xdr:colOff>
      <xdr:row>37</xdr:row>
      <xdr:rowOff>0</xdr:rowOff>
    </xdr:to>
    <xdr:grpSp>
      <xdr:nvGrpSpPr>
        <xdr:cNvPr id="1" name="Group 71"/>
        <xdr:cNvGrpSpPr>
          <a:grpSpLocks/>
        </xdr:cNvGrpSpPr>
      </xdr:nvGrpSpPr>
      <xdr:grpSpPr>
        <a:xfrm>
          <a:off x="9286875" y="6048375"/>
          <a:ext cx="0" cy="0"/>
          <a:chOff x="790" y="4"/>
          <a:chExt cx="90" cy="54"/>
        </a:xfrm>
        <a:solidFill>
          <a:srgbClr val="FFFFFF"/>
        </a:solidFill>
      </xdr:grpSpPr>
      <xdr:sp>
        <xdr:nvSpPr>
          <xdr:cNvPr id="2" name="Rectangle 7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7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7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10</xdr:col>
      <xdr:colOff>0</xdr:colOff>
      <xdr:row>37</xdr:row>
      <xdr:rowOff>0</xdr:rowOff>
    </xdr:from>
    <xdr:to>
      <xdr:col>10</xdr:col>
      <xdr:colOff>0</xdr:colOff>
      <xdr:row>37</xdr:row>
      <xdr:rowOff>0</xdr:rowOff>
    </xdr:to>
    <xdr:grpSp>
      <xdr:nvGrpSpPr>
        <xdr:cNvPr id="5" name="Group 75"/>
        <xdr:cNvGrpSpPr>
          <a:grpSpLocks/>
        </xdr:cNvGrpSpPr>
      </xdr:nvGrpSpPr>
      <xdr:grpSpPr>
        <a:xfrm>
          <a:off x="9286875" y="6048375"/>
          <a:ext cx="0" cy="0"/>
          <a:chOff x="790" y="4"/>
          <a:chExt cx="90" cy="54"/>
        </a:xfrm>
        <a:solidFill>
          <a:srgbClr val="FFFFFF"/>
        </a:solidFill>
      </xdr:grpSpPr>
      <xdr:sp>
        <xdr:nvSpPr>
          <xdr:cNvPr id="6" name="Rectangle 7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7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8</xdr:col>
      <xdr:colOff>571500</xdr:colOff>
      <xdr:row>0</xdr:row>
      <xdr:rowOff>9525</xdr:rowOff>
    </xdr:from>
    <xdr:to>
      <xdr:col>10</xdr:col>
      <xdr:colOff>0</xdr:colOff>
      <xdr:row>2</xdr:row>
      <xdr:rowOff>0</xdr:rowOff>
    </xdr:to>
    <xdr:grpSp>
      <xdr:nvGrpSpPr>
        <xdr:cNvPr id="9" name="Group 131"/>
        <xdr:cNvGrpSpPr>
          <a:grpSpLocks/>
        </xdr:cNvGrpSpPr>
      </xdr:nvGrpSpPr>
      <xdr:grpSpPr>
        <a:xfrm>
          <a:off x="7629525" y="9525"/>
          <a:ext cx="1657350" cy="390525"/>
          <a:chOff x="769" y="35"/>
          <a:chExt cx="110" cy="41"/>
        </a:xfrm>
        <a:solidFill>
          <a:srgbClr val="FFFFFF"/>
        </a:solidFill>
      </xdr:grpSpPr>
      <xdr:sp>
        <xdr:nvSpPr>
          <xdr:cNvPr id="10" name="Rectangle 1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 name="Picture 117"/>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13" name="Rectangle 1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37</xdr:row>
      <xdr:rowOff>0</xdr:rowOff>
    </xdr:from>
    <xdr:to>
      <xdr:col>12</xdr:col>
      <xdr:colOff>0</xdr:colOff>
      <xdr:row>37</xdr:row>
      <xdr:rowOff>0</xdr:rowOff>
    </xdr:to>
    <xdr:grpSp>
      <xdr:nvGrpSpPr>
        <xdr:cNvPr id="14" name="Group 132"/>
        <xdr:cNvGrpSpPr>
          <a:grpSpLocks/>
        </xdr:cNvGrpSpPr>
      </xdr:nvGrpSpPr>
      <xdr:grpSpPr>
        <a:xfrm>
          <a:off x="10715625" y="6048375"/>
          <a:ext cx="0" cy="0"/>
          <a:chOff x="790" y="4"/>
          <a:chExt cx="90" cy="54"/>
        </a:xfrm>
        <a:solidFill>
          <a:srgbClr val="FFFFFF"/>
        </a:solidFill>
      </xdr:grpSpPr>
      <xdr:sp>
        <xdr:nvSpPr>
          <xdr:cNvPr id="15" name="Rectangle 1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Picture 1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7" name="TextBox 1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12</xdr:col>
      <xdr:colOff>0</xdr:colOff>
      <xdr:row>37</xdr:row>
      <xdr:rowOff>0</xdr:rowOff>
    </xdr:from>
    <xdr:to>
      <xdr:col>12</xdr:col>
      <xdr:colOff>0</xdr:colOff>
      <xdr:row>37</xdr:row>
      <xdr:rowOff>0</xdr:rowOff>
    </xdr:to>
    <xdr:grpSp>
      <xdr:nvGrpSpPr>
        <xdr:cNvPr id="18" name="Group 136"/>
        <xdr:cNvGrpSpPr>
          <a:grpSpLocks/>
        </xdr:cNvGrpSpPr>
      </xdr:nvGrpSpPr>
      <xdr:grpSpPr>
        <a:xfrm>
          <a:off x="10715625" y="6048375"/>
          <a:ext cx="0" cy="0"/>
          <a:chOff x="790" y="4"/>
          <a:chExt cx="90" cy="54"/>
        </a:xfrm>
        <a:solidFill>
          <a:srgbClr val="FFFFFF"/>
        </a:solidFill>
      </xdr:grpSpPr>
      <xdr:sp>
        <xdr:nvSpPr>
          <xdr:cNvPr id="19" name="Rectangle 1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1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1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0</xdr:row>
      <xdr:rowOff>0</xdr:rowOff>
    </xdr:from>
    <xdr:to>
      <xdr:col>9</xdr:col>
      <xdr:colOff>0</xdr:colOff>
      <xdr:row>3</xdr:row>
      <xdr:rowOff>0</xdr:rowOff>
    </xdr:to>
    <xdr:grpSp>
      <xdr:nvGrpSpPr>
        <xdr:cNvPr id="1" name="Group 9"/>
        <xdr:cNvGrpSpPr>
          <a:grpSpLocks/>
        </xdr:cNvGrpSpPr>
      </xdr:nvGrpSpPr>
      <xdr:grpSpPr>
        <a:xfrm>
          <a:off x="8610600" y="0"/>
          <a:ext cx="1581150" cy="561975"/>
          <a:chOff x="769" y="0"/>
          <a:chExt cx="110" cy="59"/>
        </a:xfrm>
        <a:solidFill>
          <a:srgbClr val="FFFFFF"/>
        </a:solidFill>
      </xdr:grpSpPr>
      <xdr:grpSp>
        <xdr:nvGrpSpPr>
          <xdr:cNvPr id="2" name="Group 10"/>
          <xdr:cNvGrpSpPr>
            <a:grpSpLocks/>
          </xdr:cNvGrpSpPr>
        </xdr:nvGrpSpPr>
        <xdr:grpSpPr>
          <a:xfrm>
            <a:off x="797" y="0"/>
            <a:ext cx="0" cy="0"/>
            <a:chOff x="790" y="4"/>
            <a:chExt cx="90" cy="54"/>
          </a:xfrm>
          <a:solidFill>
            <a:srgbClr val="FFFFFF"/>
          </a:solidFill>
        </xdr:grpSpPr>
        <xdr:sp>
          <xdr:nvSpPr>
            <xdr:cNvPr id="3" name="Rectangle 1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2"/>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5" name="TextBox 1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6" name="Group 14"/>
          <xdr:cNvGrpSpPr>
            <a:grpSpLocks/>
          </xdr:cNvGrpSpPr>
        </xdr:nvGrpSpPr>
        <xdr:grpSpPr>
          <a:xfrm>
            <a:off x="797" y="0"/>
            <a:ext cx="0" cy="0"/>
            <a:chOff x="790" y="4"/>
            <a:chExt cx="90" cy="54"/>
          </a:xfrm>
          <a:solidFill>
            <a:srgbClr val="FFFFFF"/>
          </a:solidFill>
        </xdr:grpSpPr>
        <xdr:sp>
          <xdr:nvSpPr>
            <xdr:cNvPr id="7"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8"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9"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10" name="Group 18"/>
          <xdr:cNvGrpSpPr>
            <a:grpSpLocks/>
          </xdr:cNvGrpSpPr>
        </xdr:nvGrpSpPr>
        <xdr:grpSpPr>
          <a:xfrm>
            <a:off x="797" y="0"/>
            <a:ext cx="0" cy="0"/>
            <a:chOff x="807" y="2"/>
            <a:chExt cx="83" cy="70"/>
          </a:xfrm>
          <a:solidFill>
            <a:srgbClr val="FFFFFF"/>
          </a:solidFill>
        </xdr:grpSpPr>
        <xdr:grpSp>
          <xdr:nvGrpSpPr>
            <xdr:cNvPr id="11" name="Group 19"/>
            <xdr:cNvGrpSpPr>
              <a:grpSpLocks/>
            </xdr:cNvGrpSpPr>
          </xdr:nvGrpSpPr>
          <xdr:grpSpPr>
            <a:xfrm>
              <a:off x="817" y="55"/>
              <a:ext cx="62" cy="0"/>
              <a:chOff x="790" y="4"/>
              <a:chExt cx="90" cy="54"/>
            </a:xfrm>
            <a:solidFill>
              <a:srgbClr val="FFFFFF"/>
            </a:solidFill>
          </xdr:grpSpPr>
          <xdr:sp>
            <xdr:nvSpPr>
              <xdr:cNvPr id="12" name="Rectangle 2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3" name="Picture 2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4" name="TextBox 2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15" name="Group 23"/>
            <xdr:cNvGrpSpPr>
              <a:grpSpLocks/>
            </xdr:cNvGrpSpPr>
          </xdr:nvGrpSpPr>
          <xdr:grpSpPr>
            <a:xfrm>
              <a:off x="817" y="55"/>
              <a:ext cx="62" cy="0"/>
              <a:chOff x="790" y="4"/>
              <a:chExt cx="90" cy="54"/>
            </a:xfrm>
            <a:solidFill>
              <a:srgbClr val="FFFFFF"/>
            </a:solidFill>
          </xdr:grpSpPr>
          <xdr:sp>
            <xdr:nvSpPr>
              <xdr:cNvPr id="16" name="Rectangle 2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7" name="Picture 2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8" name="TextBox 2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19" name="Rectangle 27"/>
            <xdr:cNvSpPr>
              <a:spLocks noChangeAspect="1"/>
            </xdr:cNvSpPr>
          </xdr:nvSpPr>
          <xdr:spPr>
            <a:xfrm>
              <a:off x="808" y="11"/>
              <a:ext cx="82"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0" name="Group 28"/>
            <xdr:cNvGrpSpPr>
              <a:grpSpLocks/>
            </xdr:cNvGrpSpPr>
          </xdr:nvGrpSpPr>
          <xdr:grpSpPr>
            <a:xfrm>
              <a:off x="810" y="4"/>
              <a:ext cx="68" cy="53"/>
              <a:chOff x="809" y="5"/>
              <a:chExt cx="68" cy="53"/>
            </a:xfrm>
            <a:solidFill>
              <a:srgbClr val="FFFFFF"/>
            </a:solidFill>
          </xdr:grpSpPr>
          <xdr:pic>
            <xdr:nvPicPr>
              <xdr:cNvPr id="21" name="Picture 29"/>
              <xdr:cNvPicPr preferRelativeResize="1">
                <a:picLocks noChangeAspect="1"/>
              </xdr:cNvPicPr>
            </xdr:nvPicPr>
            <xdr:blipFill>
              <a:blip r:link="rId1"/>
              <a:stretch>
                <a:fillRect/>
              </a:stretch>
            </xdr:blipFill>
            <xdr:spPr>
              <a:xfrm>
                <a:off x="809" y="5"/>
                <a:ext cx="68" cy="53"/>
              </a:xfrm>
              <a:prstGeom prst="rect">
                <a:avLst/>
              </a:prstGeom>
              <a:noFill/>
              <a:ln w="9525" cmpd="sng">
                <a:noFill/>
              </a:ln>
            </xdr:spPr>
          </xdr:pic>
          <xdr:sp>
            <xdr:nvSpPr>
              <xdr:cNvPr id="22" name="TextBox 30"/>
              <xdr:cNvSpPr txBox="1">
                <a:spLocks noChangeAspect="1" noChangeArrowheads="1"/>
              </xdr:cNvSpPr>
            </xdr:nvSpPr>
            <xdr:spPr>
              <a:xfrm>
                <a:off x="841" y="23"/>
                <a:ext cx="12" cy="13"/>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23" name="Group 31"/>
            <xdr:cNvGrpSpPr>
              <a:grpSpLocks noChangeAspect="1"/>
            </xdr:cNvGrpSpPr>
          </xdr:nvGrpSpPr>
          <xdr:grpSpPr>
            <a:xfrm>
              <a:off x="807" y="2"/>
              <a:ext cx="71" cy="0"/>
              <a:chOff x="790" y="4"/>
              <a:chExt cx="90" cy="54"/>
            </a:xfrm>
            <a:solidFill>
              <a:srgbClr val="FFFFFF"/>
            </a:solidFill>
          </xdr:grpSpPr>
          <xdr:sp>
            <xdr:nvSpPr>
              <xdr:cNvPr id="24" name="Rectangle 32"/>
              <xdr:cNvSpPr>
                <a:spLocks noChangeAspect="1"/>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5" name="Picture 3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6" name="TextBox 34"/>
              <xdr:cNvSpPr txBox="1">
                <a:spLocks noChangeAspect="1"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27" name="Rectangle 35"/>
            <xdr:cNvSpPr>
              <a:spLocks/>
            </xdr:cNvSpPr>
          </xdr:nvSpPr>
          <xdr:spPr>
            <a:xfrm>
              <a:off x="823" y="64"/>
              <a:ext cx="67" cy="8"/>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grpSp>
        <xdr:nvGrpSpPr>
          <xdr:cNvPr id="28" name="Group 36"/>
          <xdr:cNvGrpSpPr>
            <a:grpSpLocks/>
          </xdr:cNvGrpSpPr>
        </xdr:nvGrpSpPr>
        <xdr:grpSpPr>
          <a:xfrm>
            <a:off x="797" y="59"/>
            <a:ext cx="0" cy="0"/>
            <a:chOff x="790" y="4"/>
            <a:chExt cx="90" cy="54"/>
          </a:xfrm>
          <a:solidFill>
            <a:srgbClr val="FFFFFF"/>
          </a:solidFill>
        </xdr:grpSpPr>
        <xdr:sp>
          <xdr:nvSpPr>
            <xdr:cNvPr id="29"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0"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1"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32" name="Group 40"/>
          <xdr:cNvGrpSpPr>
            <a:grpSpLocks/>
          </xdr:cNvGrpSpPr>
        </xdr:nvGrpSpPr>
        <xdr:grpSpPr>
          <a:xfrm>
            <a:off x="797" y="59"/>
            <a:ext cx="0" cy="0"/>
            <a:chOff x="790" y="4"/>
            <a:chExt cx="90" cy="54"/>
          </a:xfrm>
          <a:solidFill>
            <a:srgbClr val="FFFFFF"/>
          </a:solidFill>
        </xdr:grpSpPr>
        <xdr:sp>
          <xdr:nvSpPr>
            <xdr:cNvPr id="33" name="Rectangle 4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4" name="Picture 42"/>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5" name="TextBox 4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36" name="Rectangle 44"/>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7" name="Rectangle 45"/>
          <xdr:cNvSpPr>
            <a:spLocks/>
          </xdr:cNvSpPr>
        </xdr:nvSpPr>
        <xdr:spPr>
          <a:xfrm>
            <a:off x="769" y="13"/>
            <a:ext cx="70"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8" name="Picture 46"/>
          <xdr:cNvPicPr preferRelativeResize="1">
            <a:picLocks noChangeAspect="1"/>
          </xdr:cNvPicPr>
        </xdr:nvPicPr>
        <xdr:blipFill>
          <a:blip r:embed="rId2"/>
          <a:stretch>
            <a:fillRect/>
          </a:stretch>
        </xdr:blipFill>
        <xdr:spPr>
          <a:xfrm>
            <a:off x="772" y="1"/>
            <a:ext cx="83" cy="39"/>
          </a:xfrm>
          <a:prstGeom prst="rect">
            <a:avLst/>
          </a:prstGeom>
          <a:noFill/>
          <a:ln w="9525" cmpd="sng">
            <a:noFill/>
          </a:ln>
        </xdr:spPr>
      </xdr:pic>
      <xdr:sp>
        <xdr:nvSpPr>
          <xdr:cNvPr id="39" name="Rectangle 47"/>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9525</xdr:rowOff>
    </xdr:from>
    <xdr:to>
      <xdr:col>12</xdr:col>
      <xdr:colOff>619125</xdr:colOff>
      <xdr:row>2</xdr:row>
      <xdr:rowOff>0</xdr:rowOff>
    </xdr:to>
    <xdr:grpSp>
      <xdr:nvGrpSpPr>
        <xdr:cNvPr id="1" name="Group 18"/>
        <xdr:cNvGrpSpPr>
          <a:grpSpLocks/>
        </xdr:cNvGrpSpPr>
      </xdr:nvGrpSpPr>
      <xdr:grpSpPr>
        <a:xfrm>
          <a:off x="7334250" y="9525"/>
          <a:ext cx="1076325" cy="390525"/>
          <a:chOff x="769" y="35"/>
          <a:chExt cx="110" cy="41"/>
        </a:xfrm>
        <a:solidFill>
          <a:srgbClr val="FFFFFF"/>
        </a:solidFill>
      </xdr:grpSpPr>
      <xdr:sp>
        <xdr:nvSpPr>
          <xdr:cNvPr id="2" name="Rectangle 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31</xdr:row>
      <xdr:rowOff>0</xdr:rowOff>
    </xdr:from>
    <xdr:to>
      <xdr:col>6</xdr:col>
      <xdr:colOff>0</xdr:colOff>
      <xdr:row>31</xdr:row>
      <xdr:rowOff>0</xdr:rowOff>
    </xdr:to>
    <xdr:grpSp>
      <xdr:nvGrpSpPr>
        <xdr:cNvPr id="6" name="Group 25"/>
        <xdr:cNvGrpSpPr>
          <a:grpSpLocks/>
        </xdr:cNvGrpSpPr>
      </xdr:nvGrpSpPr>
      <xdr:grpSpPr>
        <a:xfrm>
          <a:off x="4191000" y="5124450"/>
          <a:ext cx="0" cy="0"/>
          <a:chOff x="769" y="35"/>
          <a:chExt cx="110" cy="41"/>
        </a:xfrm>
        <a:solidFill>
          <a:srgbClr val="FFFFFF"/>
        </a:solidFill>
      </xdr:grpSpPr>
      <xdr:sp>
        <xdr:nvSpPr>
          <xdr:cNvPr id="7" name="Rectangle 2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2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2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2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35</xdr:row>
      <xdr:rowOff>0</xdr:rowOff>
    </xdr:from>
    <xdr:to>
      <xdr:col>6</xdr:col>
      <xdr:colOff>0</xdr:colOff>
      <xdr:row>35</xdr:row>
      <xdr:rowOff>0</xdr:rowOff>
    </xdr:to>
    <xdr:grpSp>
      <xdr:nvGrpSpPr>
        <xdr:cNvPr id="11" name="Group 35"/>
        <xdr:cNvGrpSpPr>
          <a:grpSpLocks/>
        </xdr:cNvGrpSpPr>
      </xdr:nvGrpSpPr>
      <xdr:grpSpPr>
        <a:xfrm>
          <a:off x="4191000" y="5762625"/>
          <a:ext cx="0" cy="0"/>
          <a:chOff x="769" y="35"/>
          <a:chExt cx="110" cy="41"/>
        </a:xfrm>
        <a:solidFill>
          <a:srgbClr val="FFFFFF"/>
        </a:solidFill>
      </xdr:grpSpPr>
      <xdr:sp>
        <xdr:nvSpPr>
          <xdr:cNvPr id="12" name="Rectangle 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38</xdr:row>
      <xdr:rowOff>0</xdr:rowOff>
    </xdr:from>
    <xdr:to>
      <xdr:col>6</xdr:col>
      <xdr:colOff>0</xdr:colOff>
      <xdr:row>38</xdr:row>
      <xdr:rowOff>0</xdr:rowOff>
    </xdr:to>
    <xdr:grpSp>
      <xdr:nvGrpSpPr>
        <xdr:cNvPr id="16" name="Group 65"/>
        <xdr:cNvGrpSpPr>
          <a:grpSpLocks/>
        </xdr:cNvGrpSpPr>
      </xdr:nvGrpSpPr>
      <xdr:grpSpPr>
        <a:xfrm>
          <a:off x="4191000" y="6248400"/>
          <a:ext cx="0" cy="0"/>
          <a:chOff x="769" y="35"/>
          <a:chExt cx="110" cy="41"/>
        </a:xfrm>
        <a:solidFill>
          <a:srgbClr val="FFFFFF"/>
        </a:solidFill>
      </xdr:grpSpPr>
      <xdr:sp>
        <xdr:nvSpPr>
          <xdr:cNvPr id="17" name="Rectangle 6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6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6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6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A2:U410"/>
  <sheetViews>
    <sheetView zoomScale="95" zoomScaleNormal="95" workbookViewId="0" topLeftCell="A1">
      <selection activeCell="C7" sqref="C7"/>
    </sheetView>
  </sheetViews>
  <sheetFormatPr defaultColWidth="9.140625" defaultRowHeight="12.75"/>
  <cols>
    <col min="1" max="1" width="5.7109375" style="1" customWidth="1"/>
    <col min="2" max="2" width="9.7109375" style="2" customWidth="1"/>
    <col min="3" max="3" width="20.57421875" style="2" customWidth="1"/>
    <col min="4" max="4" width="10.7109375" style="3" customWidth="1"/>
    <col min="5" max="5" width="10.421875" style="2" customWidth="1"/>
    <col min="6" max="6" width="16.421875" style="2" customWidth="1"/>
    <col min="7" max="7" width="18.140625" style="4" customWidth="1"/>
    <col min="8" max="8" width="10.7109375" style="1" customWidth="1"/>
    <col min="9" max="9" width="10.7109375" style="2" customWidth="1"/>
    <col min="10" max="10" width="2.7109375" style="5" customWidth="1"/>
    <col min="11" max="13" width="2.7109375" style="2" customWidth="1"/>
    <col min="14" max="14" width="9.8515625" style="2" customWidth="1"/>
    <col min="15" max="15" width="10.28125" style="93" bestFit="1" customWidth="1"/>
    <col min="16" max="16" width="10.7109375" style="96" bestFit="1" customWidth="1"/>
    <col min="17" max="17" width="9.8515625" style="93" bestFit="1" customWidth="1"/>
    <col min="18" max="21" width="8.7109375" style="93" customWidth="1"/>
    <col min="22" max="16384" width="8.7109375" style="2" customWidth="1"/>
  </cols>
  <sheetData>
    <row r="1" ht="15.75" customHeight="1"/>
    <row r="2" spans="1:21" s="11" customFormat="1" ht="15.75" customHeight="1">
      <c r="A2" s="6" t="e">
        <f>CONCATENATE("Nacalculatie ",#REF!," Psychiatrische Ziekenhuizen en Ribw´s")</f>
        <v>#REF!</v>
      </c>
      <c r="B2" s="7"/>
      <c r="C2" s="8" t="e">
        <f>#REF!</f>
        <v>#REF!</v>
      </c>
      <c r="D2" s="8" t="e">
        <f>#REF!</f>
        <v>#REF!</v>
      </c>
      <c r="E2" s="8" t="e">
        <f>#REF!</f>
        <v>#REF!</v>
      </c>
      <c r="F2" s="8" t="e">
        <f>#REF!</f>
        <v>#REF!</v>
      </c>
      <c r="G2" s="8" t="e">
        <f>#REF!</f>
        <v>#REF!</v>
      </c>
      <c r="H2" s="8" t="e">
        <f>#REF!</f>
        <v>#REF!</v>
      </c>
      <c r="I2" s="8" t="e">
        <f>#REF!</f>
        <v>#REF!</v>
      </c>
      <c r="J2" s="8" t="e">
        <f>#REF!</f>
        <v>#REF!</v>
      </c>
      <c r="K2" s="7"/>
      <c r="L2" s="9"/>
      <c r="M2" s="10">
        <f>instructie!E31+1</f>
        <v>6</v>
      </c>
      <c r="O2" s="12"/>
      <c r="P2" s="13"/>
      <c r="Q2" s="12"/>
      <c r="R2" s="12"/>
      <c r="S2" s="12"/>
      <c r="T2" s="12"/>
      <c r="U2" s="12"/>
    </row>
    <row r="3" ht="12.75">
      <c r="M3" s="5"/>
    </row>
    <row r="4" spans="1:21" ht="12.75" customHeight="1">
      <c r="A4" s="14" t="str">
        <f>CONCATENATE("RUBRIEK 1: WERKELIJKE OPBRENGSTEN")</f>
        <v>RUBRIEK 1: WERKELIJKE OPBRENGSTEN</v>
      </c>
      <c r="B4" s="15"/>
      <c r="C4" s="15"/>
      <c r="D4" s="16"/>
      <c r="E4" s="230" t="str">
        <f>CONCATENATE("(Ribw´s alleen ",A8,", ",A34,", ",E37," en ",A42,")")</f>
        <v>(Ribw´s alleen 1.1 , 1.4, 1.6  en 1.7)</v>
      </c>
      <c r="F4" s="17"/>
      <c r="G4" s="18"/>
      <c r="H4" s="2"/>
      <c r="I4" s="17"/>
      <c r="J4" s="19"/>
      <c r="K4" s="17"/>
      <c r="L4" s="15"/>
      <c r="M4" s="96"/>
      <c r="N4" s="93"/>
      <c r="P4" s="93"/>
      <c r="S4" s="2"/>
      <c r="T4" s="2"/>
      <c r="U4" s="2"/>
    </row>
    <row r="5" spans="2:21" ht="12.75" customHeight="1">
      <c r="B5" s="20"/>
      <c r="C5" s="20"/>
      <c r="D5" s="20"/>
      <c r="E5" s="20"/>
      <c r="F5" s="20"/>
      <c r="G5" s="20"/>
      <c r="H5" s="20"/>
      <c r="I5" s="20"/>
      <c r="J5" s="20"/>
      <c r="K5" s="20"/>
      <c r="L5" s="20"/>
      <c r="M5" s="93"/>
      <c r="N5" s="93"/>
      <c r="P5" s="93"/>
      <c r="S5" s="2"/>
      <c r="T5" s="2"/>
      <c r="U5" s="2"/>
    </row>
    <row r="6" spans="1:6" s="11" customFormat="1" ht="12.75" customHeight="1">
      <c r="A6" s="21"/>
      <c r="B6" s="22" t="s">
        <v>450</v>
      </c>
      <c r="C6" s="23" t="s">
        <v>446</v>
      </c>
      <c r="D6" s="24"/>
      <c r="E6" s="197"/>
      <c r="F6" s="22" t="s">
        <v>450</v>
      </c>
    </row>
    <row r="7" spans="1:21" ht="12.75" customHeight="1">
      <c r="A7" s="20"/>
      <c r="B7" s="3"/>
      <c r="C7" s="20"/>
      <c r="D7" s="20"/>
      <c r="E7" s="20"/>
      <c r="F7" s="20"/>
      <c r="G7" s="93"/>
      <c r="H7" s="93"/>
      <c r="I7" s="93"/>
      <c r="J7" s="93"/>
      <c r="K7" s="93"/>
      <c r="O7" s="2"/>
      <c r="P7" s="2"/>
      <c r="Q7" s="2"/>
      <c r="R7" s="2"/>
      <c r="S7" s="2"/>
      <c r="T7" s="2"/>
      <c r="U7" s="2"/>
    </row>
    <row r="8" spans="1:6" s="90" customFormat="1" ht="12.75" customHeight="1">
      <c r="A8" s="26" t="s">
        <v>441</v>
      </c>
      <c r="B8" s="28"/>
      <c r="C8" s="29"/>
      <c r="D8" s="27"/>
      <c r="E8" s="26" t="s">
        <v>440</v>
      </c>
      <c r="F8" s="29"/>
    </row>
    <row r="9" spans="1:6" s="90" customFormat="1" ht="12.75" customHeight="1">
      <c r="A9" s="31">
        <f>Opbrengsten!A9</f>
        <v>1001</v>
      </c>
      <c r="B9" s="267">
        <f>Opbrengsten!D9</f>
        <v>0</v>
      </c>
      <c r="C9" s="268" t="e">
        <f>Opbrengsten!#REF!</f>
        <v>#REF!</v>
      </c>
      <c r="D9" s="27"/>
      <c r="E9" s="31">
        <f>A38+1</f>
        <v>1025</v>
      </c>
      <c r="F9" s="267" t="e">
        <f>Opbrengsten!#REF!</f>
        <v>#REF!</v>
      </c>
    </row>
    <row r="10" spans="1:6" s="42" customFormat="1" ht="12.75" customHeight="1">
      <c r="A10" s="32">
        <f aca="true" t="shared" si="0" ref="A10:A17">A9+1</f>
        <v>1002</v>
      </c>
      <c r="B10" s="267">
        <f>Opbrengsten!D10</f>
        <v>0</v>
      </c>
      <c r="C10" s="268" t="e">
        <f>Opbrengsten!#REF!</f>
        <v>#REF!</v>
      </c>
      <c r="D10" s="33"/>
      <c r="E10" s="34">
        <f aca="true" t="shared" si="1" ref="E10:E28">E9+1</f>
        <v>1026</v>
      </c>
      <c r="F10" s="267">
        <f>Opbrengsten!C29</f>
        <v>0</v>
      </c>
    </row>
    <row r="11" spans="1:6" s="42" customFormat="1" ht="12.75" customHeight="1">
      <c r="A11" s="34">
        <f t="shared" si="0"/>
        <v>1003</v>
      </c>
      <c r="B11" s="267">
        <f>Opbrengsten!D11</f>
        <v>0</v>
      </c>
      <c r="C11" s="268" t="e">
        <f>Opbrengsten!#REF!</f>
        <v>#REF!</v>
      </c>
      <c r="D11" s="33"/>
      <c r="E11" s="34">
        <f t="shared" si="1"/>
        <v>1027</v>
      </c>
      <c r="F11" s="267">
        <f>Opbrengsten!C30</f>
        <v>0</v>
      </c>
    </row>
    <row r="12" spans="1:6" s="42" customFormat="1" ht="12.75" customHeight="1">
      <c r="A12" s="34">
        <f t="shared" si="0"/>
        <v>1004</v>
      </c>
      <c r="B12" s="267">
        <f>Opbrengsten!D12</f>
        <v>0</v>
      </c>
      <c r="C12" s="268" t="e">
        <f>Opbrengsten!#REF!</f>
        <v>#REF!</v>
      </c>
      <c r="D12" s="33"/>
      <c r="E12" s="34">
        <f t="shared" si="1"/>
        <v>1028</v>
      </c>
      <c r="F12" s="267">
        <f>Opbrengsten!C31</f>
        <v>0</v>
      </c>
    </row>
    <row r="13" spans="1:6" s="42" customFormat="1" ht="12.75" customHeight="1">
      <c r="A13" s="34">
        <f t="shared" si="0"/>
        <v>1005</v>
      </c>
      <c r="B13" s="267">
        <f>Opbrengsten!D13</f>
        <v>0</v>
      </c>
      <c r="C13" s="268" t="e">
        <f>Opbrengsten!#REF!</f>
        <v>#REF!</v>
      </c>
      <c r="D13" s="33"/>
      <c r="E13" s="34">
        <f t="shared" si="1"/>
        <v>1029</v>
      </c>
      <c r="F13" s="267" t="e">
        <f>Opbrengsten!#REF!</f>
        <v>#REF!</v>
      </c>
    </row>
    <row r="14" spans="1:8" s="42" customFormat="1" ht="12.75" customHeight="1">
      <c r="A14" s="34">
        <f t="shared" si="0"/>
        <v>1006</v>
      </c>
      <c r="B14" s="267">
        <f>Opbrengsten!D15</f>
        <v>0</v>
      </c>
      <c r="C14" s="268" t="e">
        <f>Opbrengsten!#REF!</f>
        <v>#REF!</v>
      </c>
      <c r="D14" s="33"/>
      <c r="E14" s="34">
        <f t="shared" si="1"/>
        <v>1030</v>
      </c>
      <c r="F14" s="267">
        <f>Opbrengsten!C32</f>
        <v>0</v>
      </c>
      <c r="H14" s="90"/>
    </row>
    <row r="15" spans="1:8" s="42" customFormat="1" ht="12.75" customHeight="1">
      <c r="A15" s="35">
        <f t="shared" si="0"/>
        <v>1007</v>
      </c>
      <c r="B15" s="267" t="e">
        <f>Opbrengsten!#REF!</f>
        <v>#REF!</v>
      </c>
      <c r="C15" s="269"/>
      <c r="D15" s="33"/>
      <c r="E15" s="34">
        <f t="shared" si="1"/>
        <v>1031</v>
      </c>
      <c r="F15" s="267">
        <f>Opbrengsten!C34</f>
        <v>0</v>
      </c>
      <c r="H15" s="90"/>
    </row>
    <row r="16" spans="1:8" s="42" customFormat="1" ht="12.75" customHeight="1">
      <c r="A16" s="54">
        <f t="shared" si="0"/>
        <v>1008</v>
      </c>
      <c r="B16" s="270" t="e">
        <f>Opbrengsten!#REF!</f>
        <v>#REF!</v>
      </c>
      <c r="C16" s="268" t="e">
        <f>Opbrengsten!#REF!</f>
        <v>#REF!</v>
      </c>
      <c r="D16" s="33"/>
      <c r="E16" s="34">
        <f t="shared" si="1"/>
        <v>1032</v>
      </c>
      <c r="F16" s="267" t="e">
        <f>Opbrengsten!#REF!</f>
        <v>#REF!</v>
      </c>
      <c r="H16" s="90"/>
    </row>
    <row r="17" spans="1:8" s="42" customFormat="1" ht="12.75" customHeight="1">
      <c r="A17" s="37">
        <f t="shared" si="0"/>
        <v>1009</v>
      </c>
      <c r="B17" s="39"/>
      <c r="C17" s="40"/>
      <c r="D17" s="33"/>
      <c r="E17" s="34">
        <f t="shared" si="1"/>
        <v>1033</v>
      </c>
      <c r="F17" s="267">
        <f>Opbrengsten!I10</f>
        <v>0</v>
      </c>
      <c r="H17" s="90"/>
    </row>
    <row r="18" spans="1:8" s="42" customFormat="1" ht="12.75" customHeight="1">
      <c r="A18" s="41"/>
      <c r="B18" s="238"/>
      <c r="D18" s="33"/>
      <c r="E18" s="34">
        <f t="shared" si="1"/>
        <v>1034</v>
      </c>
      <c r="F18" s="267">
        <f>Opbrengsten!I11</f>
        <v>0</v>
      </c>
      <c r="H18" s="90"/>
    </row>
    <row r="19" spans="1:8" s="42" customFormat="1" ht="12.75" customHeight="1">
      <c r="A19" s="26" t="s">
        <v>442</v>
      </c>
      <c r="B19" s="28"/>
      <c r="C19" s="29"/>
      <c r="D19" s="33"/>
      <c r="E19" s="34">
        <f t="shared" si="1"/>
        <v>1035</v>
      </c>
      <c r="F19" s="267">
        <f>Opbrengsten!H13</f>
        <v>0</v>
      </c>
      <c r="H19" s="90"/>
    </row>
    <row r="20" spans="1:8" s="42" customFormat="1" ht="12.75" customHeight="1">
      <c r="A20" s="31">
        <f>A17+1</f>
        <v>1010</v>
      </c>
      <c r="B20" s="267" t="e">
        <f>Opbrengsten!#REF!</f>
        <v>#REF!</v>
      </c>
      <c r="C20" s="269"/>
      <c r="D20" s="44"/>
      <c r="E20" s="34">
        <f t="shared" si="1"/>
        <v>1036</v>
      </c>
      <c r="F20" s="267" t="e">
        <f>Opbrengsten!#REF!</f>
        <v>#REF!</v>
      </c>
      <c r="H20" s="90"/>
    </row>
    <row r="21" spans="1:8" s="42" customFormat="1" ht="12.75" customHeight="1">
      <c r="A21" s="32">
        <f>A20+1</f>
        <v>1011</v>
      </c>
      <c r="B21" s="267" t="e">
        <f>Opbrengsten!#REF!</f>
        <v>#REF!</v>
      </c>
      <c r="C21" s="269"/>
      <c r="D21" s="45"/>
      <c r="E21" s="34">
        <f t="shared" si="1"/>
        <v>1037</v>
      </c>
      <c r="F21" s="267" t="e">
        <f>Opbrengsten!#REF!</f>
        <v>#REF!</v>
      </c>
      <c r="H21" s="90"/>
    </row>
    <row r="22" spans="1:6" s="90" customFormat="1" ht="12.75" customHeight="1">
      <c r="A22" s="32">
        <f>A21+1</f>
        <v>1012</v>
      </c>
      <c r="B22" s="267" t="e">
        <f>Opbrengsten!#REF!</f>
        <v>#REF!</v>
      </c>
      <c r="C22" s="269"/>
      <c r="D22" s="27"/>
      <c r="E22" s="34">
        <f t="shared" si="1"/>
        <v>1038</v>
      </c>
      <c r="F22" s="267" t="e">
        <f>Opbrengsten!#REF!</f>
        <v>#REF!</v>
      </c>
    </row>
    <row r="23" spans="1:6" s="90" customFormat="1" ht="12.75" customHeight="1">
      <c r="A23" s="32">
        <f>A22+1</f>
        <v>1013</v>
      </c>
      <c r="B23" s="267" t="e">
        <f>Opbrengsten!#REF!</f>
        <v>#REF!</v>
      </c>
      <c r="C23" s="269"/>
      <c r="D23" s="27"/>
      <c r="E23" s="34">
        <f t="shared" si="1"/>
        <v>1039</v>
      </c>
      <c r="F23" s="267" t="str">
        <f>Opbrengsten!H14</f>
        <v>Totaal overige vergoedingen (1021t/m1024)</v>
      </c>
    </row>
    <row r="24" spans="1:6" s="42" customFormat="1" ht="12.75" customHeight="1">
      <c r="A24" s="35">
        <f>A23+1</f>
        <v>1014</v>
      </c>
      <c r="B24" s="267" t="e">
        <f>Opbrengsten!#REF!</f>
        <v>#REF!</v>
      </c>
      <c r="C24" s="269"/>
      <c r="D24" s="33"/>
      <c r="E24" s="34">
        <f t="shared" si="1"/>
        <v>1040</v>
      </c>
      <c r="F24" s="267" t="e">
        <f>Opbrengsten!#REF!</f>
        <v>#REF!</v>
      </c>
    </row>
    <row r="25" spans="1:6" s="42" customFormat="1" ht="12.75" customHeight="1">
      <c r="A25" s="37">
        <f>A24+1</f>
        <v>1015</v>
      </c>
      <c r="B25" s="39"/>
      <c r="C25" s="40"/>
      <c r="D25" s="33"/>
      <c r="E25" s="34">
        <f t="shared" si="1"/>
        <v>1041</v>
      </c>
      <c r="F25" s="267" t="e">
        <f>Opbrengsten!#REF!</f>
        <v>#REF!</v>
      </c>
    </row>
    <row r="26" spans="1:6" s="42" customFormat="1" ht="12.75" customHeight="1">
      <c r="A26" s="261"/>
      <c r="B26" s="43"/>
      <c r="D26" s="33"/>
      <c r="E26" s="34">
        <f t="shared" si="1"/>
        <v>1042</v>
      </c>
      <c r="F26" s="267" t="e">
        <f>Opbrengsten!#REF!</f>
        <v>#REF!</v>
      </c>
    </row>
    <row r="27" spans="1:8" s="42" customFormat="1" ht="12.75" customHeight="1">
      <c r="A27" s="26" t="s">
        <v>443</v>
      </c>
      <c r="B27" s="28"/>
      <c r="C27" s="29"/>
      <c r="D27" s="44"/>
      <c r="E27" s="34">
        <f t="shared" si="1"/>
        <v>1043</v>
      </c>
      <c r="F27" s="267" t="e">
        <f>Opbrengsten!#REF!</f>
        <v>#REF!</v>
      </c>
      <c r="H27" s="90"/>
    </row>
    <row r="28" spans="1:8" s="42" customFormat="1" ht="12.75" customHeight="1">
      <c r="A28" s="31">
        <f>A25+1</f>
        <v>1016</v>
      </c>
      <c r="B28" s="267">
        <f>Opbrengsten!D20</f>
        <v>0</v>
      </c>
      <c r="C28" s="268">
        <f>Opbrengsten!E20</f>
        <v>0</v>
      </c>
      <c r="D28" s="45"/>
      <c r="E28" s="34">
        <f t="shared" si="1"/>
        <v>1044</v>
      </c>
      <c r="F28" s="267" t="e">
        <f>Opbrengsten!#REF!</f>
        <v>#REF!</v>
      </c>
      <c r="H28" s="90"/>
    </row>
    <row r="29" spans="1:6" s="90" customFormat="1" ht="12.75" customHeight="1">
      <c r="A29" s="32">
        <f>A28+1</f>
        <v>1017</v>
      </c>
      <c r="B29" s="267">
        <f>Opbrengsten!D24</f>
        <v>0</v>
      </c>
      <c r="C29" s="268">
        <f>Opbrengsten!E22</f>
        <v>0</v>
      </c>
      <c r="D29" s="27"/>
      <c r="E29" s="34">
        <f>E25+1</f>
        <v>1042</v>
      </c>
      <c r="F29" s="267">
        <f>Opbrengsten!I20</f>
        <v>0</v>
      </c>
    </row>
    <row r="30" spans="1:6" s="90" customFormat="1" ht="12.75" customHeight="1">
      <c r="A30" s="34">
        <f>A29+1</f>
        <v>1018</v>
      </c>
      <c r="B30" s="267">
        <f>Opbrengsten!D25</f>
        <v>0</v>
      </c>
      <c r="C30" s="268">
        <f>Opbrengsten!E23</f>
        <v>0</v>
      </c>
      <c r="D30" s="27"/>
      <c r="E30" s="34">
        <f>E29+1</f>
        <v>1043</v>
      </c>
      <c r="F30" s="267">
        <f>Opbrengsten!I22</f>
        <v>0</v>
      </c>
    </row>
    <row r="31" spans="1:6" s="42" customFormat="1" ht="12.75" customHeight="1">
      <c r="A31" s="35">
        <f>A30+1</f>
        <v>1019</v>
      </c>
      <c r="B31" s="267" t="e">
        <f>Opbrengsten!#REF!</f>
        <v>#REF!</v>
      </c>
      <c r="C31" s="268" t="e">
        <f>Opbrengsten!#REF!</f>
        <v>#REF!</v>
      </c>
      <c r="D31" s="33"/>
      <c r="E31" s="34">
        <f>E30+1</f>
        <v>1044</v>
      </c>
      <c r="F31" s="267">
        <f>Opbrengsten!I23</f>
        <v>0</v>
      </c>
    </row>
    <row r="32" spans="1:6" s="42" customFormat="1" ht="12.75" customHeight="1">
      <c r="A32" s="37">
        <f>A31+1</f>
        <v>1020</v>
      </c>
      <c r="B32" s="39"/>
      <c r="C32" s="46"/>
      <c r="D32" s="33"/>
      <c r="E32" s="34">
        <f>E30+1</f>
        <v>1044</v>
      </c>
      <c r="F32" s="267">
        <f>Opbrengsten!I24</f>
        <v>0</v>
      </c>
    </row>
    <row r="33" spans="1:6" s="42" customFormat="1" ht="12.75" customHeight="1">
      <c r="A33" s="41"/>
      <c r="B33" s="43"/>
      <c r="D33" s="33"/>
      <c r="E33" s="34">
        <f>E31+1</f>
        <v>1045</v>
      </c>
      <c r="F33" s="267">
        <f>Opbrengsten!I25</f>
        <v>0</v>
      </c>
    </row>
    <row r="34" spans="1:6" s="42" customFormat="1" ht="12.75" customHeight="1">
      <c r="A34" s="26" t="s">
        <v>535</v>
      </c>
      <c r="B34" s="45"/>
      <c r="D34" s="48"/>
      <c r="E34" s="34">
        <f>E33+1</f>
        <v>1046</v>
      </c>
      <c r="F34" s="267">
        <f>Opbrengsten!I26</f>
        <v>0</v>
      </c>
    </row>
    <row r="35" spans="1:8" s="42" customFormat="1" ht="12.75" customHeight="1">
      <c r="A35" s="31">
        <f>A32+1</f>
        <v>1021</v>
      </c>
      <c r="B35" s="49"/>
      <c r="C35" s="50"/>
      <c r="E35" s="51">
        <f>E34+1</f>
        <v>1047</v>
      </c>
      <c r="F35" s="52"/>
      <c r="H35" s="90"/>
    </row>
    <row r="36" spans="1:21" ht="12.75">
      <c r="A36" s="35">
        <f>A35+1</f>
        <v>1022</v>
      </c>
      <c r="B36" s="49"/>
      <c r="C36" s="50"/>
      <c r="D36" s="4"/>
      <c r="E36" s="53"/>
      <c r="F36" s="5"/>
      <c r="G36" s="93"/>
      <c r="H36" s="96"/>
      <c r="I36" s="93"/>
      <c r="J36" s="93"/>
      <c r="K36" s="93"/>
      <c r="L36" s="93"/>
      <c r="M36" s="93"/>
      <c r="O36" s="2"/>
      <c r="P36" s="2"/>
      <c r="Q36" s="2"/>
      <c r="R36" s="2"/>
      <c r="S36" s="2"/>
      <c r="T36" s="2"/>
      <c r="U36" s="2"/>
    </row>
    <row r="37" spans="1:21" ht="12.75">
      <c r="A37" s="54">
        <f>A36+1</f>
        <v>1023</v>
      </c>
      <c r="B37" s="55"/>
      <c r="C37" s="56"/>
      <c r="D37" s="4"/>
      <c r="E37" s="26" t="s">
        <v>444</v>
      </c>
      <c r="F37" s="57"/>
      <c r="G37" s="93"/>
      <c r="H37" s="96"/>
      <c r="I37" s="93"/>
      <c r="J37" s="93"/>
      <c r="K37" s="93"/>
      <c r="L37" s="93"/>
      <c r="M37" s="93"/>
      <c r="O37" s="2"/>
      <c r="P37" s="2"/>
      <c r="Q37" s="2"/>
      <c r="R37" s="2"/>
      <c r="S37" s="2"/>
      <c r="T37" s="2"/>
      <c r="U37" s="2"/>
    </row>
    <row r="38" spans="1:21" ht="12.75" customHeight="1">
      <c r="A38" s="51">
        <f>A37+1</f>
        <v>1024</v>
      </c>
      <c r="B38" s="38"/>
      <c r="C38" s="52"/>
      <c r="D38" s="4"/>
      <c r="E38" s="37">
        <f>A38+1</f>
        <v>1025</v>
      </c>
      <c r="F38" s="60"/>
      <c r="G38" s="93"/>
      <c r="H38" s="96"/>
      <c r="I38" s="93"/>
      <c r="J38" s="93"/>
      <c r="K38" s="93"/>
      <c r="L38" s="93"/>
      <c r="M38" s="93"/>
      <c r="O38" s="2"/>
      <c r="P38" s="2"/>
      <c r="Q38" s="2"/>
      <c r="R38" s="2"/>
      <c r="S38" s="2"/>
      <c r="T38" s="2"/>
      <c r="U38" s="2"/>
    </row>
    <row r="39" spans="1:6" s="11" customFormat="1" ht="12.75" customHeight="1">
      <c r="A39" s="1"/>
      <c r="B39" s="3"/>
      <c r="C39" s="2"/>
      <c r="D39" s="2"/>
      <c r="E39" s="4"/>
      <c r="F39" s="1"/>
    </row>
    <row r="40" spans="1:21" ht="12.75">
      <c r="A40" s="21"/>
      <c r="B40" s="184"/>
      <c r="C40" s="184"/>
      <c r="D40" s="25" t="s">
        <v>449</v>
      </c>
      <c r="E40" s="24"/>
      <c r="F40" s="21"/>
      <c r="G40" s="62"/>
      <c r="H40" s="62"/>
      <c r="I40" s="63"/>
      <c r="J40" s="2"/>
      <c r="K40" s="93"/>
      <c r="L40" s="96"/>
      <c r="M40" s="93"/>
      <c r="N40" s="93"/>
      <c r="P40" s="93"/>
      <c r="R40" s="2"/>
      <c r="S40" s="2"/>
      <c r="T40" s="2"/>
      <c r="U40" s="2"/>
    </row>
    <row r="41" spans="1:21" ht="12.75">
      <c r="A41" s="64"/>
      <c r="B41" s="66"/>
      <c r="C41" s="66"/>
      <c r="D41" s="67"/>
      <c r="E41" s="65"/>
      <c r="F41" s="64"/>
      <c r="G41" s="68"/>
      <c r="H41" s="68"/>
      <c r="I41" s="69"/>
      <c r="J41" s="69"/>
      <c r="K41" s="70"/>
      <c r="M41" s="93"/>
      <c r="N41" s="96"/>
      <c r="P41" s="93"/>
      <c r="T41" s="2"/>
      <c r="U41" s="2"/>
    </row>
    <row r="42" spans="1:21" ht="12.75">
      <c r="A42" s="26" t="s">
        <v>521</v>
      </c>
      <c r="B42" s="48"/>
      <c r="C42" s="48"/>
      <c r="D42" s="236" t="s">
        <v>14</v>
      </c>
      <c r="E42" s="4"/>
      <c r="F42" s="71"/>
      <c r="G42" s="72"/>
      <c r="H42" s="72"/>
      <c r="I42" s="72"/>
      <c r="J42" s="72"/>
      <c r="K42" s="73"/>
      <c r="M42" s="93"/>
      <c r="N42" s="96"/>
      <c r="P42" s="93"/>
      <c r="T42" s="2"/>
      <c r="U42" s="2"/>
    </row>
    <row r="43" spans="1:21" ht="12.75">
      <c r="A43" s="31" t="e">
        <f>Opbrengsten!#REF!</f>
        <v>#REF!</v>
      </c>
      <c r="B43" s="134"/>
      <c r="C43" s="74"/>
      <c r="D43" s="267" t="e">
        <f>Opbrengsten!#REF!</f>
        <v>#REF!</v>
      </c>
      <c r="E43" s="4"/>
      <c r="F43" s="75"/>
      <c r="G43" s="76"/>
      <c r="H43" s="76"/>
      <c r="I43" s="76"/>
      <c r="J43" s="76"/>
      <c r="K43" s="76"/>
      <c r="M43" s="93"/>
      <c r="N43" s="96"/>
      <c r="P43" s="93"/>
      <c r="T43" s="2"/>
      <c r="U43" s="2"/>
    </row>
    <row r="44" spans="1:21" ht="12.75">
      <c r="A44" s="32" t="e">
        <f>A43+1</f>
        <v>#REF!</v>
      </c>
      <c r="B44" s="134"/>
      <c r="C44" s="77"/>
      <c r="D44" s="291"/>
      <c r="E44" s="4"/>
      <c r="F44" s="1"/>
      <c r="G44" s="2"/>
      <c r="H44" s="5"/>
      <c r="J44" s="2"/>
      <c r="M44" s="93"/>
      <c r="N44" s="96"/>
      <c r="P44" s="93"/>
      <c r="T44" s="2"/>
      <c r="U44" s="2"/>
    </row>
    <row r="45" spans="1:21" ht="12.75">
      <c r="A45" s="35" t="e">
        <f>A44+1</f>
        <v>#REF!</v>
      </c>
      <c r="B45" s="78"/>
      <c r="C45" s="79"/>
      <c r="D45" s="267" t="e">
        <f>Opbrengsten!#REF!</f>
        <v>#REF!</v>
      </c>
      <c r="E45" s="4"/>
      <c r="F45" s="1"/>
      <c r="G45" s="2"/>
      <c r="H45" s="5"/>
      <c r="J45" s="2"/>
      <c r="M45" s="93"/>
      <c r="N45" s="96"/>
      <c r="P45" s="93"/>
      <c r="T45" s="2"/>
      <c r="U45" s="2"/>
    </row>
    <row r="46" spans="1:19" s="87" customFormat="1" ht="12.75">
      <c r="A46" s="37" t="e">
        <f>A45+1</f>
        <v>#REF!</v>
      </c>
      <c r="B46" s="52"/>
      <c r="C46" s="80"/>
      <c r="D46" s="292"/>
      <c r="E46" s="4"/>
      <c r="F46" s="1"/>
      <c r="G46" s="2"/>
      <c r="H46" s="5"/>
      <c r="I46" s="2"/>
      <c r="J46" s="2"/>
      <c r="K46" s="2"/>
      <c r="M46" s="293"/>
      <c r="N46" s="294"/>
      <c r="O46" s="293"/>
      <c r="P46" s="293"/>
      <c r="Q46" s="293"/>
      <c r="R46" s="293"/>
      <c r="S46" s="293"/>
    </row>
    <row r="47" spans="1:21" ht="12.75">
      <c r="A47" s="81" t="e">
        <f>A46+1</f>
        <v>#REF!</v>
      </c>
      <c r="B47" s="271"/>
      <c r="C47" s="82"/>
      <c r="D47" s="267" t="e">
        <f>Opbrengsten!#REF!</f>
        <v>#REF!</v>
      </c>
      <c r="E47" s="4"/>
      <c r="F47" s="1"/>
      <c r="G47" s="2"/>
      <c r="H47" s="5"/>
      <c r="J47" s="2"/>
      <c r="M47" s="93"/>
      <c r="N47" s="96"/>
      <c r="P47" s="93"/>
      <c r="T47" s="2"/>
      <c r="U47" s="2"/>
    </row>
    <row r="48" spans="1:21" ht="12.75">
      <c r="A48" s="37" t="e">
        <f>A47+1</f>
        <v>#REF!</v>
      </c>
      <c r="B48" s="52"/>
      <c r="C48" s="80"/>
      <c r="D48" s="292"/>
      <c r="E48" s="4"/>
      <c r="F48" s="1"/>
      <c r="G48" s="2"/>
      <c r="H48" s="5"/>
      <c r="J48" s="2"/>
      <c r="M48" s="93"/>
      <c r="N48" s="96"/>
      <c r="P48" s="93"/>
      <c r="T48" s="2"/>
      <c r="U48" s="2"/>
    </row>
    <row r="49" spans="1:21" ht="12.75">
      <c r="A49" s="83"/>
      <c r="B49" s="84"/>
      <c r="C49" s="84"/>
      <c r="D49" s="84"/>
      <c r="E49" s="85"/>
      <c r="F49" s="86"/>
      <c r="G49" s="87"/>
      <c r="H49" s="76"/>
      <c r="I49" s="87"/>
      <c r="J49" s="87"/>
      <c r="K49" s="87"/>
      <c r="M49" s="93"/>
      <c r="N49" s="96"/>
      <c r="P49" s="93"/>
      <c r="T49" s="2"/>
      <c r="U49" s="2"/>
    </row>
    <row r="50" spans="1:21" ht="12.75">
      <c r="A50" s="83" t="s">
        <v>11</v>
      </c>
      <c r="B50" s="84"/>
      <c r="C50" s="84"/>
      <c r="D50" s="236" t="s">
        <v>14</v>
      </c>
      <c r="E50" s="85"/>
      <c r="F50" s="86"/>
      <c r="G50" s="87"/>
      <c r="H50" s="76"/>
      <c r="I50" s="87"/>
      <c r="J50" s="87"/>
      <c r="K50" s="87"/>
      <c r="M50" s="93"/>
      <c r="N50" s="96"/>
      <c r="P50" s="93"/>
      <c r="T50" s="2"/>
      <c r="U50" s="2"/>
    </row>
    <row r="51" spans="1:21" ht="12.75">
      <c r="A51" s="31" t="e">
        <f>A48+1</f>
        <v>#REF!</v>
      </c>
      <c r="B51" s="134"/>
      <c r="C51" s="88"/>
      <c r="D51" s="291"/>
      <c r="E51" s="4"/>
      <c r="F51" s="1"/>
      <c r="G51" s="2"/>
      <c r="H51" s="5"/>
      <c r="J51" s="2"/>
      <c r="M51" s="93"/>
      <c r="N51" s="96"/>
      <c r="P51" s="93"/>
      <c r="T51" s="2"/>
      <c r="U51" s="2"/>
    </row>
    <row r="52" spans="1:21" ht="12.75" customHeight="1">
      <c r="A52" s="35" t="e">
        <f>A51+1</f>
        <v>#REF!</v>
      </c>
      <c r="B52" s="237"/>
      <c r="C52" s="36"/>
      <c r="D52" s="295" t="e">
        <f>Opbrengsten!#REF!</f>
        <v>#REF!</v>
      </c>
      <c r="E52" s="4"/>
      <c r="F52" s="1"/>
      <c r="G52" s="2"/>
      <c r="H52" s="5"/>
      <c r="J52" s="2"/>
      <c r="M52" s="93"/>
      <c r="N52" s="96"/>
      <c r="P52" s="93"/>
      <c r="T52" s="2"/>
      <c r="U52" s="2"/>
    </row>
    <row r="53" spans="1:21" ht="12.75">
      <c r="A53" s="81"/>
      <c r="B53" s="296"/>
      <c r="C53" s="297"/>
      <c r="D53" s="298" t="e">
        <f>Opbrengsten!#REF!</f>
        <v>#REF!</v>
      </c>
      <c r="E53" s="4"/>
      <c r="F53" s="1"/>
      <c r="G53" s="2"/>
      <c r="H53" s="5"/>
      <c r="J53" s="2"/>
      <c r="M53" s="93"/>
      <c r="N53" s="96"/>
      <c r="P53" s="93"/>
      <c r="T53" s="2"/>
      <c r="U53" s="2"/>
    </row>
    <row r="54" spans="1:21" ht="12.75">
      <c r="A54" s="37" t="e">
        <f>A52+1</f>
        <v>#REF!</v>
      </c>
      <c r="B54" s="52"/>
      <c r="C54" s="89"/>
      <c r="D54" s="292"/>
      <c r="E54" s="4"/>
      <c r="F54" s="1"/>
      <c r="G54" s="2"/>
      <c r="H54" s="5"/>
      <c r="J54" s="2"/>
      <c r="M54" s="93"/>
      <c r="N54" s="96"/>
      <c r="P54" s="93"/>
      <c r="T54" s="2"/>
      <c r="U54" s="2"/>
    </row>
    <row r="55" spans="1:21" ht="12.75">
      <c r="A55" s="81" t="e">
        <f>A54+1</f>
        <v>#REF!</v>
      </c>
      <c r="B55" s="271"/>
      <c r="C55" s="82"/>
      <c r="D55" s="267" t="e">
        <f>Opbrengsten!#REF!</f>
        <v>#REF!</v>
      </c>
      <c r="E55" s="4"/>
      <c r="F55" s="1"/>
      <c r="G55" s="2"/>
      <c r="H55" s="5"/>
      <c r="J55" s="2"/>
      <c r="M55" s="93"/>
      <c r="N55" s="96"/>
      <c r="P55" s="93"/>
      <c r="T55" s="2"/>
      <c r="U55" s="2"/>
    </row>
    <row r="56" spans="1:21" ht="12.75">
      <c r="A56" s="37" t="e">
        <f>A55+1</f>
        <v>#REF!</v>
      </c>
      <c r="B56" s="52"/>
      <c r="C56" s="80"/>
      <c r="D56" s="292"/>
      <c r="E56" s="4"/>
      <c r="F56" s="1"/>
      <c r="G56" s="2"/>
      <c r="H56" s="5"/>
      <c r="J56" s="2"/>
      <c r="M56" s="93"/>
      <c r="N56" s="96"/>
      <c r="P56" s="93"/>
      <c r="T56" s="2"/>
      <c r="U56" s="2"/>
    </row>
    <row r="58" spans="1:11" ht="12.75">
      <c r="A58" s="14" t="s">
        <v>438</v>
      </c>
      <c r="B58" s="17"/>
      <c r="C58" s="97"/>
      <c r="D58" s="17"/>
      <c r="E58" s="17"/>
      <c r="F58" s="18"/>
      <c r="G58" s="98"/>
      <c r="H58" s="17"/>
      <c r="I58" s="19"/>
      <c r="J58" s="17"/>
      <c r="K58" s="93"/>
    </row>
    <row r="59" spans="1:11" ht="12.75">
      <c r="A59" s="174"/>
      <c r="B59" s="99"/>
      <c r="C59" s="100"/>
      <c r="D59" s="101"/>
      <c r="E59" s="102"/>
      <c r="F59" s="103"/>
      <c r="G59" s="102"/>
      <c r="H59" s="103"/>
      <c r="I59" s="103"/>
      <c r="J59" s="103"/>
      <c r="K59" s="104"/>
    </row>
    <row r="60" spans="1:21" ht="12.75">
      <c r="A60" s="211"/>
      <c r="B60" s="105" t="s">
        <v>432</v>
      </c>
      <c r="C60" s="209" t="s">
        <v>518</v>
      </c>
      <c r="D60" s="299"/>
      <c r="E60" s="300" t="s">
        <v>519</v>
      </c>
      <c r="F60" s="301"/>
      <c r="G60" s="209" t="e">
        <f>CONCATENATE("Jaarrekening ",#REF!)</f>
        <v>#REF!</v>
      </c>
      <c r="H60" s="302"/>
      <c r="I60" s="303"/>
      <c r="J60" s="2"/>
      <c r="M60" s="93"/>
      <c r="N60" s="96"/>
      <c r="P60" s="93"/>
      <c r="T60" s="2"/>
      <c r="U60" s="2"/>
    </row>
    <row r="61" spans="1:21" ht="12.75">
      <c r="A61" s="211"/>
      <c r="B61" s="106" t="e">
        <f>#REF!-1</f>
        <v>#REF!</v>
      </c>
      <c r="C61" s="106" t="e">
        <f>CONCATENATE("Doorw. ",#REF!-1," ")</f>
        <v>#REF!</v>
      </c>
      <c r="D61" s="106" t="e">
        <f>#REF!</f>
        <v>#REF!</v>
      </c>
      <c r="E61" s="106" t="e">
        <f>CONCATENATE("Doorw. ",#REF!-1," ")</f>
        <v>#REF!</v>
      </c>
      <c r="F61" s="107" t="e">
        <f>CONCATENATE(#REF!,"* ")</f>
        <v>#REF!</v>
      </c>
      <c r="G61" s="108" t="s">
        <v>432</v>
      </c>
      <c r="H61" s="109" t="s">
        <v>520</v>
      </c>
      <c r="I61" s="107" t="s">
        <v>431</v>
      </c>
      <c r="J61" s="2"/>
      <c r="M61" s="93"/>
      <c r="N61" s="96"/>
      <c r="P61" s="93"/>
      <c r="T61" s="2"/>
      <c r="U61" s="2"/>
    </row>
    <row r="62" spans="1:11" ht="12.75">
      <c r="A62" s="20"/>
      <c r="B62" s="20"/>
      <c r="C62" s="20"/>
      <c r="D62" s="20"/>
      <c r="E62" s="20"/>
      <c r="F62" s="20"/>
      <c r="G62" s="20"/>
      <c r="H62" s="20"/>
      <c r="I62" s="20"/>
      <c r="J62" s="20"/>
      <c r="K62" s="42"/>
    </row>
    <row r="63" spans="1:11" ht="12.75">
      <c r="A63" s="41" t="s">
        <v>447</v>
      </c>
      <c r="B63" s="44" t="s">
        <v>448</v>
      </c>
      <c r="C63" s="110"/>
      <c r="D63" s="111"/>
      <c r="E63" s="112"/>
      <c r="F63" s="113"/>
      <c r="G63" s="112"/>
      <c r="H63" s="113"/>
      <c r="I63" s="113"/>
      <c r="J63" s="113"/>
      <c r="K63" s="47"/>
    </row>
    <row r="64" spans="1:21" ht="12.75">
      <c r="A64" s="31" t="e">
        <f>#REF!</f>
        <v>#REF!</v>
      </c>
      <c r="B64" s="267" t="e">
        <f>#REF!</f>
        <v>#REF!</v>
      </c>
      <c r="C64" s="304" t="e">
        <f>#REF!</f>
        <v>#REF!</v>
      </c>
      <c r="D64" s="304" t="e">
        <f>#REF!</f>
        <v>#REF!</v>
      </c>
      <c r="E64" s="267" t="e">
        <f>#REF!</f>
        <v>#REF!</v>
      </c>
      <c r="F64" s="267" t="e">
        <f>#REF!</f>
        <v>#REF!</v>
      </c>
      <c r="G64" s="305"/>
      <c r="H64" s="267" t="e">
        <f>#REF!</f>
        <v>#REF!</v>
      </c>
      <c r="I64" s="267" t="e">
        <f>#REF!</f>
        <v>#REF!</v>
      </c>
      <c r="J64" s="2"/>
      <c r="M64" s="93"/>
      <c r="N64" s="96"/>
      <c r="P64" s="93"/>
      <c r="T64" s="2"/>
      <c r="U64" s="2"/>
    </row>
    <row r="65" spans="1:21" ht="12.75">
      <c r="A65" s="34" t="e">
        <f aca="true" t="shared" si="2" ref="A65:A76">A64+1</f>
        <v>#REF!</v>
      </c>
      <c r="B65" s="267" t="e">
        <f>#REF!</f>
        <v>#REF!</v>
      </c>
      <c r="C65" s="304" t="e">
        <f>#REF!</f>
        <v>#REF!</v>
      </c>
      <c r="D65" s="304" t="e">
        <f>#REF!</f>
        <v>#REF!</v>
      </c>
      <c r="E65" s="267" t="e">
        <f>#REF!</f>
        <v>#REF!</v>
      </c>
      <c r="F65" s="267" t="e">
        <f>#REF!</f>
        <v>#REF!</v>
      </c>
      <c r="G65" s="305"/>
      <c r="H65" s="267" t="e">
        <f>#REF!</f>
        <v>#REF!</v>
      </c>
      <c r="I65" s="267" t="e">
        <f>#REF!</f>
        <v>#REF!</v>
      </c>
      <c r="J65" s="2"/>
      <c r="M65" s="93"/>
      <c r="N65" s="96"/>
      <c r="P65" s="93"/>
      <c r="T65" s="2"/>
      <c r="U65" s="2"/>
    </row>
    <row r="66" spans="1:21" ht="12.75">
      <c r="A66" s="34" t="e">
        <f t="shared" si="2"/>
        <v>#REF!</v>
      </c>
      <c r="B66" s="267" t="e">
        <f>#REF!</f>
        <v>#REF!</v>
      </c>
      <c r="C66" s="304" t="e">
        <f>#REF!</f>
        <v>#REF!</v>
      </c>
      <c r="D66" s="304" t="e">
        <f>#REF!</f>
        <v>#REF!</v>
      </c>
      <c r="E66" s="267" t="e">
        <f>#REF!</f>
        <v>#REF!</v>
      </c>
      <c r="F66" s="267" t="e">
        <f>#REF!</f>
        <v>#REF!</v>
      </c>
      <c r="G66" s="305"/>
      <c r="H66" s="267" t="e">
        <f>#REF!</f>
        <v>#REF!</v>
      </c>
      <c r="I66" s="267" t="e">
        <f>#REF!</f>
        <v>#REF!</v>
      </c>
      <c r="J66" s="2"/>
      <c r="M66" s="93"/>
      <c r="N66" s="96"/>
      <c r="P66" s="93"/>
      <c r="T66" s="2"/>
      <c r="U66" s="2"/>
    </row>
    <row r="67" spans="1:21" ht="12.75">
      <c r="A67" s="34" t="e">
        <f t="shared" si="2"/>
        <v>#REF!</v>
      </c>
      <c r="B67" s="267" t="e">
        <f>#REF!</f>
        <v>#REF!</v>
      </c>
      <c r="C67" s="304" t="e">
        <f>#REF!</f>
        <v>#REF!</v>
      </c>
      <c r="D67" s="304" t="e">
        <f>#REF!</f>
        <v>#REF!</v>
      </c>
      <c r="E67" s="267" t="e">
        <f>#REF!</f>
        <v>#REF!</v>
      </c>
      <c r="F67" s="267" t="e">
        <f>#REF!</f>
        <v>#REF!</v>
      </c>
      <c r="G67" s="305"/>
      <c r="H67" s="267" t="e">
        <f>#REF!</f>
        <v>#REF!</v>
      </c>
      <c r="I67" s="267" t="e">
        <f>#REF!</f>
        <v>#REF!</v>
      </c>
      <c r="J67" s="2"/>
      <c r="M67" s="93"/>
      <c r="N67" s="96"/>
      <c r="P67" s="93"/>
      <c r="T67" s="2"/>
      <c r="U67" s="2"/>
    </row>
    <row r="68" spans="1:21" ht="12.75">
      <c r="A68" s="34" t="e">
        <f t="shared" si="2"/>
        <v>#REF!</v>
      </c>
      <c r="B68" s="267" t="e">
        <f>#REF!</f>
        <v>#REF!</v>
      </c>
      <c r="C68" s="304" t="e">
        <f>#REF!</f>
        <v>#REF!</v>
      </c>
      <c r="D68" s="304" t="e">
        <f>#REF!</f>
        <v>#REF!</v>
      </c>
      <c r="E68" s="267" t="e">
        <f>#REF!</f>
        <v>#REF!</v>
      </c>
      <c r="F68" s="267" t="e">
        <f>#REF!</f>
        <v>#REF!</v>
      </c>
      <c r="G68" s="305"/>
      <c r="H68" s="267" t="e">
        <f>#REF!</f>
        <v>#REF!</v>
      </c>
      <c r="I68" s="267" t="e">
        <f>#REF!</f>
        <v>#REF!</v>
      </c>
      <c r="J68" s="2"/>
      <c r="M68" s="93"/>
      <c r="N68" s="96"/>
      <c r="P68" s="93"/>
      <c r="T68" s="2"/>
      <c r="U68" s="2"/>
    </row>
    <row r="69" spans="1:21" ht="12.75">
      <c r="A69" s="34" t="e">
        <f t="shared" si="2"/>
        <v>#REF!</v>
      </c>
      <c r="B69" s="267" t="e">
        <f>#REF!</f>
        <v>#REF!</v>
      </c>
      <c r="C69" s="304" t="e">
        <f>#REF!</f>
        <v>#REF!</v>
      </c>
      <c r="D69" s="304" t="e">
        <f>#REF!</f>
        <v>#REF!</v>
      </c>
      <c r="E69" s="267" t="e">
        <f>#REF!</f>
        <v>#REF!</v>
      </c>
      <c r="F69" s="267" t="e">
        <f>#REF!</f>
        <v>#REF!</v>
      </c>
      <c r="G69" s="305"/>
      <c r="H69" s="267" t="e">
        <f>#REF!</f>
        <v>#REF!</v>
      </c>
      <c r="I69" s="267" t="e">
        <f>#REF!</f>
        <v>#REF!</v>
      </c>
      <c r="J69" s="2"/>
      <c r="M69" s="93"/>
      <c r="N69" s="96"/>
      <c r="P69" s="93"/>
      <c r="T69" s="2"/>
      <c r="U69" s="2"/>
    </row>
    <row r="70" spans="1:21" ht="12.75">
      <c r="A70" s="34" t="e">
        <f t="shared" si="2"/>
        <v>#REF!</v>
      </c>
      <c r="B70" s="267" t="e">
        <f>#REF!</f>
        <v>#REF!</v>
      </c>
      <c r="C70" s="304" t="e">
        <f>#REF!</f>
        <v>#REF!</v>
      </c>
      <c r="D70" s="304" t="e">
        <f>#REF!</f>
        <v>#REF!</v>
      </c>
      <c r="E70" s="267" t="e">
        <f>#REF!</f>
        <v>#REF!</v>
      </c>
      <c r="F70" s="267" t="e">
        <f>#REF!</f>
        <v>#REF!</v>
      </c>
      <c r="G70" s="305"/>
      <c r="H70" s="267" t="e">
        <f>#REF!</f>
        <v>#REF!</v>
      </c>
      <c r="I70" s="267" t="e">
        <f>#REF!</f>
        <v>#REF!</v>
      </c>
      <c r="J70" s="2"/>
      <c r="M70" s="93"/>
      <c r="N70" s="96"/>
      <c r="P70" s="93"/>
      <c r="T70" s="2"/>
      <c r="U70" s="2"/>
    </row>
    <row r="71" spans="1:21" ht="12.75">
      <c r="A71" s="34" t="e">
        <f t="shared" si="2"/>
        <v>#REF!</v>
      </c>
      <c r="B71" s="267" t="e">
        <f>#REF!</f>
        <v>#REF!</v>
      </c>
      <c r="C71" s="304" t="e">
        <f>#REF!</f>
        <v>#REF!</v>
      </c>
      <c r="D71" s="304" t="e">
        <f>#REF!</f>
        <v>#REF!</v>
      </c>
      <c r="E71" s="267" t="e">
        <f>#REF!</f>
        <v>#REF!</v>
      </c>
      <c r="F71" s="267" t="e">
        <f>#REF!</f>
        <v>#REF!</v>
      </c>
      <c r="G71" s="305"/>
      <c r="H71" s="267" t="e">
        <f>#REF!</f>
        <v>#REF!</v>
      </c>
      <c r="I71" s="267" t="e">
        <f>#REF!</f>
        <v>#REF!</v>
      </c>
      <c r="J71" s="2"/>
      <c r="M71" s="93"/>
      <c r="N71" s="96"/>
      <c r="P71" s="93"/>
      <c r="T71" s="2"/>
      <c r="U71" s="2"/>
    </row>
    <row r="72" spans="1:21" ht="12.75">
      <c r="A72" s="34" t="e">
        <f t="shared" si="2"/>
        <v>#REF!</v>
      </c>
      <c r="B72" s="267" t="e">
        <f>#REF!</f>
        <v>#REF!</v>
      </c>
      <c r="C72" s="304" t="e">
        <f>#REF!</f>
        <v>#REF!</v>
      </c>
      <c r="D72" s="304" t="e">
        <f>#REF!</f>
        <v>#REF!</v>
      </c>
      <c r="E72" s="267" t="e">
        <f>#REF!</f>
        <v>#REF!</v>
      </c>
      <c r="F72" s="267" t="e">
        <f>#REF!</f>
        <v>#REF!</v>
      </c>
      <c r="G72" s="305"/>
      <c r="H72" s="267" t="e">
        <f>#REF!</f>
        <v>#REF!</v>
      </c>
      <c r="I72" s="267" t="e">
        <f>#REF!</f>
        <v>#REF!</v>
      </c>
      <c r="J72" s="2"/>
      <c r="M72" s="93"/>
      <c r="N72" s="96"/>
      <c r="P72" s="93"/>
      <c r="T72" s="2"/>
      <c r="U72" s="2"/>
    </row>
    <row r="73" spans="1:21" ht="12.75">
      <c r="A73" s="54" t="e">
        <f t="shared" si="2"/>
        <v>#REF!</v>
      </c>
      <c r="B73" s="267" t="e">
        <f>#REF!</f>
        <v>#REF!</v>
      </c>
      <c r="C73" s="306" t="e">
        <f>#REF!</f>
        <v>#REF!</v>
      </c>
      <c r="D73" s="306" t="e">
        <f>#REF!</f>
        <v>#REF!</v>
      </c>
      <c r="E73" s="267" t="e">
        <f>#REF!</f>
        <v>#REF!</v>
      </c>
      <c r="F73" s="267" t="e">
        <f>#REF!</f>
        <v>#REF!</v>
      </c>
      <c r="G73" s="305"/>
      <c r="H73" s="267" t="e">
        <f>#REF!</f>
        <v>#REF!</v>
      </c>
      <c r="I73" s="267" t="e">
        <f>#REF!</f>
        <v>#REF!</v>
      </c>
      <c r="J73" s="2"/>
      <c r="M73" s="93"/>
      <c r="N73" s="96"/>
      <c r="P73" s="93"/>
      <c r="T73" s="2"/>
      <c r="U73" s="2"/>
    </row>
    <row r="74" spans="1:21" ht="12.75">
      <c r="A74" s="37" t="e">
        <f t="shared" si="2"/>
        <v>#REF!</v>
      </c>
      <c r="B74" s="307"/>
      <c r="C74" s="308"/>
      <c r="D74" s="308"/>
      <c r="E74" s="307"/>
      <c r="F74" s="307"/>
      <c r="G74" s="292"/>
      <c r="H74" s="292"/>
      <c r="I74" s="292"/>
      <c r="J74" s="2"/>
      <c r="M74" s="93"/>
      <c r="N74" s="96"/>
      <c r="P74" s="93"/>
      <c r="T74" s="2"/>
      <c r="U74" s="2"/>
    </row>
    <row r="75" spans="1:21" ht="12.75">
      <c r="A75" s="81" t="e">
        <f t="shared" si="2"/>
        <v>#REF!</v>
      </c>
      <c r="B75" s="309"/>
      <c r="C75" s="309"/>
      <c r="D75" s="310"/>
      <c r="E75" s="309"/>
      <c r="F75" s="309"/>
      <c r="G75" s="267" t="e">
        <f>#REF!</f>
        <v>#REF!</v>
      </c>
      <c r="H75" s="267" t="e">
        <f>#REF!</f>
        <v>#REF!</v>
      </c>
      <c r="I75" s="267" t="e">
        <f>#REF!</f>
        <v>#REF!</v>
      </c>
      <c r="J75" s="2"/>
      <c r="M75" s="93"/>
      <c r="N75" s="96"/>
      <c r="P75" s="93"/>
      <c r="T75" s="2"/>
      <c r="U75" s="2"/>
    </row>
    <row r="76" spans="1:21" ht="12.75">
      <c r="A76" s="37" t="e">
        <f t="shared" si="2"/>
        <v>#REF!</v>
      </c>
      <c r="B76" s="311"/>
      <c r="C76" s="311"/>
      <c r="D76" s="311"/>
      <c r="E76" s="311"/>
      <c r="F76" s="311"/>
      <c r="G76" s="292" t="e">
        <f>G74-G75</f>
        <v>#REF!</v>
      </c>
      <c r="H76" s="292" t="e">
        <f>H74-H75</f>
        <v>#REF!</v>
      </c>
      <c r="I76" s="292" t="e">
        <f>I74-I75</f>
        <v>#REF!</v>
      </c>
      <c r="J76" s="2"/>
      <c r="M76" s="93"/>
      <c r="N76" s="96"/>
      <c r="P76" s="93"/>
      <c r="T76" s="2"/>
      <c r="U76" s="2"/>
    </row>
    <row r="77" spans="1:11" ht="12.75">
      <c r="A77" s="114" t="e">
        <f>CONCATENATE("* zie ",Uitvoer!#REF!," ",Uitvoer!#REF!," op volgende pagina.")</f>
        <v>#REF!</v>
      </c>
      <c r="B77" s="115"/>
      <c r="C77" s="100"/>
      <c r="D77" s="101"/>
      <c r="E77" s="101"/>
      <c r="F77" s="103"/>
      <c r="G77" s="103"/>
      <c r="H77" s="103"/>
      <c r="I77" s="116"/>
      <c r="J77" s="117"/>
      <c r="K77" s="118"/>
    </row>
    <row r="78" spans="1:11" ht="12.75">
      <c r="A78" s="312"/>
      <c r="B78" s="115"/>
      <c r="C78" s="100"/>
      <c r="D78" s="101"/>
      <c r="E78" s="101"/>
      <c r="F78" s="103"/>
      <c r="G78" s="103"/>
      <c r="H78" s="103"/>
      <c r="I78" s="116"/>
      <c r="J78" s="117"/>
      <c r="K78" s="118"/>
    </row>
    <row r="79" spans="1:11" ht="12.75">
      <c r="A79" s="41" t="s">
        <v>451</v>
      </c>
      <c r="B79" s="45" t="s">
        <v>452</v>
      </c>
      <c r="C79" s="110"/>
      <c r="D79" s="119"/>
      <c r="E79" s="112"/>
      <c r="F79" s="90"/>
      <c r="G79" s="113"/>
      <c r="H79" s="120"/>
      <c r="I79" s="90"/>
      <c r="J79" s="84"/>
      <c r="K79" s="90"/>
    </row>
    <row r="80" spans="1:21" ht="12.75">
      <c r="A80" s="262" t="e">
        <f>A76+1</f>
        <v>#REF!</v>
      </c>
      <c r="B80" s="267" t="e">
        <f>#REF!</f>
        <v>#REF!</v>
      </c>
      <c r="C80" s="304" t="e">
        <f>#REF!</f>
        <v>#REF!</v>
      </c>
      <c r="D80" s="304" t="e">
        <f>#REF!</f>
        <v>#REF!</v>
      </c>
      <c r="E80" s="267" t="e">
        <f>#REF!</f>
        <v>#REF!</v>
      </c>
      <c r="F80" s="267" t="e">
        <f>#REF!</f>
        <v>#REF!</v>
      </c>
      <c r="G80" s="305" t="e">
        <f aca="true" t="shared" si="3" ref="G80:G85">B80+F80</f>
        <v>#REF!</v>
      </c>
      <c r="H80" s="267" t="e">
        <f>#REF!</f>
        <v>#REF!</v>
      </c>
      <c r="I80" s="267" t="e">
        <f>#REF!</f>
        <v>#REF!</v>
      </c>
      <c r="J80" s="2"/>
      <c r="M80" s="93"/>
      <c r="N80" s="96"/>
      <c r="P80" s="93"/>
      <c r="T80" s="2"/>
      <c r="U80" s="2"/>
    </row>
    <row r="81" spans="1:21" ht="12.75">
      <c r="A81" s="34" t="e">
        <f aca="true" t="shared" si="4" ref="A81:A86">A80+1</f>
        <v>#REF!</v>
      </c>
      <c r="B81" s="267" t="e">
        <f>#REF!</f>
        <v>#REF!</v>
      </c>
      <c r="C81" s="304" t="e">
        <f>#REF!</f>
        <v>#REF!</v>
      </c>
      <c r="D81" s="304" t="e">
        <f>#REF!</f>
        <v>#REF!</v>
      </c>
      <c r="E81" s="267" t="e">
        <f>#REF!</f>
        <v>#REF!</v>
      </c>
      <c r="F81" s="267" t="e">
        <f>#REF!</f>
        <v>#REF!</v>
      </c>
      <c r="G81" s="305" t="e">
        <f t="shared" si="3"/>
        <v>#REF!</v>
      </c>
      <c r="H81" s="267" t="e">
        <f>#REF!</f>
        <v>#REF!</v>
      </c>
      <c r="I81" s="267" t="e">
        <f>#REF!</f>
        <v>#REF!</v>
      </c>
      <c r="J81" s="2"/>
      <c r="M81" s="93"/>
      <c r="N81" s="96"/>
      <c r="P81" s="93"/>
      <c r="T81" s="2"/>
      <c r="U81" s="2"/>
    </row>
    <row r="82" spans="1:21" ht="12.75">
      <c r="A82" s="34" t="e">
        <f t="shared" si="4"/>
        <v>#REF!</v>
      </c>
      <c r="B82" s="267" t="e">
        <f>#REF!</f>
        <v>#REF!</v>
      </c>
      <c r="C82" s="304" t="e">
        <f>#REF!</f>
        <v>#REF!</v>
      </c>
      <c r="D82" s="304" t="e">
        <f>#REF!</f>
        <v>#REF!</v>
      </c>
      <c r="E82" s="267" t="e">
        <f>#REF!</f>
        <v>#REF!</v>
      </c>
      <c r="F82" s="267" t="e">
        <f>#REF!</f>
        <v>#REF!</v>
      </c>
      <c r="G82" s="305" t="e">
        <f t="shared" si="3"/>
        <v>#REF!</v>
      </c>
      <c r="H82" s="267" t="e">
        <f>#REF!</f>
        <v>#REF!</v>
      </c>
      <c r="I82" s="267" t="e">
        <f>#REF!</f>
        <v>#REF!</v>
      </c>
      <c r="J82" s="2"/>
      <c r="M82" s="93"/>
      <c r="N82" s="96"/>
      <c r="P82" s="93"/>
      <c r="T82" s="2"/>
      <c r="U82" s="2"/>
    </row>
    <row r="83" spans="1:21" ht="12.75">
      <c r="A83" s="34" t="e">
        <f t="shared" si="4"/>
        <v>#REF!</v>
      </c>
      <c r="B83" s="267" t="e">
        <f>#REF!</f>
        <v>#REF!</v>
      </c>
      <c r="C83" s="304" t="e">
        <f>#REF!</f>
        <v>#REF!</v>
      </c>
      <c r="D83" s="304" t="e">
        <f>#REF!</f>
        <v>#REF!</v>
      </c>
      <c r="E83" s="267" t="e">
        <f>#REF!</f>
        <v>#REF!</v>
      </c>
      <c r="F83" s="267" t="e">
        <f>#REF!</f>
        <v>#REF!</v>
      </c>
      <c r="G83" s="305" t="e">
        <f t="shared" si="3"/>
        <v>#REF!</v>
      </c>
      <c r="H83" s="267" t="e">
        <f>#REF!</f>
        <v>#REF!</v>
      </c>
      <c r="I83" s="267" t="e">
        <f>#REF!</f>
        <v>#REF!</v>
      </c>
      <c r="J83" s="2"/>
      <c r="M83" s="93"/>
      <c r="N83" s="96"/>
      <c r="P83" s="93"/>
      <c r="T83" s="2"/>
      <c r="U83" s="2"/>
    </row>
    <row r="84" spans="1:21" ht="12.75">
      <c r="A84" s="34" t="e">
        <f t="shared" si="4"/>
        <v>#REF!</v>
      </c>
      <c r="B84" s="267" t="e">
        <f>#REF!</f>
        <v>#REF!</v>
      </c>
      <c r="C84" s="304" t="e">
        <f>#REF!</f>
        <v>#REF!</v>
      </c>
      <c r="D84" s="304" t="e">
        <f>#REF!</f>
        <v>#REF!</v>
      </c>
      <c r="E84" s="267" t="e">
        <f>#REF!</f>
        <v>#REF!</v>
      </c>
      <c r="F84" s="267" t="e">
        <f>#REF!</f>
        <v>#REF!</v>
      </c>
      <c r="G84" s="305" t="e">
        <f t="shared" si="3"/>
        <v>#REF!</v>
      </c>
      <c r="H84" s="267" t="e">
        <f>#REF!</f>
        <v>#REF!</v>
      </c>
      <c r="I84" s="267" t="e">
        <f>#REF!</f>
        <v>#REF!</v>
      </c>
      <c r="J84" s="2"/>
      <c r="M84" s="93"/>
      <c r="N84" s="96"/>
      <c r="P84" s="93"/>
      <c r="T84" s="2"/>
      <c r="U84" s="2"/>
    </row>
    <row r="85" spans="1:21" ht="12.75">
      <c r="A85" s="54" t="e">
        <f t="shared" si="4"/>
        <v>#REF!</v>
      </c>
      <c r="B85" s="267" t="e">
        <f>#REF!</f>
        <v>#REF!</v>
      </c>
      <c r="C85" s="306" t="e">
        <f>#REF!</f>
        <v>#REF!</v>
      </c>
      <c r="D85" s="306" t="e">
        <f>#REF!</f>
        <v>#REF!</v>
      </c>
      <c r="E85" s="267" t="e">
        <f>#REF!</f>
        <v>#REF!</v>
      </c>
      <c r="F85" s="267" t="e">
        <f>#REF!</f>
        <v>#REF!</v>
      </c>
      <c r="G85" s="305" t="e">
        <f t="shared" si="3"/>
        <v>#REF!</v>
      </c>
      <c r="H85" s="267" t="e">
        <f>#REF!</f>
        <v>#REF!</v>
      </c>
      <c r="I85" s="267" t="e">
        <f>#REF!</f>
        <v>#REF!</v>
      </c>
      <c r="J85" s="2"/>
      <c r="M85" s="93"/>
      <c r="N85" s="96"/>
      <c r="P85" s="93"/>
      <c r="T85" s="2"/>
      <c r="U85" s="2"/>
    </row>
    <row r="86" spans="1:21" ht="12.75">
      <c r="A86" s="37" t="e">
        <f t="shared" si="4"/>
        <v>#REF!</v>
      </c>
      <c r="B86" s="307"/>
      <c r="C86" s="308"/>
      <c r="D86" s="308"/>
      <c r="E86" s="307"/>
      <c r="F86" s="307"/>
      <c r="G86" s="307"/>
      <c r="H86" s="307"/>
      <c r="I86" s="307"/>
      <c r="J86" s="2"/>
      <c r="M86" s="93"/>
      <c r="N86" s="96"/>
      <c r="P86" s="93"/>
      <c r="T86" s="2"/>
      <c r="U86" s="2"/>
    </row>
    <row r="87" spans="3:10" ht="12.75">
      <c r="C87" s="122"/>
      <c r="D87" s="2"/>
      <c r="G87" s="2"/>
      <c r="H87" s="2"/>
      <c r="J87" s="2"/>
    </row>
    <row r="89" spans="1:21" ht="12.75">
      <c r="A89" s="21"/>
      <c r="B89" s="199"/>
      <c r="C89" s="25" t="s">
        <v>455</v>
      </c>
      <c r="D89" s="25" t="s">
        <v>456</v>
      </c>
      <c r="E89" s="62"/>
      <c r="F89" s="24"/>
      <c r="G89" s="21"/>
      <c r="H89" s="25" t="s">
        <v>449</v>
      </c>
      <c r="J89" s="2"/>
      <c r="M89" s="93"/>
      <c r="N89" s="96"/>
      <c r="P89" s="93"/>
      <c r="T89" s="2"/>
      <c r="U89" s="2"/>
    </row>
    <row r="90" spans="1:21" ht="12.75">
      <c r="A90" s="26"/>
      <c r="B90" s="27"/>
      <c r="C90" s="28"/>
      <c r="D90" s="29"/>
      <c r="E90" s="30"/>
      <c r="F90" s="27"/>
      <c r="G90" s="90"/>
      <c r="H90" s="29"/>
      <c r="J90" s="2"/>
      <c r="M90" s="93"/>
      <c r="N90" s="96"/>
      <c r="P90" s="93"/>
      <c r="T90" s="2"/>
      <c r="U90" s="2"/>
    </row>
    <row r="91" spans="1:21" ht="12.75">
      <c r="A91" s="124" t="s">
        <v>458</v>
      </c>
      <c r="B91" s="45" t="s">
        <v>453</v>
      </c>
      <c r="C91" s="313"/>
      <c r="D91" s="314"/>
      <c r="E91" s="314"/>
      <c r="F91" s="41" t="s">
        <v>5</v>
      </c>
      <c r="G91" s="315" t="s">
        <v>457</v>
      </c>
      <c r="H91" s="314"/>
      <c r="J91" s="2"/>
      <c r="M91" s="93"/>
      <c r="N91" s="96"/>
      <c r="P91" s="93"/>
      <c r="T91" s="2"/>
      <c r="U91" s="2"/>
    </row>
    <row r="92" spans="1:21" ht="12.75">
      <c r="A92" s="125" t="e">
        <f>#REF!</f>
        <v>#REF!</v>
      </c>
      <c r="B92" s="316"/>
      <c r="C92" s="317" t="e">
        <f>#REF!</f>
        <v>#REF!</v>
      </c>
      <c r="D92" s="267" t="e">
        <f>#REF!</f>
        <v>#REF!</v>
      </c>
      <c r="E92" s="318"/>
      <c r="F92" s="133" t="e">
        <f>#REF!</f>
        <v>#REF!</v>
      </c>
      <c r="G92" s="264" t="e">
        <f>#REF!</f>
        <v>#REF!</v>
      </c>
      <c r="H92" s="267" t="e">
        <f>#REF!</f>
        <v>#REF!</v>
      </c>
      <c r="J92" s="2"/>
      <c r="M92" s="93"/>
      <c r="N92" s="96"/>
      <c r="P92" s="93"/>
      <c r="T92" s="2"/>
      <c r="U92" s="2"/>
    </row>
    <row r="93" spans="1:21" ht="12.75">
      <c r="A93" s="126" t="e">
        <f aca="true" t="shared" si="5" ref="A93:A98">A92+1</f>
        <v>#REF!</v>
      </c>
      <c r="B93" s="316"/>
      <c r="C93" s="304" t="e">
        <f>#REF!</f>
        <v>#REF!</v>
      </c>
      <c r="D93" s="319" t="e">
        <f>#REF!</f>
        <v>#REF!</v>
      </c>
      <c r="E93" s="318"/>
      <c r="F93" s="135" t="e">
        <f aca="true" t="shared" si="6" ref="F93:F115">F92+1</f>
        <v>#REF!</v>
      </c>
      <c r="G93" s="264" t="e">
        <f>#REF!</f>
        <v>#REF!</v>
      </c>
      <c r="H93" s="267" t="e">
        <f>#REF!</f>
        <v>#REF!</v>
      </c>
      <c r="J93" s="2"/>
      <c r="M93" s="93"/>
      <c r="N93" s="96"/>
      <c r="P93" s="93"/>
      <c r="T93" s="2"/>
      <c r="U93" s="2"/>
    </row>
    <row r="94" spans="1:21" ht="12.75">
      <c r="A94" s="126" t="e">
        <f t="shared" si="5"/>
        <v>#REF!</v>
      </c>
      <c r="B94" s="316"/>
      <c r="C94" s="267" t="e">
        <f>#REF!</f>
        <v>#REF!</v>
      </c>
      <c r="D94" s="267" t="e">
        <f>#REF!</f>
        <v>#REF!</v>
      </c>
      <c r="E94" s="127"/>
      <c r="F94" s="135" t="e">
        <f t="shared" si="6"/>
        <v>#REF!</v>
      </c>
      <c r="G94" s="264" t="e">
        <f>#REF!</f>
        <v>#REF!</v>
      </c>
      <c r="H94" s="267" t="e">
        <f>#REF!</f>
        <v>#REF!</v>
      </c>
      <c r="J94" s="2"/>
      <c r="M94" s="93"/>
      <c r="N94" s="96"/>
      <c r="P94" s="93"/>
      <c r="T94" s="2"/>
      <c r="U94" s="2"/>
    </row>
    <row r="95" spans="1:21" ht="12.75">
      <c r="A95" s="128" t="e">
        <f t="shared" si="5"/>
        <v>#REF!</v>
      </c>
      <c r="B95" s="320"/>
      <c r="C95" s="321"/>
      <c r="D95" s="319" t="e">
        <f>#REF!</f>
        <v>#REF!</v>
      </c>
      <c r="E95" s="318"/>
      <c r="F95" s="135" t="e">
        <f t="shared" si="6"/>
        <v>#REF!</v>
      </c>
      <c r="G95" s="264" t="e">
        <f>#REF!</f>
        <v>#REF!</v>
      </c>
      <c r="H95" s="267" t="e">
        <f>#REF!</f>
        <v>#REF!</v>
      </c>
      <c r="J95" s="2"/>
      <c r="M95" s="93"/>
      <c r="N95" s="96"/>
      <c r="P95" s="93"/>
      <c r="T95" s="2"/>
      <c r="U95" s="2"/>
    </row>
    <row r="96" spans="1:21" ht="12.75">
      <c r="A96" s="129" t="e">
        <f t="shared" si="5"/>
        <v>#REF!</v>
      </c>
      <c r="B96" s="292"/>
      <c r="C96" s="292"/>
      <c r="D96" s="292"/>
      <c r="E96" s="318"/>
      <c r="F96" s="135" t="e">
        <f t="shared" si="6"/>
        <v>#REF!</v>
      </c>
      <c r="G96" s="264" t="e">
        <f>#REF!</f>
        <v>#REF!</v>
      </c>
      <c r="H96" s="267" t="e">
        <f>#REF!</f>
        <v>#REF!</v>
      </c>
      <c r="J96" s="2"/>
      <c r="M96" s="93"/>
      <c r="N96" s="96"/>
      <c r="P96" s="93"/>
      <c r="T96" s="2"/>
      <c r="U96" s="2"/>
    </row>
    <row r="97" spans="1:21" ht="12.75">
      <c r="A97" s="129" t="e">
        <f t="shared" si="5"/>
        <v>#REF!</v>
      </c>
      <c r="B97" s="320"/>
      <c r="C97" s="305"/>
      <c r="D97" s="322"/>
      <c r="E97" s="318"/>
      <c r="F97" s="135" t="e">
        <f t="shared" si="6"/>
        <v>#REF!</v>
      </c>
      <c r="G97" s="264" t="e">
        <f>#REF!</f>
        <v>#REF!</v>
      </c>
      <c r="H97" s="267" t="e">
        <f>#REF!</f>
        <v>#REF!</v>
      </c>
      <c r="J97" s="2"/>
      <c r="M97" s="93"/>
      <c r="N97" s="96"/>
      <c r="P97" s="93"/>
      <c r="T97" s="2"/>
      <c r="U97" s="2"/>
    </row>
    <row r="98" spans="1:21" ht="12.75">
      <c r="A98" s="129" t="e">
        <f t="shared" si="5"/>
        <v>#REF!</v>
      </c>
      <c r="B98" s="323"/>
      <c r="C98" s="307"/>
      <c r="D98" s="292"/>
      <c r="E98" s="318"/>
      <c r="F98" s="135" t="e">
        <f t="shared" si="6"/>
        <v>#REF!</v>
      </c>
      <c r="G98" s="264" t="e">
        <f>#REF!</f>
        <v>#REF!</v>
      </c>
      <c r="H98" s="267" t="e">
        <f>#REF!</f>
        <v>#REF!</v>
      </c>
      <c r="J98" s="2"/>
      <c r="M98" s="93"/>
      <c r="N98" s="96"/>
      <c r="P98" s="93"/>
      <c r="T98" s="2"/>
      <c r="U98" s="2"/>
    </row>
    <row r="99" spans="1:21" ht="12.75">
      <c r="A99" s="131"/>
      <c r="B99" s="314"/>
      <c r="C99" s="314"/>
      <c r="D99" s="314"/>
      <c r="E99" s="318"/>
      <c r="F99" s="135" t="e">
        <f t="shared" si="6"/>
        <v>#REF!</v>
      </c>
      <c r="G99" s="264" t="e">
        <f>#REF!</f>
        <v>#REF!</v>
      </c>
      <c r="H99" s="267" t="e">
        <f>#REF!</f>
        <v>#REF!</v>
      </c>
      <c r="J99" s="2"/>
      <c r="M99" s="93"/>
      <c r="N99" s="96"/>
      <c r="P99" s="93"/>
      <c r="T99" s="2"/>
      <c r="U99" s="2"/>
    </row>
    <row r="100" spans="1:21" ht="12.75">
      <c r="A100" s="83"/>
      <c r="B100" s="132"/>
      <c r="C100" s="132"/>
      <c r="D100" s="119"/>
      <c r="E100" s="314"/>
      <c r="F100" s="135" t="e">
        <f t="shared" si="6"/>
        <v>#REF!</v>
      </c>
      <c r="G100" s="264" t="e">
        <f>#REF!</f>
        <v>#REF!</v>
      </c>
      <c r="H100" s="267" t="e">
        <f>#REF!</f>
        <v>#REF!</v>
      </c>
      <c r="J100" s="2"/>
      <c r="M100" s="93"/>
      <c r="N100" s="96"/>
      <c r="P100" s="93"/>
      <c r="T100" s="2"/>
      <c r="U100" s="2"/>
    </row>
    <row r="101" spans="1:21" ht="12.75">
      <c r="A101" s="284"/>
      <c r="B101" s="324"/>
      <c r="C101" s="324"/>
      <c r="D101" s="324"/>
      <c r="E101" s="314"/>
      <c r="F101" s="135" t="e">
        <f t="shared" si="6"/>
        <v>#REF!</v>
      </c>
      <c r="G101" s="264" t="e">
        <f>#REF!</f>
        <v>#REF!</v>
      </c>
      <c r="H101" s="267" t="e">
        <f>#REF!</f>
        <v>#REF!</v>
      </c>
      <c r="J101" s="2"/>
      <c r="M101" s="93"/>
      <c r="N101" s="96"/>
      <c r="P101" s="93"/>
      <c r="T101" s="2"/>
      <c r="U101" s="2"/>
    </row>
    <row r="102" spans="1:21" ht="12.75">
      <c r="A102" s="83"/>
      <c r="B102" s="132"/>
      <c r="C102" s="325"/>
      <c r="D102" s="285"/>
      <c r="E102" s="119"/>
      <c r="F102" s="135" t="e">
        <f t="shared" si="6"/>
        <v>#REF!</v>
      </c>
      <c r="G102" s="264" t="e">
        <f>#REF!</f>
        <v>#REF!</v>
      </c>
      <c r="H102" s="267" t="e">
        <f>#REF!</f>
        <v>#REF!</v>
      </c>
      <c r="J102" s="2"/>
      <c r="M102" s="93"/>
      <c r="N102" s="96"/>
      <c r="P102" s="93"/>
      <c r="T102" s="2"/>
      <c r="U102" s="2"/>
    </row>
    <row r="103" spans="1:21" ht="12.75">
      <c r="A103" s="286"/>
      <c r="B103" s="84"/>
      <c r="C103" s="282"/>
      <c r="D103" s="326"/>
      <c r="E103" s="314"/>
      <c r="F103" s="135" t="e">
        <f t="shared" si="6"/>
        <v>#REF!</v>
      </c>
      <c r="G103" s="264" t="e">
        <f>#REF!</f>
        <v>#REF!</v>
      </c>
      <c r="H103" s="267" t="e">
        <f>#REF!</f>
        <v>#REF!</v>
      </c>
      <c r="J103" s="2"/>
      <c r="M103" s="93"/>
      <c r="N103" s="96"/>
      <c r="P103" s="93"/>
      <c r="T103" s="2"/>
      <c r="U103" s="2"/>
    </row>
    <row r="104" spans="1:21" ht="12.75">
      <c r="A104" s="286"/>
      <c r="B104" s="84"/>
      <c r="C104" s="84"/>
      <c r="D104" s="326"/>
      <c r="E104" s="314"/>
      <c r="F104" s="135" t="e">
        <f t="shared" si="6"/>
        <v>#REF!</v>
      </c>
      <c r="G104" s="264" t="e">
        <f>#REF!</f>
        <v>#REF!</v>
      </c>
      <c r="H104" s="267" t="e">
        <f>#REF!</f>
        <v>#REF!</v>
      </c>
      <c r="J104" s="2"/>
      <c r="M104" s="93"/>
      <c r="N104" s="96"/>
      <c r="P104" s="93"/>
      <c r="T104" s="2"/>
      <c r="U104" s="2"/>
    </row>
    <row r="105" spans="1:21" ht="12.75">
      <c r="A105" s="286"/>
      <c r="B105" s="84"/>
      <c r="C105" s="84"/>
      <c r="D105" s="326"/>
      <c r="E105" s="314"/>
      <c r="F105" s="135" t="e">
        <f t="shared" si="6"/>
        <v>#REF!</v>
      </c>
      <c r="G105" s="264" t="e">
        <f>#REF!</f>
        <v>#REF!</v>
      </c>
      <c r="H105" s="267" t="e">
        <f>#REF!</f>
        <v>#REF!</v>
      </c>
      <c r="J105" s="2"/>
      <c r="M105" s="93"/>
      <c r="N105" s="96"/>
      <c r="P105" s="93"/>
      <c r="T105" s="2"/>
      <c r="U105" s="2"/>
    </row>
    <row r="106" spans="1:21" ht="12.75">
      <c r="A106" s="286"/>
      <c r="B106" s="84"/>
      <c r="C106" s="84"/>
      <c r="D106" s="326"/>
      <c r="E106" s="314"/>
      <c r="F106" s="135" t="e">
        <f t="shared" si="6"/>
        <v>#REF!</v>
      </c>
      <c r="G106" s="264" t="e">
        <f>#REF!</f>
        <v>#REF!</v>
      </c>
      <c r="H106" s="267" t="e">
        <f>#REF!</f>
        <v>#REF!</v>
      </c>
      <c r="J106" s="2"/>
      <c r="M106" s="93"/>
      <c r="N106" s="96"/>
      <c r="P106" s="93"/>
      <c r="T106" s="2"/>
      <c r="U106" s="2"/>
    </row>
    <row r="107" spans="1:21" ht="12.75">
      <c r="A107" s="286"/>
      <c r="B107" s="84"/>
      <c r="C107" s="84"/>
      <c r="D107" s="326"/>
      <c r="E107" s="314"/>
      <c r="F107" s="135" t="e">
        <f t="shared" si="6"/>
        <v>#REF!</v>
      </c>
      <c r="G107" s="264" t="e">
        <f>#REF!</f>
        <v>#REF!</v>
      </c>
      <c r="H107" s="267" t="e">
        <f>#REF!</f>
        <v>#REF!</v>
      </c>
      <c r="J107" s="2"/>
      <c r="M107" s="93"/>
      <c r="N107" s="96"/>
      <c r="P107" s="93"/>
      <c r="T107" s="2"/>
      <c r="U107" s="2"/>
    </row>
    <row r="108" spans="1:21" ht="12.75">
      <c r="A108" s="286"/>
      <c r="B108" s="84"/>
      <c r="C108" s="309"/>
      <c r="D108" s="326"/>
      <c r="E108" s="314"/>
      <c r="F108" s="135" t="e">
        <f t="shared" si="6"/>
        <v>#REF!</v>
      </c>
      <c r="G108" s="264" t="e">
        <f>#REF!</f>
        <v>#REF!</v>
      </c>
      <c r="H108" s="267" t="e">
        <f>#REF!</f>
        <v>#REF!</v>
      </c>
      <c r="J108" s="2"/>
      <c r="M108" s="93"/>
      <c r="N108" s="96"/>
      <c r="P108" s="93"/>
      <c r="T108" s="2"/>
      <c r="U108" s="2"/>
    </row>
    <row r="109" spans="1:21" ht="12.75">
      <c r="A109" s="286"/>
      <c r="B109" s="327"/>
      <c r="C109" s="132"/>
      <c r="D109" s="328"/>
      <c r="E109" s="314"/>
      <c r="F109" s="135" t="e">
        <f t="shared" si="6"/>
        <v>#REF!</v>
      </c>
      <c r="G109" s="264" t="e">
        <f>#REF!</f>
        <v>#REF!</v>
      </c>
      <c r="H109" s="267" t="e">
        <f>#REF!</f>
        <v>#REF!</v>
      </c>
      <c r="J109" s="2"/>
      <c r="M109" s="93"/>
      <c r="N109" s="96"/>
      <c r="P109" s="93"/>
      <c r="T109" s="2"/>
      <c r="U109" s="2"/>
    </row>
    <row r="110" spans="1:21" ht="12.75">
      <c r="A110" s="287"/>
      <c r="B110" s="84"/>
      <c r="C110" s="325"/>
      <c r="D110" s="325"/>
      <c r="E110" s="314"/>
      <c r="F110" s="135" t="e">
        <f t="shared" si="6"/>
        <v>#REF!</v>
      </c>
      <c r="G110" s="264" t="e">
        <f>#REF!</f>
        <v>#REF!</v>
      </c>
      <c r="H110" s="267" t="e">
        <f>#REF!</f>
        <v>#REF!</v>
      </c>
      <c r="J110" s="2"/>
      <c r="M110" s="93"/>
      <c r="N110" s="96"/>
      <c r="P110" s="93"/>
      <c r="T110" s="2"/>
      <c r="U110" s="2"/>
    </row>
    <row r="111" spans="1:21" ht="12.75">
      <c r="A111" s="99"/>
      <c r="B111" s="84"/>
      <c r="C111" s="282"/>
      <c r="D111" s="326"/>
      <c r="E111" s="314"/>
      <c r="F111" s="135" t="e">
        <f t="shared" si="6"/>
        <v>#REF!</v>
      </c>
      <c r="G111" s="264" t="e">
        <f>#REF!</f>
        <v>#REF!</v>
      </c>
      <c r="H111" s="267" t="e">
        <f>#REF!</f>
        <v>#REF!</v>
      </c>
      <c r="J111" s="2"/>
      <c r="M111" s="93"/>
      <c r="N111" s="96"/>
      <c r="P111" s="93"/>
      <c r="T111" s="2"/>
      <c r="U111" s="2"/>
    </row>
    <row r="112" spans="1:21" ht="12.75">
      <c r="A112" s="286"/>
      <c r="B112" s="84"/>
      <c r="C112" s="84"/>
      <c r="D112" s="326"/>
      <c r="E112" s="314"/>
      <c r="F112" s="135" t="e">
        <f t="shared" si="6"/>
        <v>#REF!</v>
      </c>
      <c r="G112" s="264" t="e">
        <f>#REF!</f>
        <v>#REF!</v>
      </c>
      <c r="H112" s="267" t="e">
        <f>#REF!</f>
        <v>#REF!</v>
      </c>
      <c r="J112" s="2"/>
      <c r="M112" s="93"/>
      <c r="N112" s="96"/>
      <c r="P112" s="93"/>
      <c r="T112" s="2"/>
      <c r="U112" s="2"/>
    </row>
    <row r="113" spans="1:21" ht="12.75">
      <c r="A113" s="286"/>
      <c r="B113" s="327"/>
      <c r="C113" s="132"/>
      <c r="D113" s="328"/>
      <c r="E113" s="314"/>
      <c r="F113" s="130" t="e">
        <f t="shared" si="6"/>
        <v>#REF!</v>
      </c>
      <c r="G113" s="323"/>
      <c r="H113" s="292"/>
      <c r="J113" s="2"/>
      <c r="M113" s="93"/>
      <c r="N113" s="96"/>
      <c r="P113" s="93"/>
      <c r="T113" s="2"/>
      <c r="U113" s="2"/>
    </row>
    <row r="114" spans="1:21" ht="12.75">
      <c r="A114" s="84"/>
      <c r="B114" s="84"/>
      <c r="C114" s="325"/>
      <c r="D114" s="325"/>
      <c r="E114" s="42"/>
      <c r="F114" s="135" t="e">
        <f t="shared" si="6"/>
        <v>#REF!</v>
      </c>
      <c r="G114" s="226"/>
      <c r="H114" s="270" t="e">
        <f>#REF!</f>
        <v>#REF!</v>
      </c>
      <c r="J114" s="2"/>
      <c r="M114" s="93"/>
      <c r="N114" s="96"/>
      <c r="P114" s="93"/>
      <c r="T114" s="2"/>
      <c r="U114" s="2"/>
    </row>
    <row r="115" spans="1:21" ht="12.75">
      <c r="A115" s="286"/>
      <c r="B115" s="225"/>
      <c r="C115" s="132"/>
      <c r="D115" s="328"/>
      <c r="E115" s="42"/>
      <c r="F115" s="130" t="e">
        <f t="shared" si="6"/>
        <v>#REF!</v>
      </c>
      <c r="G115" s="323"/>
      <c r="H115" s="329"/>
      <c r="J115" s="2"/>
      <c r="M115" s="93"/>
      <c r="N115" s="96"/>
      <c r="P115" s="93"/>
      <c r="T115" s="2"/>
      <c r="U115" s="2"/>
    </row>
    <row r="116" spans="1:21" ht="12.75">
      <c r="A116" s="286"/>
      <c r="B116" s="330"/>
      <c r="C116" s="84"/>
      <c r="D116" s="326"/>
      <c r="E116" s="42"/>
      <c r="F116" s="318"/>
      <c r="G116" s="318"/>
      <c r="H116" s="318"/>
      <c r="J116" s="2"/>
      <c r="M116" s="93"/>
      <c r="N116" s="96"/>
      <c r="P116" s="93"/>
      <c r="T116" s="2"/>
      <c r="U116" s="2"/>
    </row>
    <row r="117" spans="1:21" ht="12.75">
      <c r="A117" s="287"/>
      <c r="B117" s="84"/>
      <c r="C117" s="325"/>
      <c r="D117" s="325"/>
      <c r="E117" s="42"/>
      <c r="F117" s="41" t="s">
        <v>463</v>
      </c>
      <c r="G117" s="315" t="s">
        <v>464</v>
      </c>
      <c r="H117" s="314"/>
      <c r="J117" s="2"/>
      <c r="M117" s="93"/>
      <c r="N117" s="96"/>
      <c r="P117" s="93"/>
      <c r="T117" s="2"/>
      <c r="U117" s="2"/>
    </row>
    <row r="118" spans="1:21" ht="12.75">
      <c r="A118" s="286"/>
      <c r="B118" s="84"/>
      <c r="C118" s="282"/>
      <c r="D118" s="326"/>
      <c r="E118" s="42"/>
      <c r="F118" s="133" t="e">
        <f>F115+1</f>
        <v>#REF!</v>
      </c>
      <c r="G118" s="264" t="e">
        <f>#REF!</f>
        <v>#REF!</v>
      </c>
      <c r="H118" s="267" t="e">
        <f>#REF!</f>
        <v>#REF!</v>
      </c>
      <c r="J118" s="2"/>
      <c r="M118" s="93"/>
      <c r="N118" s="96"/>
      <c r="P118" s="93"/>
      <c r="T118" s="2"/>
      <c r="U118" s="2"/>
    </row>
    <row r="119" spans="1:21" ht="12.75">
      <c r="A119" s="286"/>
      <c r="B119" s="84"/>
      <c r="C119" s="84"/>
      <c r="D119" s="326"/>
      <c r="E119" s="42"/>
      <c r="F119" s="133" t="e">
        <f>F118+1</f>
        <v>#REF!</v>
      </c>
      <c r="G119" s="264" t="e">
        <f>#REF!</f>
        <v>#REF!</v>
      </c>
      <c r="H119" s="267" t="e">
        <f>#REF!</f>
        <v>#REF!</v>
      </c>
      <c r="J119" s="2"/>
      <c r="M119" s="93"/>
      <c r="N119" s="96"/>
      <c r="P119" s="93"/>
      <c r="T119" s="2"/>
      <c r="U119" s="2"/>
    </row>
    <row r="120" spans="1:21" ht="12.75">
      <c r="A120" s="286"/>
      <c r="B120" s="327"/>
      <c r="C120" s="132"/>
      <c r="D120" s="328"/>
      <c r="E120" s="42"/>
      <c r="F120" s="133" t="e">
        <f>F119+1</f>
        <v>#REF!</v>
      </c>
      <c r="G120" s="264" t="e">
        <f>#REF!</f>
        <v>#REF!</v>
      </c>
      <c r="H120" s="267" t="e">
        <f>#REF!</f>
        <v>#REF!</v>
      </c>
      <c r="J120" s="2"/>
      <c r="M120" s="93"/>
      <c r="N120" s="96"/>
      <c r="P120" s="93"/>
      <c r="T120" s="2"/>
      <c r="U120" s="2"/>
    </row>
    <row r="121" spans="1:21" ht="12.75">
      <c r="A121" s="286"/>
      <c r="B121" s="330"/>
      <c r="C121" s="84"/>
      <c r="D121" s="331"/>
      <c r="E121" s="42"/>
      <c r="F121" s="133" t="e">
        <f>F120+1</f>
        <v>#REF!</v>
      </c>
      <c r="G121" s="264" t="e">
        <f>#REF!</f>
        <v>#REF!</v>
      </c>
      <c r="H121" s="267" t="e">
        <f>#REF!</f>
        <v>#REF!</v>
      </c>
      <c r="J121" s="2"/>
      <c r="M121" s="93"/>
      <c r="N121" s="96"/>
      <c r="P121" s="93"/>
      <c r="T121" s="2"/>
      <c r="U121" s="2"/>
    </row>
    <row r="122" spans="1:21" ht="12.75">
      <c r="A122" s="286"/>
      <c r="B122" s="84"/>
      <c r="C122" s="283"/>
      <c r="D122" s="331"/>
      <c r="E122" s="42"/>
      <c r="F122" s="135" t="e">
        <f>F121+1</f>
        <v>#REF!</v>
      </c>
      <c r="G122" s="264" t="e">
        <f>#REF!</f>
        <v>#REF!</v>
      </c>
      <c r="H122" s="267" t="e">
        <f>#REF!</f>
        <v>#REF!</v>
      </c>
      <c r="J122" s="2"/>
      <c r="M122" s="93"/>
      <c r="N122" s="96"/>
      <c r="P122" s="93"/>
      <c r="T122" s="2"/>
      <c r="U122" s="2"/>
    </row>
    <row r="123" spans="1:21" ht="12.75">
      <c r="A123" s="286"/>
      <c r="B123" s="327"/>
      <c r="C123" s="132"/>
      <c r="D123" s="328"/>
      <c r="E123" s="42"/>
      <c r="F123" s="130" t="e">
        <f>F122+1</f>
        <v>#REF!</v>
      </c>
      <c r="G123" s="323"/>
      <c r="H123" s="292"/>
      <c r="J123" s="2"/>
      <c r="M123" s="93"/>
      <c r="N123" s="96"/>
      <c r="P123" s="93"/>
      <c r="T123" s="2"/>
      <c r="U123" s="2"/>
    </row>
    <row r="124" spans="1:10" ht="12.75">
      <c r="A124" s="41"/>
      <c r="B124" s="42"/>
      <c r="C124" s="43"/>
      <c r="D124" s="42"/>
      <c r="E124" s="42"/>
      <c r="F124" s="45"/>
      <c r="G124" s="41"/>
      <c r="H124" s="42"/>
      <c r="I124" s="42"/>
      <c r="J124" s="42"/>
    </row>
    <row r="125" spans="1:21" ht="12.75">
      <c r="A125" s="21"/>
      <c r="B125" s="105" t="s">
        <v>472</v>
      </c>
      <c r="D125" s="2"/>
      <c r="G125" s="93"/>
      <c r="H125" s="96"/>
      <c r="I125" s="93"/>
      <c r="J125" s="93"/>
      <c r="K125" s="93"/>
      <c r="L125" s="93"/>
      <c r="M125" s="93"/>
      <c r="O125" s="2"/>
      <c r="P125" s="2"/>
      <c r="Q125" s="2"/>
      <c r="R125" s="2"/>
      <c r="S125" s="2"/>
      <c r="T125" s="2"/>
      <c r="U125" s="2"/>
    </row>
    <row r="126" spans="1:21" ht="12.75">
      <c r="A126" s="21"/>
      <c r="B126" s="106" t="e">
        <f>#REF!</f>
        <v>#REF!</v>
      </c>
      <c r="D126" s="2"/>
      <c r="G126" s="93"/>
      <c r="H126" s="96"/>
      <c r="I126" s="93"/>
      <c r="J126" s="93"/>
      <c r="K126" s="93"/>
      <c r="L126" s="93"/>
      <c r="M126" s="93"/>
      <c r="O126" s="2"/>
      <c r="P126" s="2"/>
      <c r="Q126" s="2"/>
      <c r="R126" s="2"/>
      <c r="S126" s="2"/>
      <c r="T126" s="2"/>
      <c r="U126" s="2"/>
    </row>
    <row r="127" spans="1:21" ht="12.75">
      <c r="A127" s="26"/>
      <c r="B127" s="29"/>
      <c r="D127" s="2"/>
      <c r="G127" s="93"/>
      <c r="H127" s="96"/>
      <c r="I127" s="93"/>
      <c r="J127" s="93"/>
      <c r="K127" s="93"/>
      <c r="L127" s="93"/>
      <c r="M127" s="93"/>
      <c r="O127" s="2"/>
      <c r="P127" s="2"/>
      <c r="Q127" s="2"/>
      <c r="R127" s="2"/>
      <c r="S127" s="2"/>
      <c r="T127" s="2"/>
      <c r="U127" s="2"/>
    </row>
    <row r="128" spans="1:21" ht="12.75">
      <c r="A128" s="159" t="s">
        <v>6</v>
      </c>
      <c r="B128" s="95"/>
      <c r="D128" s="2"/>
      <c r="G128" s="93"/>
      <c r="H128" s="96"/>
      <c r="I128" s="93"/>
      <c r="J128" s="93"/>
      <c r="K128" s="93"/>
      <c r="L128" s="93"/>
      <c r="M128" s="93"/>
      <c r="O128" s="2"/>
      <c r="P128" s="2"/>
      <c r="Q128" s="2"/>
      <c r="R128" s="2"/>
      <c r="S128" s="2"/>
      <c r="T128" s="2"/>
      <c r="U128" s="2"/>
    </row>
    <row r="129" spans="1:21" ht="12.75">
      <c r="A129" s="31">
        <f>Instandhouding!A8</f>
        <v>1301</v>
      </c>
      <c r="B129" s="332" t="e">
        <f>Instandhouding!#REF!</f>
        <v>#REF!</v>
      </c>
      <c r="D129" s="2"/>
      <c r="G129" s="93"/>
      <c r="H129" s="96"/>
      <c r="I129" s="93"/>
      <c r="J129" s="93"/>
      <c r="K129" s="93"/>
      <c r="L129" s="93"/>
      <c r="M129" s="93"/>
      <c r="O129" s="2"/>
      <c r="P129" s="2"/>
      <c r="Q129" s="2"/>
      <c r="R129" s="2"/>
      <c r="S129" s="2"/>
      <c r="T129" s="2"/>
      <c r="U129" s="2"/>
    </row>
    <row r="130" spans="1:21" ht="12.75">
      <c r="A130" s="34">
        <f aca="true" t="shared" si="7" ref="A130:A149">A129+1</f>
        <v>1302</v>
      </c>
      <c r="B130" s="332" t="e">
        <f>Instandhouding!#REF!</f>
        <v>#REF!</v>
      </c>
      <c r="D130" s="2"/>
      <c r="G130" s="93"/>
      <c r="H130" s="96"/>
      <c r="I130" s="93"/>
      <c r="J130" s="93"/>
      <c r="K130" s="93"/>
      <c r="L130" s="93"/>
      <c r="M130" s="93"/>
      <c r="O130" s="2"/>
      <c r="P130" s="2"/>
      <c r="Q130" s="2"/>
      <c r="R130" s="2"/>
      <c r="S130" s="2"/>
      <c r="T130" s="2"/>
      <c r="U130" s="2"/>
    </row>
    <row r="131" spans="1:21" ht="12.75">
      <c r="A131" s="34">
        <f t="shared" si="7"/>
        <v>1303</v>
      </c>
      <c r="B131" s="332" t="e">
        <f>Instandhouding!#REF!</f>
        <v>#REF!</v>
      </c>
      <c r="D131" s="2"/>
      <c r="G131" s="93"/>
      <c r="H131" s="96"/>
      <c r="I131" s="93"/>
      <c r="J131" s="93"/>
      <c r="K131" s="93"/>
      <c r="L131" s="93"/>
      <c r="M131" s="93"/>
      <c r="O131" s="2"/>
      <c r="P131" s="2"/>
      <c r="Q131" s="2"/>
      <c r="R131" s="2"/>
      <c r="S131" s="2"/>
      <c r="T131" s="2"/>
      <c r="U131" s="2"/>
    </row>
    <row r="132" spans="1:21" ht="12.75">
      <c r="A132" s="34">
        <f t="shared" si="7"/>
        <v>1304</v>
      </c>
      <c r="B132" s="332" t="e">
        <f>Instandhouding!#REF!</f>
        <v>#REF!</v>
      </c>
      <c r="D132" s="2"/>
      <c r="G132" s="93"/>
      <c r="H132" s="96"/>
      <c r="I132" s="93"/>
      <c r="J132" s="93"/>
      <c r="K132" s="93"/>
      <c r="L132" s="93"/>
      <c r="M132" s="93"/>
      <c r="O132" s="2"/>
      <c r="P132" s="2"/>
      <c r="Q132" s="2"/>
      <c r="R132" s="2"/>
      <c r="S132" s="2"/>
      <c r="T132" s="2"/>
      <c r="U132" s="2"/>
    </row>
    <row r="133" spans="1:21" ht="12.75">
      <c r="A133" s="34">
        <f t="shared" si="7"/>
        <v>1305</v>
      </c>
      <c r="B133" s="332" t="e">
        <f>Instandhouding!#REF!</f>
        <v>#REF!</v>
      </c>
      <c r="D133" s="2"/>
      <c r="G133" s="93"/>
      <c r="H133" s="96"/>
      <c r="I133" s="93"/>
      <c r="J133" s="93"/>
      <c r="K133" s="93"/>
      <c r="L133" s="93"/>
      <c r="M133" s="93"/>
      <c r="O133" s="2"/>
      <c r="P133" s="2"/>
      <c r="Q133" s="2"/>
      <c r="R133" s="2"/>
      <c r="S133" s="2"/>
      <c r="T133" s="2"/>
      <c r="U133" s="2"/>
    </row>
    <row r="134" spans="1:21" ht="12.75">
      <c r="A134" s="34">
        <f t="shared" si="7"/>
        <v>1306</v>
      </c>
      <c r="B134" s="332" t="e">
        <f>Instandhouding!#REF!</f>
        <v>#REF!</v>
      </c>
      <c r="D134" s="2"/>
      <c r="G134" s="93"/>
      <c r="H134" s="96"/>
      <c r="I134" s="93"/>
      <c r="J134" s="93"/>
      <c r="K134" s="93"/>
      <c r="L134" s="93"/>
      <c r="M134" s="93"/>
      <c r="O134" s="2"/>
      <c r="P134" s="2"/>
      <c r="Q134" s="2"/>
      <c r="R134" s="2"/>
      <c r="S134" s="2"/>
      <c r="T134" s="2"/>
      <c r="U134" s="2"/>
    </row>
    <row r="135" spans="1:21" ht="12.75">
      <c r="A135" s="34">
        <f t="shared" si="7"/>
        <v>1307</v>
      </c>
      <c r="B135" s="332" t="e">
        <f>Instandhouding!#REF!</f>
        <v>#REF!</v>
      </c>
      <c r="D135" s="2"/>
      <c r="G135" s="93"/>
      <c r="H135" s="96"/>
      <c r="I135" s="93"/>
      <c r="J135" s="93"/>
      <c r="K135" s="93"/>
      <c r="L135" s="93"/>
      <c r="M135" s="93"/>
      <c r="O135" s="2"/>
      <c r="P135" s="2"/>
      <c r="Q135" s="2"/>
      <c r="R135" s="2"/>
      <c r="S135" s="2"/>
      <c r="T135" s="2"/>
      <c r="U135" s="2"/>
    </row>
    <row r="136" spans="1:21" ht="12.75">
      <c r="A136" s="34">
        <f t="shared" si="7"/>
        <v>1308</v>
      </c>
      <c r="B136" s="332" t="e">
        <f>Instandhouding!#REF!</f>
        <v>#REF!</v>
      </c>
      <c r="D136" s="2"/>
      <c r="G136" s="93"/>
      <c r="H136" s="96"/>
      <c r="I136" s="93"/>
      <c r="J136" s="93"/>
      <c r="K136" s="93"/>
      <c r="L136" s="93"/>
      <c r="M136" s="93"/>
      <c r="O136" s="2"/>
      <c r="P136" s="2"/>
      <c r="Q136" s="2"/>
      <c r="R136" s="2"/>
      <c r="S136" s="2"/>
      <c r="T136" s="2"/>
      <c r="U136" s="2"/>
    </row>
    <row r="137" spans="1:21" ht="12.75">
      <c r="A137" s="34">
        <f t="shared" si="7"/>
        <v>1309</v>
      </c>
      <c r="B137" s="332" t="e">
        <f>Instandhouding!#REF!</f>
        <v>#REF!</v>
      </c>
      <c r="D137" s="2"/>
      <c r="G137" s="93"/>
      <c r="H137" s="96"/>
      <c r="I137" s="93"/>
      <c r="J137" s="93"/>
      <c r="K137" s="93"/>
      <c r="L137" s="93"/>
      <c r="M137" s="93"/>
      <c r="O137" s="2"/>
      <c r="P137" s="2"/>
      <c r="Q137" s="2"/>
      <c r="R137" s="2"/>
      <c r="S137" s="2"/>
      <c r="T137" s="2"/>
      <c r="U137" s="2"/>
    </row>
    <row r="138" spans="1:21" ht="12.75">
      <c r="A138" s="34">
        <f t="shared" si="7"/>
        <v>1310</v>
      </c>
      <c r="B138" s="332" t="e">
        <f>Instandhouding!#REF!</f>
        <v>#REF!</v>
      </c>
      <c r="D138" s="2"/>
      <c r="G138" s="93"/>
      <c r="H138" s="96"/>
      <c r="I138" s="93"/>
      <c r="J138" s="93"/>
      <c r="K138" s="93"/>
      <c r="L138" s="93"/>
      <c r="M138" s="93"/>
      <c r="O138" s="2"/>
      <c r="P138" s="2"/>
      <c r="Q138" s="2"/>
      <c r="R138" s="2"/>
      <c r="S138" s="2"/>
      <c r="T138" s="2"/>
      <c r="U138" s="2"/>
    </row>
    <row r="139" spans="1:21" ht="12.75">
      <c r="A139" s="34">
        <f t="shared" si="7"/>
        <v>1311</v>
      </c>
      <c r="B139" s="332" t="e">
        <f>Instandhouding!#REF!</f>
        <v>#REF!</v>
      </c>
      <c r="D139" s="2"/>
      <c r="G139" s="93"/>
      <c r="H139" s="96"/>
      <c r="I139" s="93"/>
      <c r="J139" s="93"/>
      <c r="K139" s="93"/>
      <c r="L139" s="93"/>
      <c r="M139" s="93"/>
      <c r="O139" s="2"/>
      <c r="P139" s="2"/>
      <c r="Q139" s="2"/>
      <c r="R139" s="2"/>
      <c r="S139" s="2"/>
      <c r="T139" s="2"/>
      <c r="U139" s="2"/>
    </row>
    <row r="140" spans="1:21" ht="12.75">
      <c r="A140" s="34">
        <f t="shared" si="7"/>
        <v>1312</v>
      </c>
      <c r="B140" s="332" t="e">
        <f>Instandhouding!#REF!</f>
        <v>#REF!</v>
      </c>
      <c r="D140" s="2"/>
      <c r="G140" s="93"/>
      <c r="H140" s="96"/>
      <c r="I140" s="93"/>
      <c r="J140" s="93"/>
      <c r="K140" s="93"/>
      <c r="L140" s="93"/>
      <c r="M140" s="93"/>
      <c r="O140" s="2"/>
      <c r="P140" s="2"/>
      <c r="Q140" s="2"/>
      <c r="R140" s="2"/>
      <c r="S140" s="2"/>
      <c r="T140" s="2"/>
      <c r="U140" s="2"/>
    </row>
    <row r="141" spans="1:21" ht="12.75">
      <c r="A141" s="34">
        <f t="shared" si="7"/>
        <v>1313</v>
      </c>
      <c r="B141" s="332" t="e">
        <f>Instandhouding!#REF!</f>
        <v>#REF!</v>
      </c>
      <c r="D141" s="2"/>
      <c r="G141" s="93"/>
      <c r="H141" s="96"/>
      <c r="I141" s="93"/>
      <c r="J141" s="93"/>
      <c r="K141" s="93"/>
      <c r="L141" s="93"/>
      <c r="M141" s="93"/>
      <c r="O141" s="2"/>
      <c r="P141" s="2"/>
      <c r="Q141" s="2"/>
      <c r="R141" s="2"/>
      <c r="S141" s="2"/>
      <c r="T141" s="2"/>
      <c r="U141" s="2"/>
    </row>
    <row r="142" spans="1:21" ht="12.75">
      <c r="A142" s="34">
        <f t="shared" si="7"/>
        <v>1314</v>
      </c>
      <c r="B142" s="332" t="e">
        <f>Instandhouding!#REF!</f>
        <v>#REF!</v>
      </c>
      <c r="D142" s="2"/>
      <c r="G142" s="93"/>
      <c r="H142" s="96"/>
      <c r="I142" s="93"/>
      <c r="J142" s="93"/>
      <c r="K142" s="93"/>
      <c r="L142" s="93"/>
      <c r="M142" s="93"/>
      <c r="O142" s="2"/>
      <c r="P142" s="2"/>
      <c r="Q142" s="2"/>
      <c r="R142" s="2"/>
      <c r="S142" s="2"/>
      <c r="T142" s="2"/>
      <c r="U142" s="2"/>
    </row>
    <row r="143" spans="1:21" ht="12.75">
      <c r="A143" s="34">
        <f t="shared" si="7"/>
        <v>1315</v>
      </c>
      <c r="B143" s="332" t="e">
        <f>Instandhouding!#REF!</f>
        <v>#REF!</v>
      </c>
      <c r="D143" s="2"/>
      <c r="G143" s="93"/>
      <c r="H143" s="96"/>
      <c r="I143" s="93"/>
      <c r="J143" s="93"/>
      <c r="K143" s="93"/>
      <c r="L143" s="93"/>
      <c r="M143" s="93"/>
      <c r="O143" s="2"/>
      <c r="P143" s="2"/>
      <c r="Q143" s="2"/>
      <c r="R143" s="2"/>
      <c r="S143" s="2"/>
      <c r="T143" s="2"/>
      <c r="U143" s="2"/>
    </row>
    <row r="144" spans="1:21" ht="12.75">
      <c r="A144" s="34">
        <f t="shared" si="7"/>
        <v>1316</v>
      </c>
      <c r="B144" s="332" t="e">
        <f>Instandhouding!#REF!</f>
        <v>#REF!</v>
      </c>
      <c r="D144" s="2"/>
      <c r="G144" s="93"/>
      <c r="H144" s="96"/>
      <c r="I144" s="93"/>
      <c r="J144" s="93"/>
      <c r="K144" s="93"/>
      <c r="L144" s="93"/>
      <c r="M144" s="93"/>
      <c r="O144" s="2"/>
      <c r="P144" s="2"/>
      <c r="Q144" s="2"/>
      <c r="R144" s="2"/>
      <c r="S144" s="2"/>
      <c r="T144" s="2"/>
      <c r="U144" s="2"/>
    </row>
    <row r="145" spans="1:21" ht="12.75">
      <c r="A145" s="34">
        <f t="shared" si="7"/>
        <v>1317</v>
      </c>
      <c r="B145" s="332" t="e">
        <f>Instandhouding!#REF!</f>
        <v>#REF!</v>
      </c>
      <c r="D145" s="2"/>
      <c r="G145" s="93"/>
      <c r="H145" s="96"/>
      <c r="I145" s="93"/>
      <c r="J145" s="93"/>
      <c r="K145" s="93"/>
      <c r="L145" s="93"/>
      <c r="M145" s="93"/>
      <c r="O145" s="2"/>
      <c r="P145" s="2"/>
      <c r="Q145" s="2"/>
      <c r="R145" s="2"/>
      <c r="S145" s="2"/>
      <c r="T145" s="2"/>
      <c r="U145" s="2"/>
    </row>
    <row r="146" spans="1:21" ht="12.75">
      <c r="A146" s="34">
        <f t="shared" si="7"/>
        <v>1318</v>
      </c>
      <c r="B146" s="332" t="e">
        <f>Instandhouding!#REF!</f>
        <v>#REF!</v>
      </c>
      <c r="D146" s="2"/>
      <c r="G146" s="93"/>
      <c r="H146" s="96"/>
      <c r="I146" s="93"/>
      <c r="J146" s="93"/>
      <c r="K146" s="93"/>
      <c r="L146" s="93"/>
      <c r="M146" s="93"/>
      <c r="O146" s="2"/>
      <c r="P146" s="2"/>
      <c r="Q146" s="2"/>
      <c r="R146" s="2"/>
      <c r="S146" s="2"/>
      <c r="T146" s="2"/>
      <c r="U146" s="2"/>
    </row>
    <row r="147" spans="1:21" ht="12.75">
      <c r="A147" s="34">
        <f t="shared" si="7"/>
        <v>1319</v>
      </c>
      <c r="B147" s="332" t="e">
        <f>Instandhouding!#REF!</f>
        <v>#REF!</v>
      </c>
      <c r="D147" s="2"/>
      <c r="G147" s="93"/>
      <c r="H147" s="96"/>
      <c r="I147" s="93"/>
      <c r="J147" s="93"/>
      <c r="K147" s="93"/>
      <c r="L147" s="93"/>
      <c r="M147" s="93"/>
      <c r="O147" s="2"/>
      <c r="P147" s="2"/>
      <c r="Q147" s="2"/>
      <c r="R147" s="2"/>
      <c r="S147" s="2"/>
      <c r="T147" s="2"/>
      <c r="U147" s="2"/>
    </row>
    <row r="148" spans="1:21" ht="12.75">
      <c r="A148" s="54">
        <f t="shared" si="7"/>
        <v>1320</v>
      </c>
      <c r="B148" s="332" t="e">
        <f>Instandhouding!#REF!</f>
        <v>#REF!</v>
      </c>
      <c r="D148" s="2"/>
      <c r="G148" s="93"/>
      <c r="H148" s="96"/>
      <c r="I148" s="93"/>
      <c r="J148" s="93"/>
      <c r="K148" s="93"/>
      <c r="L148" s="93"/>
      <c r="M148" s="93"/>
      <c r="O148" s="2"/>
      <c r="P148" s="2"/>
      <c r="Q148" s="2"/>
      <c r="R148" s="2"/>
      <c r="S148" s="2"/>
      <c r="T148" s="2"/>
      <c r="U148" s="2"/>
    </row>
    <row r="149" spans="1:21" ht="12.75">
      <c r="A149" s="37">
        <f t="shared" si="7"/>
        <v>1321</v>
      </c>
      <c r="B149" s="292"/>
      <c r="D149" s="2"/>
      <c r="G149" s="93"/>
      <c r="H149" s="96"/>
      <c r="I149" s="93"/>
      <c r="J149" s="93"/>
      <c r="K149" s="93"/>
      <c r="L149" s="93"/>
      <c r="M149" s="93"/>
      <c r="O149" s="2"/>
      <c r="P149" s="2"/>
      <c r="Q149" s="2"/>
      <c r="R149" s="2"/>
      <c r="S149" s="2"/>
      <c r="T149" s="2"/>
      <c r="U149" s="2"/>
    </row>
    <row r="150" spans="1:10" ht="12.75">
      <c r="A150" s="41"/>
      <c r="B150" s="42"/>
      <c r="C150" s="42"/>
      <c r="D150" s="42"/>
      <c r="E150" s="42"/>
      <c r="F150" s="42"/>
      <c r="G150" s="42"/>
      <c r="H150" s="42"/>
      <c r="I150" s="42"/>
      <c r="J150" s="42"/>
    </row>
    <row r="151" spans="1:10" ht="12.75">
      <c r="A151" s="14" t="s">
        <v>536</v>
      </c>
      <c r="B151" s="15"/>
      <c r="C151" s="137"/>
      <c r="D151" s="15"/>
      <c r="E151" s="5"/>
      <c r="F151" s="138"/>
      <c r="G151" s="15"/>
      <c r="H151" s="15"/>
      <c r="J151" s="2"/>
    </row>
    <row r="152" spans="2:8" ht="12.75">
      <c r="B152" s="15"/>
      <c r="C152" s="15"/>
      <c r="D152" s="15"/>
      <c r="E152" s="139"/>
      <c r="F152" s="140"/>
      <c r="G152" s="139"/>
      <c r="H152" s="139"/>
    </row>
    <row r="153" spans="1:8" ht="12.75">
      <c r="A153" s="200"/>
      <c r="B153" s="201"/>
      <c r="C153" s="202" t="s">
        <v>461</v>
      </c>
      <c r="D153" s="276" t="s">
        <v>395</v>
      </c>
      <c r="E153" s="277"/>
      <c r="F153" s="198" t="s">
        <v>465</v>
      </c>
      <c r="G153" s="203"/>
      <c r="H153" s="200"/>
    </row>
    <row r="154" spans="1:8" ht="12.75">
      <c r="A154" s="201"/>
      <c r="B154" s="204"/>
      <c r="C154" s="205" t="s">
        <v>462</v>
      </c>
      <c r="D154" s="206" t="s">
        <v>387</v>
      </c>
      <c r="E154" s="108" t="s">
        <v>418</v>
      </c>
      <c r="F154" s="109"/>
      <c r="G154" s="203"/>
      <c r="H154" s="203"/>
    </row>
    <row r="155" spans="1:8" ht="12.75">
      <c r="A155" s="64"/>
      <c r="B155" s="65"/>
      <c r="C155" s="66"/>
      <c r="D155" s="162" t="s">
        <v>409</v>
      </c>
      <c r="E155" s="67"/>
      <c r="F155" s="65"/>
      <c r="G155" s="64"/>
      <c r="H155" s="68"/>
    </row>
    <row r="156" spans="1:8" ht="12.75">
      <c r="A156" s="47" t="s">
        <v>16</v>
      </c>
      <c r="B156" s="14" t="s">
        <v>408</v>
      </c>
      <c r="C156" s="90"/>
      <c r="D156" s="333"/>
      <c r="E156" s="146"/>
      <c r="F156" s="84"/>
      <c r="G156" s="84"/>
      <c r="H156" s="45"/>
    </row>
    <row r="157" spans="1:8" ht="12.75">
      <c r="A157" s="31" t="e">
        <f>#REF!</f>
        <v>#REF!</v>
      </c>
      <c r="B157" s="334"/>
      <c r="C157" s="335"/>
      <c r="D157" s="141"/>
      <c r="E157" s="332" t="e">
        <f>#REF!</f>
        <v>#REF!</v>
      </c>
      <c r="F157" s="336"/>
      <c r="G157" s="58"/>
      <c r="H157" s="337" t="s">
        <v>381</v>
      </c>
    </row>
    <row r="158" spans="1:8" ht="12.75">
      <c r="A158" s="34" t="e">
        <f aca="true" t="shared" si="8" ref="A158:A171">A157+1</f>
        <v>#REF!</v>
      </c>
      <c r="B158" s="334"/>
      <c r="C158" s="335"/>
      <c r="D158" s="143"/>
      <c r="E158" s="338"/>
      <c r="F158" s="336"/>
      <c r="G158" s="58"/>
      <c r="H158" s="225"/>
    </row>
    <row r="159" spans="1:8" ht="12.75">
      <c r="A159" s="81" t="e">
        <f t="shared" si="8"/>
        <v>#REF!</v>
      </c>
      <c r="B159" s="334"/>
      <c r="C159" s="336"/>
      <c r="D159" s="141"/>
      <c r="E159" s="267" t="e">
        <f>#REF!</f>
        <v>#REF!</v>
      </c>
      <c r="F159" s="336"/>
      <c r="G159" s="309"/>
      <c r="H159" s="337" t="s">
        <v>382</v>
      </c>
    </row>
    <row r="160" spans="1:8" ht="12.75">
      <c r="A160" s="34" t="e">
        <f t="shared" si="8"/>
        <v>#REF!</v>
      </c>
      <c r="B160" s="339"/>
      <c r="C160" s="239"/>
      <c r="D160" s="141"/>
      <c r="E160" s="340" t="e">
        <f>#REF!</f>
        <v>#REF!</v>
      </c>
      <c r="F160" s="341"/>
      <c r="G160" s="58"/>
      <c r="H160" s="337" t="s">
        <v>383</v>
      </c>
    </row>
    <row r="161" spans="1:8" ht="12.75">
      <c r="A161" s="34" t="e">
        <f t="shared" si="8"/>
        <v>#REF!</v>
      </c>
      <c r="B161" s="334"/>
      <c r="C161" s="335"/>
      <c r="D161" s="142"/>
      <c r="E161" s="332" t="e">
        <f>#REF!</f>
        <v>#REF!</v>
      </c>
      <c r="F161" s="336"/>
      <c r="G161" s="58"/>
      <c r="H161" s="337" t="s">
        <v>384</v>
      </c>
    </row>
    <row r="162" spans="1:8" ht="12.75">
      <c r="A162" s="35" t="e">
        <f t="shared" si="8"/>
        <v>#REF!</v>
      </c>
      <c r="B162" s="342"/>
      <c r="C162" s="239"/>
      <c r="D162" s="142"/>
      <c r="E162" s="340" t="e">
        <f>#REF!</f>
        <v>#REF!</v>
      </c>
      <c r="F162" s="341"/>
      <c r="G162" s="58"/>
      <c r="H162" s="337" t="s">
        <v>9</v>
      </c>
    </row>
    <row r="163" spans="1:8" ht="12.75">
      <c r="A163" s="34" t="e">
        <f t="shared" si="8"/>
        <v>#REF!</v>
      </c>
      <c r="B163" s="334"/>
      <c r="C163" s="343" t="e">
        <f>#REF!</f>
        <v>#REF!</v>
      </c>
      <c r="D163" s="143"/>
      <c r="E163" s="338"/>
      <c r="F163" s="336"/>
      <c r="G163" s="58"/>
      <c r="H163" s="337" t="s">
        <v>385</v>
      </c>
    </row>
    <row r="164" spans="1:8" ht="12.75">
      <c r="A164" s="34" t="e">
        <f t="shared" si="8"/>
        <v>#REF!</v>
      </c>
      <c r="B164" s="334"/>
      <c r="C164" s="343" t="e">
        <f>#REF!</f>
        <v>#REF!</v>
      </c>
      <c r="D164" s="142"/>
      <c r="E164" s="332" t="e">
        <f>#REF!</f>
        <v>#REF!</v>
      </c>
      <c r="F164" s="336"/>
      <c r="G164" s="58"/>
      <c r="H164" s="337" t="s">
        <v>392</v>
      </c>
    </row>
    <row r="165" spans="1:8" ht="12.75">
      <c r="A165" s="34" t="e">
        <f t="shared" si="8"/>
        <v>#REF!</v>
      </c>
      <c r="B165" s="334"/>
      <c r="C165" s="343" t="e">
        <f>#REF!</f>
        <v>#REF!</v>
      </c>
      <c r="D165" s="141"/>
      <c r="E165" s="332" t="e">
        <f>#REF!</f>
        <v>#REF!</v>
      </c>
      <c r="F165" s="336"/>
      <c r="G165" s="58"/>
      <c r="H165" s="337" t="s">
        <v>386</v>
      </c>
    </row>
    <row r="166" spans="1:8" ht="12.75">
      <c r="A166" s="35" t="e">
        <f t="shared" si="8"/>
        <v>#REF!</v>
      </c>
      <c r="B166" s="177"/>
      <c r="C166" s="343" t="e">
        <f>#REF!</f>
        <v>#REF!</v>
      </c>
      <c r="D166" s="144"/>
      <c r="E166" s="338"/>
      <c r="F166" s="336"/>
      <c r="G166" s="58"/>
      <c r="H166" s="45"/>
    </row>
    <row r="167" spans="1:8" ht="12.75">
      <c r="A167" s="37" t="e">
        <f t="shared" si="8"/>
        <v>#REF!</v>
      </c>
      <c r="B167" s="61"/>
      <c r="C167" s="344"/>
      <c r="D167" s="186"/>
      <c r="E167" s="344"/>
      <c r="F167" s="344"/>
      <c r="G167" s="345"/>
      <c r="H167" s="45"/>
    </row>
    <row r="168" spans="1:8" ht="12.75">
      <c r="A168" s="188" t="e">
        <f t="shared" si="8"/>
        <v>#REF!</v>
      </c>
      <c r="B168" s="84"/>
      <c r="C168" s="346"/>
      <c r="D168" s="187"/>
      <c r="E168" s="280" t="e">
        <f>#REF!</f>
        <v>#REF!</v>
      </c>
      <c r="F168" s="281" t="e">
        <f>#REF!</f>
        <v>#REF!</v>
      </c>
      <c r="G168" s="345"/>
      <c r="H168" s="45"/>
    </row>
    <row r="169" spans="1:8" ht="12.75">
      <c r="A169" s="37" t="e">
        <f t="shared" si="8"/>
        <v>#REF!</v>
      </c>
      <c r="B169" s="60"/>
      <c r="C169" s="347"/>
      <c r="D169" s="145"/>
      <c r="E169" s="347"/>
      <c r="F169" s="348"/>
      <c r="G169" s="345"/>
      <c r="H169" s="45"/>
    </row>
    <row r="170" spans="1:8" ht="12.75">
      <c r="A170" s="188" t="e">
        <f t="shared" si="8"/>
        <v>#REF!</v>
      </c>
      <c r="B170" s="134"/>
      <c r="C170" s="349"/>
      <c r="D170" s="189"/>
      <c r="E170" s="350"/>
      <c r="F170" s="336"/>
      <c r="G170" s="345"/>
      <c r="H170" s="45"/>
    </row>
    <row r="171" spans="1:8" ht="12.75">
      <c r="A171" s="188" t="e">
        <f t="shared" si="8"/>
        <v>#REF!</v>
      </c>
      <c r="B171" s="134"/>
      <c r="C171" s="349"/>
      <c r="D171" s="189"/>
      <c r="E171" s="350"/>
      <c r="F171" s="341"/>
      <c r="G171" s="345"/>
      <c r="H171" s="337" t="s">
        <v>13</v>
      </c>
    </row>
    <row r="172" spans="1:8" ht="12.75">
      <c r="A172" s="90"/>
      <c r="B172" s="90"/>
      <c r="C172" s="146"/>
      <c r="D172" s="147"/>
      <c r="E172" s="163"/>
      <c r="F172" s="163"/>
      <c r="G172" s="90"/>
      <c r="H172" s="45"/>
    </row>
    <row r="173" spans="1:8" s="11" customFormat="1" ht="12.75" customHeight="1">
      <c r="A173" s="260"/>
      <c r="B173" s="232"/>
      <c r="C173" s="233" t="s">
        <v>467</v>
      </c>
      <c r="D173" s="278" t="s">
        <v>468</v>
      </c>
      <c r="E173" s="279"/>
      <c r="F173" s="108" t="s">
        <v>465</v>
      </c>
      <c r="G173" s="234"/>
      <c r="H173" s="235"/>
    </row>
    <row r="174" spans="1:8" s="42" customFormat="1" ht="12.75" customHeight="1">
      <c r="A174" s="21"/>
      <c r="B174" s="232"/>
      <c r="C174" s="241"/>
      <c r="D174" s="242"/>
      <c r="E174" s="242"/>
      <c r="F174" s="243"/>
      <c r="G174" s="234"/>
      <c r="H174" s="235"/>
    </row>
    <row r="175" spans="1:8" s="42" customFormat="1" ht="12.75" customHeight="1">
      <c r="A175" s="47" t="s">
        <v>17</v>
      </c>
      <c r="B175" s="14" t="s">
        <v>413</v>
      </c>
      <c r="C175" s="90"/>
      <c r="D175" s="147"/>
      <c r="E175" s="90"/>
      <c r="F175" s="90"/>
      <c r="G175" s="90"/>
      <c r="H175" s="45"/>
    </row>
    <row r="176" spans="1:8" s="42" customFormat="1" ht="12.75" customHeight="1">
      <c r="A176" s="31" t="e">
        <f>A171+1</f>
        <v>#REF!</v>
      </c>
      <c r="B176" s="121"/>
      <c r="C176" s="239"/>
      <c r="D176" s="351"/>
      <c r="E176" s="352"/>
      <c r="F176" s="341"/>
      <c r="G176" s="84"/>
      <c r="H176" s="337" t="e">
        <f>CONCATENATE("IJ",RIGHT(#REF!,2))</f>
        <v>#REF!</v>
      </c>
    </row>
    <row r="177" spans="1:8" s="42" customFormat="1" ht="12.75" customHeight="1">
      <c r="A177" s="34" t="e">
        <f>A176+1</f>
        <v>#REF!</v>
      </c>
      <c r="B177" s="121"/>
      <c r="C177" s="148"/>
      <c r="D177" s="149"/>
      <c r="E177" s="353"/>
      <c r="F177" s="354"/>
      <c r="G177" s="84"/>
      <c r="H177" s="337" t="e">
        <f>CONCATENATE("IV",RIGHT(#REF!,2))</f>
        <v>#REF!</v>
      </c>
    </row>
    <row r="178" spans="1:8" s="42" customFormat="1" ht="12.75" customHeight="1">
      <c r="A178" s="54" t="e">
        <f>A177+1</f>
        <v>#REF!</v>
      </c>
      <c r="B178" s="121"/>
      <c r="C178" s="239"/>
      <c r="D178" s="351"/>
      <c r="E178" s="239"/>
      <c r="F178" s="341"/>
      <c r="G178" s="84"/>
      <c r="H178" s="337" t="e">
        <f>CONCATENATE("IT",RIGHT(#REF!,2))</f>
        <v>#REF!</v>
      </c>
    </row>
    <row r="179" spans="1:8" s="42" customFormat="1" ht="12.75" customHeight="1">
      <c r="A179" s="14"/>
      <c r="B179" s="90"/>
      <c r="C179" s="150"/>
      <c r="D179" s="151"/>
      <c r="E179" s="355"/>
      <c r="F179" s="355"/>
      <c r="G179" s="84"/>
      <c r="H179" s="225"/>
    </row>
    <row r="180" spans="1:8" ht="12.75">
      <c r="A180" s="47" t="s">
        <v>18</v>
      </c>
      <c r="B180" s="41" t="s">
        <v>515</v>
      </c>
      <c r="C180" s="157"/>
      <c r="D180" s="42"/>
      <c r="E180" s="42"/>
      <c r="F180" s="356"/>
      <c r="G180" s="356"/>
      <c r="H180" s="47"/>
    </row>
    <row r="181" spans="1:8" ht="12.75">
      <c r="A181" s="31" t="e">
        <f>A178+1</f>
        <v>#REF!</v>
      </c>
      <c r="B181" s="357"/>
      <c r="C181" s="152"/>
      <c r="D181" s="358"/>
      <c r="E181" s="359"/>
      <c r="F181" s="332" t="e">
        <f>#REF!</f>
        <v>#REF!</v>
      </c>
      <c r="G181" s="84"/>
      <c r="H181" s="337" t="s">
        <v>411</v>
      </c>
    </row>
    <row r="182" spans="1:8" ht="12.75">
      <c r="A182" s="35" t="e">
        <f>A181+1</f>
        <v>#REF!</v>
      </c>
      <c r="B182" s="357"/>
      <c r="C182" s="153"/>
      <c r="D182" s="360"/>
      <c r="E182" s="361"/>
      <c r="F182" s="336"/>
      <c r="G182" s="84"/>
      <c r="H182" s="337" t="s">
        <v>411</v>
      </c>
    </row>
    <row r="183" spans="1:8" ht="12.75">
      <c r="A183" s="37" t="e">
        <f>A182+1</f>
        <v>#REF!</v>
      </c>
      <c r="B183" s="362"/>
      <c r="C183" s="154"/>
      <c r="D183" s="363"/>
      <c r="E183" s="364"/>
      <c r="F183" s="365"/>
      <c r="G183" s="225"/>
      <c r="H183" s="225"/>
    </row>
    <row r="184" spans="1:8" ht="12.75">
      <c r="A184" s="41"/>
      <c r="B184" s="42"/>
      <c r="C184" s="147"/>
      <c r="D184" s="42"/>
      <c r="E184" s="42"/>
      <c r="F184" s="42"/>
      <c r="G184" s="42"/>
      <c r="H184" s="47"/>
    </row>
    <row r="185" spans="1:8" ht="12.75">
      <c r="A185" s="37" t="e">
        <f>A183+1</f>
        <v>#REF!</v>
      </c>
      <c r="B185" s="362"/>
      <c r="C185" s="154"/>
      <c r="D185" s="363"/>
      <c r="E185" s="364"/>
      <c r="F185" s="365">
        <f>F167-F171+F183</f>
        <v>0</v>
      </c>
      <c r="G185" s="42"/>
      <c r="H185" s="47"/>
    </row>
    <row r="186" spans="1:8" ht="12.75">
      <c r="A186" s="41"/>
      <c r="B186" s="42"/>
      <c r="C186" s="42"/>
      <c r="D186" s="147"/>
      <c r="E186" s="42"/>
      <c r="F186" s="42"/>
      <c r="G186" s="42"/>
      <c r="H186" s="47"/>
    </row>
    <row r="187" spans="1:8" ht="12.75">
      <c r="A187" s="41"/>
      <c r="B187" s="42"/>
      <c r="C187" s="42"/>
      <c r="D187" s="147"/>
      <c r="E187" s="42"/>
      <c r="F187" s="42"/>
      <c r="G187" s="42"/>
      <c r="H187" s="47"/>
    </row>
    <row r="188" spans="1:8" ht="12.75">
      <c r="A188" s="14" t="s">
        <v>2</v>
      </c>
      <c r="B188" s="15"/>
      <c r="C188" s="15"/>
      <c r="D188" s="137"/>
      <c r="E188" s="5"/>
      <c r="F188" s="138"/>
      <c r="G188" s="42"/>
      <c r="H188" s="47"/>
    </row>
    <row r="189" spans="2:6" ht="12.75">
      <c r="B189" s="15"/>
      <c r="C189" s="15"/>
      <c r="D189" s="15"/>
      <c r="E189" s="139"/>
      <c r="F189" s="140"/>
    </row>
    <row r="190" spans="1:6" ht="12.75">
      <c r="A190" s="64"/>
      <c r="B190" s="366"/>
      <c r="C190" s="118"/>
      <c r="D190" s="207" t="e">
        <f>CONCATENATE("Jaarrekening ",#REF!-1," ")</f>
        <v>#REF!</v>
      </c>
      <c r="E190" s="207" t="e">
        <f>CONCATENATE("Jaarrekening ",#REF!," ")</f>
        <v>#REF!</v>
      </c>
      <c r="F190" s="207" t="s">
        <v>465</v>
      </c>
    </row>
    <row r="191" spans="1:6" ht="12.75">
      <c r="A191" s="83"/>
      <c r="B191" s="325"/>
      <c r="C191" s="156"/>
      <c r="D191" s="111"/>
      <c r="E191" s="156"/>
      <c r="F191" s="113"/>
    </row>
    <row r="192" spans="1:6" ht="12.75">
      <c r="A192" s="47" t="s">
        <v>466</v>
      </c>
      <c r="B192" s="14" t="s">
        <v>410</v>
      </c>
      <c r="C192" s="147"/>
      <c r="D192" s="90"/>
      <c r="E192" s="90"/>
      <c r="F192" s="90"/>
    </row>
    <row r="193" spans="1:6" ht="12.75">
      <c r="A193" s="31" t="e">
        <f>'Rentecalc.'!#REF!</f>
        <v>#REF!</v>
      </c>
      <c r="B193" s="357"/>
      <c r="C193" s="158"/>
      <c r="D193" s="358"/>
      <c r="E193" s="359"/>
      <c r="F193" s="367">
        <f>Uitvoer!F169</f>
        <v>0</v>
      </c>
    </row>
    <row r="194" spans="1:6" ht="12.75">
      <c r="A194" s="34" t="e">
        <f>A193+1</f>
        <v>#REF!</v>
      </c>
      <c r="B194" s="368"/>
      <c r="C194" s="158"/>
      <c r="D194" s="358"/>
      <c r="E194" s="267" t="e">
        <f>'Rentecalc.'!#REF!</f>
        <v>#REF!</v>
      </c>
      <c r="F194" s="369"/>
    </row>
    <row r="195" spans="1:6" ht="12.75">
      <c r="A195" s="34" t="e">
        <f>A194+1</f>
        <v>#REF!</v>
      </c>
      <c r="B195" s="368"/>
      <c r="C195" s="158"/>
      <c r="D195" s="358"/>
      <c r="E195" s="336"/>
      <c r="F195" s="369"/>
    </row>
    <row r="196" spans="1:6" ht="12.75">
      <c r="A196" s="35" t="e">
        <f>A195+1</f>
        <v>#REF!</v>
      </c>
      <c r="B196" s="370"/>
      <c r="C196" s="224"/>
      <c r="D196" s="371"/>
      <c r="E196" s="372"/>
      <c r="F196" s="244"/>
    </row>
    <row r="197" spans="1:6" ht="12.75">
      <c r="A197" s="37" t="e">
        <f>A196+1</f>
        <v>#REF!</v>
      </c>
      <c r="B197" s="362"/>
      <c r="C197" s="154"/>
      <c r="D197" s="373"/>
      <c r="E197" s="374"/>
      <c r="F197" s="292"/>
    </row>
    <row r="198" spans="1:6" ht="12.75">
      <c r="A198" s="41"/>
      <c r="B198" s="42"/>
      <c r="C198" s="147"/>
      <c r="D198" s="42"/>
      <c r="E198" s="42"/>
      <c r="F198" s="42"/>
    </row>
    <row r="199" spans="1:6" ht="12.75">
      <c r="A199" s="47" t="s">
        <v>513</v>
      </c>
      <c r="B199" s="14"/>
      <c r="C199" s="147"/>
      <c r="D199" s="42"/>
      <c r="E199" s="42"/>
      <c r="F199" s="42"/>
    </row>
    <row r="200" spans="1:6" ht="12.75">
      <c r="A200" s="31" t="e">
        <f>A197+1</f>
        <v>#REF!</v>
      </c>
      <c r="B200" s="357"/>
      <c r="C200" s="375"/>
      <c r="D200" s="270" t="e">
        <f>'Rentecalc.'!#REF!</f>
        <v>#REF!</v>
      </c>
      <c r="E200" s="270" t="e">
        <f>'Rentecalc.'!#REF!</f>
        <v>#REF!</v>
      </c>
      <c r="F200" s="367"/>
    </row>
    <row r="201" spans="1:6" ht="12.75">
      <c r="A201" s="34" t="e">
        <f aca="true" t="shared" si="9" ref="A201:A208">A200+1</f>
        <v>#REF!</v>
      </c>
      <c r="B201" s="357"/>
      <c r="C201" s="375"/>
      <c r="D201" s="270" t="e">
        <f>'Rentecalc.'!#REF!</f>
        <v>#REF!</v>
      </c>
      <c r="E201" s="270" t="e">
        <f>'Rentecalc.'!#REF!</f>
        <v>#REF!</v>
      </c>
      <c r="F201" s="367"/>
    </row>
    <row r="202" spans="1:6" ht="12.75">
      <c r="A202" s="34" t="e">
        <f t="shared" si="9"/>
        <v>#REF!</v>
      </c>
      <c r="B202" s="357"/>
      <c r="C202" s="375"/>
      <c r="D202" s="270" t="e">
        <f>'Rentecalc.'!#REF!</f>
        <v>#REF!</v>
      </c>
      <c r="E202" s="270" t="e">
        <f>'Rentecalc.'!#REF!</f>
        <v>#REF!</v>
      </c>
      <c r="F202" s="367"/>
    </row>
    <row r="203" spans="1:6" ht="12.75">
      <c r="A203" s="34" t="e">
        <f t="shared" si="9"/>
        <v>#REF!</v>
      </c>
      <c r="B203" s="357"/>
      <c r="C203" s="375"/>
      <c r="D203" s="270" t="e">
        <f>'Rentecalc.'!#REF!</f>
        <v>#REF!</v>
      </c>
      <c r="E203" s="270" t="e">
        <f>'Rentecalc.'!#REF!</f>
        <v>#REF!</v>
      </c>
      <c r="F203" s="367"/>
    </row>
    <row r="204" spans="1:6" ht="12.75">
      <c r="A204" s="35" t="e">
        <f t="shared" si="9"/>
        <v>#REF!</v>
      </c>
      <c r="B204" s="240"/>
      <c r="C204" s="265"/>
      <c r="D204" s="270" t="e">
        <f>'Rentecalc.'!#REF!</f>
        <v>#REF!</v>
      </c>
      <c r="E204" s="270" t="e">
        <f>'Rentecalc.'!#REF!</f>
        <v>#REF!</v>
      </c>
      <c r="F204" s="367"/>
    </row>
    <row r="205" spans="1:6" ht="12.75">
      <c r="A205" s="37" t="e">
        <f t="shared" si="9"/>
        <v>#REF!</v>
      </c>
      <c r="B205" s="362"/>
      <c r="C205" s="154"/>
      <c r="D205" s="373"/>
      <c r="E205" s="374"/>
      <c r="F205" s="365"/>
    </row>
    <row r="206" spans="1:6" ht="12.75">
      <c r="A206" s="34" t="e">
        <f t="shared" si="9"/>
        <v>#REF!</v>
      </c>
      <c r="B206" s="357"/>
      <c r="C206" s="376"/>
      <c r="D206" s="377"/>
      <c r="E206" s="378"/>
      <c r="F206" s="367"/>
    </row>
    <row r="207" spans="1:6" ht="12.75">
      <c r="A207" s="35" t="e">
        <f t="shared" si="9"/>
        <v>#REF!</v>
      </c>
      <c r="B207" s="240"/>
      <c r="C207" s="265"/>
      <c r="D207" s="379"/>
      <c r="E207" s="380"/>
      <c r="F207" s="270" t="e">
        <f>'Rentecalc.'!#REF!</f>
        <v>#REF!</v>
      </c>
    </row>
    <row r="208" spans="1:6" ht="12.75">
      <c r="A208" s="37" t="e">
        <f t="shared" si="9"/>
        <v>#REF!</v>
      </c>
      <c r="B208" s="362"/>
      <c r="C208" s="154"/>
      <c r="D208" s="373"/>
      <c r="E208" s="374"/>
      <c r="F208" s="365">
        <f>F197</f>
        <v>0</v>
      </c>
    </row>
    <row r="209" spans="2:6" ht="12.75">
      <c r="B209" s="93"/>
      <c r="C209" s="155"/>
      <c r="D209" s="93"/>
      <c r="E209" s="93"/>
      <c r="F209" s="93"/>
    </row>
    <row r="210" spans="1:6" ht="12.75">
      <c r="A210" s="47" t="s">
        <v>514</v>
      </c>
      <c r="B210" s="231" t="s">
        <v>12</v>
      </c>
      <c r="C210" s="147"/>
      <c r="D210" s="90"/>
      <c r="E210" s="90"/>
      <c r="F210" s="90"/>
    </row>
    <row r="211" spans="1:6" ht="12.75">
      <c r="A211" s="31" t="e">
        <f>A208+1</f>
        <v>#REF!</v>
      </c>
      <c r="B211" s="381"/>
      <c r="C211" s="158"/>
      <c r="D211" s="270" t="e">
        <f>'Rentecalc.'!#REF!</f>
        <v>#REF!</v>
      </c>
      <c r="E211" s="270" t="e">
        <f>'Rentecalc.'!#REF!</f>
        <v>#REF!</v>
      </c>
      <c r="F211" s="336"/>
    </row>
    <row r="212" spans="1:6" ht="12.75">
      <c r="A212" s="34" t="e">
        <f>A211+1</f>
        <v>#REF!</v>
      </c>
      <c r="B212" s="382"/>
      <c r="C212" s="158"/>
      <c r="D212" s="267" t="e">
        <f>'Rentecalc.'!#REF!</f>
        <v>#REF!</v>
      </c>
      <c r="E212" s="383"/>
      <c r="F212" s="42"/>
    </row>
    <row r="213" spans="1:6" ht="12.75">
      <c r="A213" s="81" t="e">
        <f>A212+1</f>
        <v>#REF!</v>
      </c>
      <c r="B213" s="382"/>
      <c r="C213" s="228"/>
      <c r="D213" s="384"/>
      <c r="E213" s="90"/>
      <c r="F213" s="42"/>
    </row>
    <row r="214" spans="1:6" ht="12.75">
      <c r="A214" s="37" t="e">
        <f>A213+1</f>
        <v>#REF!</v>
      </c>
      <c r="B214" s="385"/>
      <c r="C214" s="154"/>
      <c r="D214" s="229"/>
      <c r="E214" s="386"/>
      <c r="F214" s="263"/>
    </row>
    <row r="215" spans="1:6" ht="12.75">
      <c r="A215" s="227"/>
      <c r="B215" s="93"/>
      <c r="C215" s="155"/>
      <c r="D215" s="93"/>
      <c r="E215" s="93"/>
      <c r="F215" s="93"/>
    </row>
    <row r="216" spans="2:6" ht="12.75">
      <c r="B216" s="93"/>
      <c r="C216" s="155"/>
      <c r="D216" s="93"/>
      <c r="E216" s="93"/>
      <c r="F216" s="93"/>
    </row>
    <row r="217" spans="1:8" ht="12.75">
      <c r="A217" s="14" t="s">
        <v>19</v>
      </c>
      <c r="B217" s="42"/>
      <c r="C217" s="42"/>
      <c r="D217" s="42"/>
      <c r="E217" s="42"/>
      <c r="F217" s="42"/>
      <c r="G217" s="42"/>
      <c r="H217" s="42"/>
    </row>
    <row r="218" spans="1:8" ht="12.75">
      <c r="A218" s="41"/>
      <c r="B218" s="42"/>
      <c r="C218" s="42"/>
      <c r="D218" s="42"/>
      <c r="E218" s="42"/>
      <c r="F218" s="42"/>
      <c r="G218" s="42"/>
      <c r="H218" s="42"/>
    </row>
    <row r="219" spans="1:21" ht="12.75" customHeight="1">
      <c r="A219" s="21"/>
      <c r="B219" s="208"/>
      <c r="C219" s="105" t="s">
        <v>469</v>
      </c>
      <c r="D219" s="209" t="s">
        <v>470</v>
      </c>
      <c r="E219" s="299"/>
      <c r="G219" s="5"/>
      <c r="H219" s="2"/>
      <c r="J219" s="2"/>
      <c r="L219" s="93"/>
      <c r="M219" s="96"/>
      <c r="N219" s="93"/>
      <c r="P219" s="93"/>
      <c r="S219" s="2"/>
      <c r="T219" s="2"/>
      <c r="U219" s="2"/>
    </row>
    <row r="220" spans="1:21" ht="12.75">
      <c r="A220" s="21"/>
      <c r="B220" s="208"/>
      <c r="C220" s="109"/>
      <c r="D220" s="109" t="e">
        <f>CONCATENATE(#REF!-1,"* ")</f>
        <v>#REF!</v>
      </c>
      <c r="E220" s="109" t="e">
        <f>CONCATENATE("Mutaties ",#REF!," ")</f>
        <v>#REF!</v>
      </c>
      <c r="G220" s="5"/>
      <c r="H220" s="2"/>
      <c r="J220" s="2"/>
      <c r="L220" s="93"/>
      <c r="M220" s="96"/>
      <c r="N220" s="93"/>
      <c r="P220" s="93"/>
      <c r="S220" s="2"/>
      <c r="T220" s="2"/>
      <c r="U220" s="2"/>
    </row>
    <row r="221" spans="1:21" ht="12.75">
      <c r="A221" s="26"/>
      <c r="B221" s="27"/>
      <c r="C221" s="29"/>
      <c r="D221" s="29"/>
      <c r="E221" s="29"/>
      <c r="G221" s="5"/>
      <c r="H221" s="2"/>
      <c r="J221" s="2"/>
      <c r="L221" s="93"/>
      <c r="M221" s="96"/>
      <c r="N221" s="93"/>
      <c r="P221" s="93"/>
      <c r="S221" s="2"/>
      <c r="T221" s="2"/>
      <c r="U221" s="2"/>
    </row>
    <row r="222" spans="1:21" ht="12.75">
      <c r="A222" s="159" t="s">
        <v>474</v>
      </c>
      <c r="B222" s="94" t="s">
        <v>517</v>
      </c>
      <c r="C222" s="387"/>
      <c r="D222" s="95"/>
      <c r="E222" s="95"/>
      <c r="G222" s="5"/>
      <c r="H222" s="2"/>
      <c r="J222" s="2"/>
      <c r="L222" s="93"/>
      <c r="M222" s="96"/>
      <c r="N222" s="93"/>
      <c r="P222" s="93"/>
      <c r="S222" s="2"/>
      <c r="T222" s="2"/>
      <c r="U222" s="2"/>
    </row>
    <row r="223" spans="1:21" ht="12.75">
      <c r="A223" s="31">
        <f>'A-G'!A9</f>
        <v>1701</v>
      </c>
      <c r="B223" s="388"/>
      <c r="C223" s="389">
        <f>'A-G'!C9</f>
        <v>0</v>
      </c>
      <c r="D223" s="390" t="e">
        <f>'A-G'!#REF!</f>
        <v>#REF!</v>
      </c>
      <c r="E223" s="391"/>
      <c r="G223" s="5"/>
      <c r="H223" s="2"/>
      <c r="J223" s="2"/>
      <c r="L223" s="93"/>
      <c r="M223" s="96"/>
      <c r="N223" s="93"/>
      <c r="P223" s="93"/>
      <c r="S223" s="2"/>
      <c r="T223" s="2"/>
      <c r="U223" s="2"/>
    </row>
    <row r="224" spans="1:21" ht="12.75">
      <c r="A224" s="34">
        <f aca="true" t="shared" si="10" ref="A224:A236">A223+1</f>
        <v>1702</v>
      </c>
      <c r="B224" s="388"/>
      <c r="C224" s="389">
        <f>'A-G'!C10</f>
        <v>0</v>
      </c>
      <c r="D224" s="239"/>
      <c r="E224" s="392">
        <f>'A-G'!D10</f>
        <v>0</v>
      </c>
      <c r="G224" s="5"/>
      <c r="H224" s="2"/>
      <c r="J224" s="2"/>
      <c r="L224" s="93"/>
      <c r="M224" s="96"/>
      <c r="N224" s="93"/>
      <c r="P224" s="93"/>
      <c r="S224" s="2"/>
      <c r="T224" s="2"/>
      <c r="U224" s="2"/>
    </row>
    <row r="225" spans="1:21" ht="12.75">
      <c r="A225" s="34">
        <f t="shared" si="10"/>
        <v>1703</v>
      </c>
      <c r="B225" s="388"/>
      <c r="C225" s="389" t="e">
        <f>'A-G'!#REF!</f>
        <v>#REF!</v>
      </c>
      <c r="D225" s="239"/>
      <c r="E225" s="392" t="e">
        <f>'A-G'!#REF!</f>
        <v>#REF!</v>
      </c>
      <c r="G225" s="5"/>
      <c r="H225" s="2"/>
      <c r="J225" s="2"/>
      <c r="L225" s="93"/>
      <c r="M225" s="96"/>
      <c r="N225" s="93"/>
      <c r="P225" s="93"/>
      <c r="S225" s="2"/>
      <c r="T225" s="2"/>
      <c r="U225" s="2"/>
    </row>
    <row r="226" spans="1:21" ht="12.75">
      <c r="A226" s="34">
        <f t="shared" si="10"/>
        <v>1704</v>
      </c>
      <c r="B226" s="388"/>
      <c r="C226" s="389" t="e">
        <f>'A-G'!#REF!</f>
        <v>#REF!</v>
      </c>
      <c r="D226" s="239"/>
      <c r="E226" s="392" t="e">
        <f>'A-G'!#REF!</f>
        <v>#REF!</v>
      </c>
      <c r="G226" s="5"/>
      <c r="H226" s="2"/>
      <c r="J226" s="2"/>
      <c r="L226" s="93"/>
      <c r="M226" s="96"/>
      <c r="N226" s="93"/>
      <c r="P226" s="93"/>
      <c r="S226" s="2"/>
      <c r="T226" s="2"/>
      <c r="U226" s="2"/>
    </row>
    <row r="227" spans="1:21" ht="12.75">
      <c r="A227" s="34">
        <f t="shared" si="10"/>
        <v>1705</v>
      </c>
      <c r="B227" s="388"/>
      <c r="C227" s="389" t="e">
        <f>'A-G'!#REF!</f>
        <v>#REF!</v>
      </c>
      <c r="D227" s="239"/>
      <c r="E227" s="392" t="e">
        <f>'A-G'!#REF!</f>
        <v>#REF!</v>
      </c>
      <c r="G227" s="5"/>
      <c r="H227" s="2"/>
      <c r="J227" s="2"/>
      <c r="L227" s="93"/>
      <c r="M227" s="96"/>
      <c r="N227" s="93"/>
      <c r="P227" s="93"/>
      <c r="S227" s="2"/>
      <c r="T227" s="2"/>
      <c r="U227" s="2"/>
    </row>
    <row r="228" spans="1:21" ht="12.75">
      <c r="A228" s="34">
        <f t="shared" si="10"/>
        <v>1706</v>
      </c>
      <c r="B228" s="388"/>
      <c r="C228" s="389" t="e">
        <f>'A-G'!#REF!</f>
        <v>#REF!</v>
      </c>
      <c r="D228" s="239"/>
      <c r="E228" s="392" t="e">
        <f>'A-G'!#REF!</f>
        <v>#REF!</v>
      </c>
      <c r="G228" s="5"/>
      <c r="H228" s="2"/>
      <c r="J228" s="2"/>
      <c r="L228" s="93"/>
      <c r="M228" s="96"/>
      <c r="N228" s="93"/>
      <c r="P228" s="93"/>
      <c r="S228" s="2"/>
      <c r="T228" s="2"/>
      <c r="U228" s="2"/>
    </row>
    <row r="229" spans="1:21" ht="12.75">
      <c r="A229" s="34">
        <f t="shared" si="10"/>
        <v>1707</v>
      </c>
      <c r="B229" s="388"/>
      <c r="C229" s="389" t="e">
        <f>'A-G'!#REF!</f>
        <v>#REF!</v>
      </c>
      <c r="D229" s="239"/>
      <c r="E229" s="392" t="e">
        <f>'A-G'!#REF!</f>
        <v>#REF!</v>
      </c>
      <c r="G229" s="5"/>
      <c r="H229" s="2"/>
      <c r="J229" s="2"/>
      <c r="L229" s="93"/>
      <c r="M229" s="96"/>
      <c r="N229" s="93"/>
      <c r="P229" s="93"/>
      <c r="S229" s="2"/>
      <c r="T229" s="2"/>
      <c r="U229" s="2"/>
    </row>
    <row r="230" spans="1:21" ht="12.75">
      <c r="A230" s="34">
        <f t="shared" si="10"/>
        <v>1708</v>
      </c>
      <c r="B230" s="388"/>
      <c r="C230" s="389" t="e">
        <f>'A-G'!#REF!</f>
        <v>#REF!</v>
      </c>
      <c r="D230" s="239"/>
      <c r="E230" s="392" t="e">
        <f>'A-G'!#REF!</f>
        <v>#REF!</v>
      </c>
      <c r="G230" s="5"/>
      <c r="H230" s="2"/>
      <c r="J230" s="2"/>
      <c r="L230" s="93"/>
      <c r="M230" s="96"/>
      <c r="N230" s="93"/>
      <c r="P230" s="93"/>
      <c r="S230" s="2"/>
      <c r="T230" s="2"/>
      <c r="U230" s="2"/>
    </row>
    <row r="231" spans="1:21" ht="12.75">
      <c r="A231" s="34">
        <f t="shared" si="10"/>
        <v>1709</v>
      </c>
      <c r="B231" s="388"/>
      <c r="C231" s="389" t="e">
        <f>'A-G'!#REF!</f>
        <v>#REF!</v>
      </c>
      <c r="D231" s="239"/>
      <c r="E231" s="392" t="e">
        <f>'A-G'!#REF!</f>
        <v>#REF!</v>
      </c>
      <c r="G231" s="5"/>
      <c r="H231" s="2"/>
      <c r="J231" s="2"/>
      <c r="L231" s="93"/>
      <c r="M231" s="96"/>
      <c r="N231" s="93"/>
      <c r="P231" s="93"/>
      <c r="S231" s="2"/>
      <c r="T231" s="2"/>
      <c r="U231" s="2"/>
    </row>
    <row r="232" spans="1:21" ht="12.75">
      <c r="A232" s="34">
        <f t="shared" si="10"/>
        <v>1710</v>
      </c>
      <c r="B232" s="388"/>
      <c r="C232" s="389" t="e">
        <f>'A-G'!#REF!</f>
        <v>#REF!</v>
      </c>
      <c r="D232" s="239"/>
      <c r="E232" s="392" t="e">
        <f>'A-G'!#REF!</f>
        <v>#REF!</v>
      </c>
      <c r="G232" s="5"/>
      <c r="H232" s="2"/>
      <c r="J232" s="2"/>
      <c r="L232" s="93"/>
      <c r="M232" s="96"/>
      <c r="N232" s="93"/>
      <c r="P232" s="93"/>
      <c r="S232" s="2"/>
      <c r="T232" s="2"/>
      <c r="U232" s="2"/>
    </row>
    <row r="233" spans="1:21" ht="12.75">
      <c r="A233" s="34">
        <f t="shared" si="10"/>
        <v>1711</v>
      </c>
      <c r="B233" s="388"/>
      <c r="C233" s="389" t="e">
        <f>'A-G'!#REF!</f>
        <v>#REF!</v>
      </c>
      <c r="D233" s="239"/>
      <c r="E233" s="392" t="e">
        <f>'A-G'!#REF!</f>
        <v>#REF!</v>
      </c>
      <c r="G233" s="5"/>
      <c r="H233" s="2"/>
      <c r="J233" s="2"/>
      <c r="L233" s="93"/>
      <c r="M233" s="96"/>
      <c r="N233" s="93"/>
      <c r="P233" s="93"/>
      <c r="S233" s="2"/>
      <c r="T233" s="2"/>
      <c r="U233" s="2"/>
    </row>
    <row r="234" spans="1:21" ht="12.75">
      <c r="A234" s="34">
        <f t="shared" si="10"/>
        <v>1712</v>
      </c>
      <c r="B234" s="388"/>
      <c r="C234" s="389" t="e">
        <f>'A-G'!#REF!</f>
        <v>#REF!</v>
      </c>
      <c r="D234" s="239"/>
      <c r="E234" s="392" t="e">
        <f>'A-G'!#REF!</f>
        <v>#REF!</v>
      </c>
      <c r="G234" s="5"/>
      <c r="H234" s="2"/>
      <c r="J234" s="2"/>
      <c r="L234" s="93"/>
      <c r="M234" s="96"/>
      <c r="N234" s="93"/>
      <c r="P234" s="93"/>
      <c r="S234" s="2"/>
      <c r="T234" s="2"/>
      <c r="U234" s="2"/>
    </row>
    <row r="235" spans="1:21" ht="12.75">
      <c r="A235" s="54">
        <f t="shared" si="10"/>
        <v>1713</v>
      </c>
      <c r="B235" s="393"/>
      <c r="C235" s="389" t="e">
        <f>'A-G'!#REF!</f>
        <v>#REF!</v>
      </c>
      <c r="D235" s="239"/>
      <c r="E235" s="392" t="e">
        <f>'A-G'!#REF!</f>
        <v>#REF!</v>
      </c>
      <c r="G235" s="5"/>
      <c r="H235" s="2"/>
      <c r="J235" s="2"/>
      <c r="L235" s="93"/>
      <c r="M235" s="96"/>
      <c r="N235" s="93"/>
      <c r="P235" s="93"/>
      <c r="S235" s="2"/>
      <c r="T235" s="2"/>
      <c r="U235" s="2"/>
    </row>
    <row r="236" spans="1:21" ht="12.75">
      <c r="A236" s="37">
        <f t="shared" si="10"/>
        <v>1714</v>
      </c>
      <c r="B236" s="38"/>
      <c r="C236" s="394"/>
      <c r="D236" s="395"/>
      <c r="E236" s="396"/>
      <c r="F236" s="5"/>
      <c r="G236" s="5"/>
      <c r="H236" s="5"/>
      <c r="J236" s="2"/>
      <c r="L236" s="93"/>
      <c r="M236" s="96"/>
      <c r="N236" s="93"/>
      <c r="P236" s="93"/>
      <c r="S236" s="2"/>
      <c r="T236" s="2"/>
      <c r="U236" s="2"/>
    </row>
    <row r="237" spans="1:8" ht="12.75">
      <c r="A237" s="118" t="e">
        <f>CONCATENATE("* mutaties ",#REF!-1," (regel ",Uitvoer!A74,") exlusief niet-nacalculeerbare afschrijvingen (regel ",Uitvoer!A75,")")</f>
        <v>#REF!</v>
      </c>
      <c r="B237" s="42"/>
      <c r="C237" s="42"/>
      <c r="D237" s="185"/>
      <c r="E237" s="42"/>
      <c r="F237" s="160"/>
      <c r="G237" s="90"/>
      <c r="H237" s="119"/>
    </row>
    <row r="238" spans="1:8" ht="12.75">
      <c r="A238" s="118" t="str">
        <f>CONCATENATE("** regel ",A223," t/m ",A235,)</f>
        <v>** regel 1701 t/m 1713</v>
      </c>
      <c r="B238" s="42"/>
      <c r="C238" s="42"/>
      <c r="D238" s="185"/>
      <c r="E238" s="42"/>
      <c r="F238" s="160"/>
      <c r="G238" s="42"/>
      <c r="H238" s="119"/>
    </row>
    <row r="239" spans="1:8" ht="12.75">
      <c r="A239" s="118"/>
      <c r="B239" s="42"/>
      <c r="C239" s="42"/>
      <c r="D239" s="185"/>
      <c r="E239" s="42"/>
      <c r="F239" s="160"/>
      <c r="G239" s="42"/>
      <c r="H239" s="119"/>
    </row>
    <row r="240" spans="1:21" ht="12.75" customHeight="1">
      <c r="A240" s="21"/>
      <c r="B240" s="208"/>
      <c r="C240" s="105" t="s">
        <v>428</v>
      </c>
      <c r="D240" s="105" t="s">
        <v>436</v>
      </c>
      <c r="E240" s="1"/>
      <c r="G240" s="5"/>
      <c r="H240" s="2"/>
      <c r="J240" s="2"/>
      <c r="L240" s="93"/>
      <c r="M240" s="96"/>
      <c r="N240" s="93"/>
      <c r="P240" s="93"/>
      <c r="S240" s="2"/>
      <c r="T240" s="2"/>
      <c r="U240" s="2"/>
    </row>
    <row r="241" spans="1:21" ht="12.75">
      <c r="A241" s="21"/>
      <c r="B241" s="208"/>
      <c r="C241" s="210" t="s">
        <v>435</v>
      </c>
      <c r="D241" s="210" t="s">
        <v>429</v>
      </c>
      <c r="E241" s="1"/>
      <c r="G241" s="5"/>
      <c r="H241" s="2"/>
      <c r="J241" s="2"/>
      <c r="L241" s="93"/>
      <c r="M241" s="96"/>
      <c r="N241" s="93"/>
      <c r="P241" s="93"/>
      <c r="S241" s="2"/>
      <c r="T241" s="2"/>
      <c r="U241" s="2"/>
    </row>
    <row r="242" spans="1:21" ht="12.75">
      <c r="A242" s="21"/>
      <c r="B242" s="208"/>
      <c r="C242" s="109" t="s">
        <v>430</v>
      </c>
      <c r="D242" s="109" t="s">
        <v>434</v>
      </c>
      <c r="E242" s="1"/>
      <c r="G242" s="5"/>
      <c r="H242" s="2"/>
      <c r="J242" s="2"/>
      <c r="L242" s="93"/>
      <c r="M242" s="96"/>
      <c r="N242" s="93"/>
      <c r="P242" s="93"/>
      <c r="S242" s="2"/>
      <c r="T242" s="2"/>
      <c r="U242" s="2"/>
    </row>
    <row r="243" spans="1:21" ht="12.75">
      <c r="A243" s="26"/>
      <c r="B243" s="27"/>
      <c r="C243" s="29"/>
      <c r="D243" s="29"/>
      <c r="E243" s="1"/>
      <c r="G243" s="5"/>
      <c r="H243" s="2"/>
      <c r="J243" s="2"/>
      <c r="L243" s="93"/>
      <c r="M243" s="96"/>
      <c r="N243" s="93"/>
      <c r="P243" s="93"/>
      <c r="S243" s="2"/>
      <c r="T243" s="2"/>
      <c r="U243" s="2"/>
    </row>
    <row r="244" spans="1:21" ht="12.75">
      <c r="A244" s="14" t="s">
        <v>475</v>
      </c>
      <c r="B244" s="27" t="s">
        <v>473</v>
      </c>
      <c r="C244" s="387"/>
      <c r="D244" s="95"/>
      <c r="E244" s="1"/>
      <c r="G244" s="5"/>
      <c r="H244" s="2"/>
      <c r="J244" s="2"/>
      <c r="L244" s="93"/>
      <c r="M244" s="96"/>
      <c r="N244" s="93"/>
      <c r="P244" s="93"/>
      <c r="S244" s="2"/>
      <c r="T244" s="2"/>
      <c r="U244" s="2"/>
    </row>
    <row r="245" spans="1:21" ht="12.75">
      <c r="A245" s="31">
        <f>'A-G'!A32</f>
        <v>1718</v>
      </c>
      <c r="B245" s="388"/>
      <c r="C245" s="389">
        <f>'A-G'!C32</f>
        <v>0</v>
      </c>
      <c r="D245" s="397"/>
      <c r="E245" s="1"/>
      <c r="G245" s="5"/>
      <c r="H245" s="2"/>
      <c r="J245" s="2"/>
      <c r="L245" s="93"/>
      <c r="M245" s="96"/>
      <c r="N245" s="93"/>
      <c r="P245" s="93"/>
      <c r="S245" s="2"/>
      <c r="T245" s="2"/>
      <c r="U245" s="2"/>
    </row>
    <row r="246" spans="1:21" ht="12.75">
      <c r="A246" s="34">
        <f aca="true" t="shared" si="11" ref="A246:A260">A245+1</f>
        <v>1719</v>
      </c>
      <c r="B246" s="388"/>
      <c r="C246" s="390" t="e">
        <f>'A-G'!#REF!</f>
        <v>#REF!</v>
      </c>
      <c r="D246" s="398"/>
      <c r="E246" s="1"/>
      <c r="G246" s="5"/>
      <c r="H246" s="2"/>
      <c r="J246" s="2"/>
      <c r="L246" s="93"/>
      <c r="M246" s="96"/>
      <c r="N246" s="93"/>
      <c r="P246" s="93"/>
      <c r="S246" s="2"/>
      <c r="T246" s="2"/>
      <c r="U246" s="2"/>
    </row>
    <row r="247" spans="1:21" ht="12.75">
      <c r="A247" s="34">
        <f t="shared" si="11"/>
        <v>1720</v>
      </c>
      <c r="B247" s="388"/>
      <c r="C247" s="389" t="e">
        <f>'A-G'!#REF!</f>
        <v>#REF!</v>
      </c>
      <c r="D247" s="390" t="e">
        <f>'A-G'!#REF!</f>
        <v>#REF!</v>
      </c>
      <c r="E247" s="1"/>
      <c r="G247" s="5"/>
      <c r="H247" s="2"/>
      <c r="J247" s="2"/>
      <c r="L247" s="93"/>
      <c r="M247" s="96"/>
      <c r="N247" s="93"/>
      <c r="P247" s="93"/>
      <c r="S247" s="2"/>
      <c r="T247" s="2"/>
      <c r="U247" s="2"/>
    </row>
    <row r="248" spans="1:21" ht="12.75">
      <c r="A248" s="34">
        <f t="shared" si="11"/>
        <v>1721</v>
      </c>
      <c r="B248" s="388"/>
      <c r="C248" s="389" t="e">
        <f>'A-G'!#REF!</f>
        <v>#REF!</v>
      </c>
      <c r="D248" s="390" t="e">
        <f>'A-G'!#REF!</f>
        <v>#REF!</v>
      </c>
      <c r="E248" s="1"/>
      <c r="G248" s="5"/>
      <c r="H248" s="2"/>
      <c r="J248" s="2"/>
      <c r="L248" s="93"/>
      <c r="M248" s="96"/>
      <c r="N248" s="93"/>
      <c r="P248" s="93"/>
      <c r="S248" s="2"/>
      <c r="T248" s="2"/>
      <c r="U248" s="2"/>
    </row>
    <row r="249" spans="1:21" ht="12.75">
      <c r="A249" s="34">
        <f t="shared" si="11"/>
        <v>1722</v>
      </c>
      <c r="B249" s="388"/>
      <c r="C249" s="389" t="e">
        <f>'A-G'!#REF!</f>
        <v>#REF!</v>
      </c>
      <c r="D249" s="390" t="e">
        <f>'A-G'!#REF!</f>
        <v>#REF!</v>
      </c>
      <c r="E249" s="1"/>
      <c r="G249" s="5"/>
      <c r="H249" s="2"/>
      <c r="J249" s="2"/>
      <c r="L249" s="93"/>
      <c r="M249" s="96"/>
      <c r="N249" s="93"/>
      <c r="P249" s="93"/>
      <c r="S249" s="2"/>
      <c r="T249" s="2"/>
      <c r="U249" s="2"/>
    </row>
    <row r="250" spans="1:21" ht="12.75">
      <c r="A250" s="34">
        <f t="shared" si="11"/>
        <v>1723</v>
      </c>
      <c r="B250" s="388"/>
      <c r="C250" s="389" t="e">
        <f>'A-G'!#REF!</f>
        <v>#REF!</v>
      </c>
      <c r="D250" s="390" t="e">
        <f>'A-G'!#REF!</f>
        <v>#REF!</v>
      </c>
      <c r="E250" s="1"/>
      <c r="G250" s="5"/>
      <c r="H250" s="2"/>
      <c r="J250" s="2"/>
      <c r="L250" s="93"/>
      <c r="M250" s="96"/>
      <c r="N250" s="93"/>
      <c r="P250" s="93"/>
      <c r="S250" s="2"/>
      <c r="T250" s="2"/>
      <c r="U250" s="2"/>
    </row>
    <row r="251" spans="1:21" ht="12.75">
      <c r="A251" s="34">
        <f t="shared" si="11"/>
        <v>1724</v>
      </c>
      <c r="B251" s="388"/>
      <c r="C251" s="389" t="e">
        <f>'A-G'!#REF!</f>
        <v>#REF!</v>
      </c>
      <c r="D251" s="390" t="e">
        <f>'A-G'!#REF!</f>
        <v>#REF!</v>
      </c>
      <c r="E251" s="1"/>
      <c r="G251" s="5"/>
      <c r="H251" s="2"/>
      <c r="J251" s="2"/>
      <c r="L251" s="93"/>
      <c r="M251" s="96"/>
      <c r="N251" s="93"/>
      <c r="P251" s="93"/>
      <c r="S251" s="2"/>
      <c r="T251" s="2"/>
      <c r="U251" s="2"/>
    </row>
    <row r="252" spans="1:21" ht="12.75">
      <c r="A252" s="34">
        <f t="shared" si="11"/>
        <v>1725</v>
      </c>
      <c r="B252" s="388"/>
      <c r="C252" s="389" t="e">
        <f>'A-G'!#REF!</f>
        <v>#REF!</v>
      </c>
      <c r="D252" s="390" t="e">
        <f>'A-G'!#REF!</f>
        <v>#REF!</v>
      </c>
      <c r="E252" s="1"/>
      <c r="G252" s="5"/>
      <c r="H252" s="2"/>
      <c r="J252" s="2"/>
      <c r="L252" s="93"/>
      <c r="M252" s="96"/>
      <c r="N252" s="93"/>
      <c r="P252" s="93"/>
      <c r="S252" s="2"/>
      <c r="T252" s="2"/>
      <c r="U252" s="2"/>
    </row>
    <row r="253" spans="1:21" ht="12.75">
      <c r="A253" s="34">
        <f t="shared" si="11"/>
        <v>1726</v>
      </c>
      <c r="B253" s="388"/>
      <c r="C253" s="389" t="e">
        <f>'A-G'!#REF!</f>
        <v>#REF!</v>
      </c>
      <c r="D253" s="390" t="e">
        <f>'A-G'!#REF!</f>
        <v>#REF!</v>
      </c>
      <c r="E253" s="1"/>
      <c r="G253" s="5"/>
      <c r="H253" s="2"/>
      <c r="J253" s="2"/>
      <c r="L253" s="93"/>
      <c r="M253" s="96"/>
      <c r="N253" s="93"/>
      <c r="P253" s="93"/>
      <c r="S253" s="2"/>
      <c r="T253" s="2"/>
      <c r="U253" s="2"/>
    </row>
    <row r="254" spans="1:21" ht="12.75">
      <c r="A254" s="34">
        <f t="shared" si="11"/>
        <v>1727</v>
      </c>
      <c r="B254" s="388"/>
      <c r="C254" s="389" t="e">
        <f>'A-G'!#REF!</f>
        <v>#REF!</v>
      </c>
      <c r="D254" s="390" t="e">
        <f>'A-G'!#REF!</f>
        <v>#REF!</v>
      </c>
      <c r="E254" s="1"/>
      <c r="G254" s="5"/>
      <c r="H254" s="2"/>
      <c r="J254" s="2"/>
      <c r="L254" s="93"/>
      <c r="M254" s="96"/>
      <c r="N254" s="93"/>
      <c r="P254" s="93"/>
      <c r="S254" s="2"/>
      <c r="T254" s="2"/>
      <c r="U254" s="2"/>
    </row>
    <row r="255" spans="1:21" ht="12.75">
      <c r="A255" s="34">
        <f t="shared" si="11"/>
        <v>1728</v>
      </c>
      <c r="B255" s="388"/>
      <c r="C255" s="389" t="e">
        <f>'A-G'!#REF!</f>
        <v>#REF!</v>
      </c>
      <c r="D255" s="390" t="e">
        <f>'A-G'!#REF!</f>
        <v>#REF!</v>
      </c>
      <c r="E255" s="1"/>
      <c r="G255" s="5"/>
      <c r="H255" s="2"/>
      <c r="J255" s="2"/>
      <c r="L255" s="93"/>
      <c r="M255" s="96"/>
      <c r="N255" s="93"/>
      <c r="P255" s="93"/>
      <c r="S255" s="2"/>
      <c r="T255" s="2"/>
      <c r="U255" s="2"/>
    </row>
    <row r="256" spans="1:21" ht="12.75">
      <c r="A256" s="34">
        <f t="shared" si="11"/>
        <v>1729</v>
      </c>
      <c r="B256" s="388"/>
      <c r="C256" s="389" t="e">
        <f>'A-G'!#REF!</f>
        <v>#REF!</v>
      </c>
      <c r="D256" s="390" t="e">
        <f>'A-G'!#REF!</f>
        <v>#REF!</v>
      </c>
      <c r="E256" s="1"/>
      <c r="G256" s="5"/>
      <c r="H256" s="2"/>
      <c r="J256" s="2"/>
      <c r="L256" s="93"/>
      <c r="M256" s="96"/>
      <c r="N256" s="93"/>
      <c r="P256" s="93"/>
      <c r="S256" s="2"/>
      <c r="T256" s="2"/>
      <c r="U256" s="2"/>
    </row>
    <row r="257" spans="1:21" ht="12.75">
      <c r="A257" s="34">
        <f t="shared" si="11"/>
        <v>1730</v>
      </c>
      <c r="B257" s="388"/>
      <c r="C257" s="389" t="e">
        <f>'A-G'!#REF!</f>
        <v>#REF!</v>
      </c>
      <c r="D257" s="390" t="e">
        <f>'A-G'!#REF!</f>
        <v>#REF!</v>
      </c>
      <c r="E257" s="1"/>
      <c r="G257" s="5"/>
      <c r="H257" s="2"/>
      <c r="J257" s="2"/>
      <c r="L257" s="93"/>
      <c r="M257" s="96"/>
      <c r="N257" s="93"/>
      <c r="P257" s="93"/>
      <c r="S257" s="2"/>
      <c r="T257" s="2"/>
      <c r="U257" s="2"/>
    </row>
    <row r="258" spans="1:21" ht="12.75">
      <c r="A258" s="34">
        <f t="shared" si="11"/>
        <v>1731</v>
      </c>
      <c r="B258" s="388"/>
      <c r="C258" s="389" t="e">
        <f>'A-G'!#REF!</f>
        <v>#REF!</v>
      </c>
      <c r="D258" s="390" t="e">
        <f>'A-G'!#REF!</f>
        <v>#REF!</v>
      </c>
      <c r="E258" s="1"/>
      <c r="G258" s="5"/>
      <c r="H258" s="2"/>
      <c r="J258" s="2"/>
      <c r="L258" s="93"/>
      <c r="M258" s="96"/>
      <c r="N258" s="93"/>
      <c r="P258" s="93"/>
      <c r="S258" s="2"/>
      <c r="T258" s="2"/>
      <c r="U258" s="2"/>
    </row>
    <row r="259" spans="1:21" ht="12.75">
      <c r="A259" s="35">
        <f t="shared" si="11"/>
        <v>1732</v>
      </c>
      <c r="B259" s="388"/>
      <c r="C259" s="389" t="e">
        <f>'A-G'!#REF!</f>
        <v>#REF!</v>
      </c>
      <c r="D259" s="398"/>
      <c r="E259" s="1"/>
      <c r="G259" s="5"/>
      <c r="H259" s="2"/>
      <c r="J259" s="2"/>
      <c r="L259" s="93"/>
      <c r="M259" s="96"/>
      <c r="N259" s="93"/>
      <c r="P259" s="93"/>
      <c r="S259" s="2"/>
      <c r="T259" s="2"/>
      <c r="U259" s="2"/>
    </row>
    <row r="260" spans="1:21" ht="12.75">
      <c r="A260" s="37">
        <f t="shared" si="11"/>
        <v>1733</v>
      </c>
      <c r="B260" s="38"/>
      <c r="C260" s="292" t="e">
        <f>C245-C246+SUM(C247:C259)</f>
        <v>#REF!</v>
      </c>
      <c r="D260" s="308" t="e">
        <f>SUM(D247:D258)</f>
        <v>#REF!</v>
      </c>
      <c r="E260" s="1"/>
      <c r="G260" s="5"/>
      <c r="H260" s="2"/>
      <c r="J260" s="2"/>
      <c r="L260" s="93"/>
      <c r="M260" s="96"/>
      <c r="N260" s="93"/>
      <c r="P260" s="93"/>
      <c r="S260" s="2"/>
      <c r="T260" s="2"/>
      <c r="U260" s="2"/>
    </row>
    <row r="261" spans="1:7" ht="12.75">
      <c r="A261" s="26"/>
      <c r="B261" s="90"/>
      <c r="C261" s="90"/>
      <c r="D261" s="90"/>
      <c r="E261" s="90"/>
      <c r="F261" s="42"/>
      <c r="G261" s="42"/>
    </row>
    <row r="262" spans="1:7" ht="12.75">
      <c r="A262" s="37">
        <f>A260+1</f>
        <v>1734</v>
      </c>
      <c r="B262" s="59"/>
      <c r="C262" s="399"/>
      <c r="D262" s="400"/>
      <c r="E262" s="399"/>
      <c r="F262" s="401"/>
      <c r="G262" s="402" t="e">
        <f>'A-G'!#REF!</f>
        <v>#REF!</v>
      </c>
    </row>
    <row r="263" spans="1:7" ht="12.75">
      <c r="A263" s="41"/>
      <c r="B263" s="42"/>
      <c r="C263" s="42"/>
      <c r="D263" s="42"/>
      <c r="E263" s="42"/>
      <c r="F263" s="42"/>
      <c r="G263" s="42"/>
    </row>
    <row r="264" spans="1:21" ht="12.75" customHeight="1">
      <c r="A264" s="21"/>
      <c r="B264" s="208"/>
      <c r="C264" s="105" t="s">
        <v>469</v>
      </c>
      <c r="D264" s="105" t="s">
        <v>470</v>
      </c>
      <c r="E264" s="1"/>
      <c r="G264" s="5"/>
      <c r="H264" s="2"/>
      <c r="J264" s="2"/>
      <c r="L264" s="93"/>
      <c r="M264" s="96"/>
      <c r="N264" s="93"/>
      <c r="P264" s="93"/>
      <c r="S264" s="2"/>
      <c r="T264" s="2"/>
      <c r="U264" s="2"/>
    </row>
    <row r="265" spans="1:21" ht="12.75">
      <c r="A265" s="21"/>
      <c r="B265" s="208"/>
      <c r="C265" s="109"/>
      <c r="D265" s="109"/>
      <c r="E265" s="1"/>
      <c r="G265" s="5"/>
      <c r="H265" s="2"/>
      <c r="J265" s="2"/>
      <c r="L265" s="93"/>
      <c r="M265" s="96"/>
      <c r="N265" s="93"/>
      <c r="P265" s="93"/>
      <c r="S265" s="2"/>
      <c r="T265" s="2"/>
      <c r="U265" s="2"/>
    </row>
    <row r="266" spans="1:21" ht="12.75">
      <c r="A266" s="26"/>
      <c r="B266" s="90"/>
      <c r="C266" s="42"/>
      <c r="D266" s="42"/>
      <c r="E266" s="1"/>
      <c r="G266" s="5"/>
      <c r="H266" s="2"/>
      <c r="J266" s="2"/>
      <c r="L266" s="93"/>
      <c r="M266" s="96"/>
      <c r="N266" s="93"/>
      <c r="P266" s="93"/>
      <c r="S266" s="2"/>
      <c r="T266" s="2"/>
      <c r="U266" s="2"/>
    </row>
    <row r="267" spans="1:21" ht="12.75">
      <c r="A267" s="159" t="s">
        <v>476</v>
      </c>
      <c r="B267" s="94" t="s">
        <v>477</v>
      </c>
      <c r="C267" s="387"/>
      <c r="D267" s="95"/>
      <c r="E267" s="1"/>
      <c r="G267" s="5"/>
      <c r="H267" s="2"/>
      <c r="J267" s="2"/>
      <c r="L267" s="93"/>
      <c r="M267" s="96"/>
      <c r="N267" s="93"/>
      <c r="P267" s="93"/>
      <c r="S267" s="2"/>
      <c r="T267" s="2"/>
      <c r="U267" s="2"/>
    </row>
    <row r="268" spans="1:21" ht="12.75">
      <c r="A268" s="31">
        <f>'A-G'!A54</f>
        <v>1801</v>
      </c>
      <c r="B268" s="388"/>
      <c r="C268" s="389">
        <f>'A-G'!C54</f>
        <v>0</v>
      </c>
      <c r="D268" s="390">
        <f>'A-G'!D54</f>
        <v>0</v>
      </c>
      <c r="E268" s="1"/>
      <c r="G268" s="5"/>
      <c r="H268" s="2"/>
      <c r="J268" s="2"/>
      <c r="L268" s="93"/>
      <c r="M268" s="96"/>
      <c r="N268" s="93"/>
      <c r="P268" s="93"/>
      <c r="S268" s="2"/>
      <c r="T268" s="2"/>
      <c r="U268" s="2"/>
    </row>
    <row r="269" spans="1:21" ht="12.75">
      <c r="A269" s="34">
        <f aca="true" t="shared" si="12" ref="A269:A286">A268+1</f>
        <v>1802</v>
      </c>
      <c r="B269" s="388"/>
      <c r="C269" s="389">
        <f>'A-G'!C56</f>
        <v>0</v>
      </c>
      <c r="D269" s="397"/>
      <c r="E269" s="1"/>
      <c r="G269" s="5"/>
      <c r="H269" s="2"/>
      <c r="J269" s="2"/>
      <c r="L269" s="93"/>
      <c r="M269" s="96"/>
      <c r="N269" s="93"/>
      <c r="P269" s="93"/>
      <c r="S269" s="2"/>
      <c r="T269" s="2"/>
      <c r="U269" s="2"/>
    </row>
    <row r="270" spans="1:21" ht="12.75">
      <c r="A270" s="34">
        <f t="shared" si="12"/>
        <v>1803</v>
      </c>
      <c r="B270" s="388"/>
      <c r="C270" s="390">
        <f>'A-G'!C68</f>
        <v>0</v>
      </c>
      <c r="D270" s="397"/>
      <c r="E270" s="1"/>
      <c r="G270" s="5"/>
      <c r="H270" s="2"/>
      <c r="J270" s="2"/>
      <c r="L270" s="93"/>
      <c r="M270" s="96"/>
      <c r="N270" s="93"/>
      <c r="P270" s="93"/>
      <c r="S270" s="2"/>
      <c r="T270" s="2"/>
      <c r="U270" s="2"/>
    </row>
    <row r="271" spans="1:21" ht="12.75">
      <c r="A271" s="34">
        <f t="shared" si="12"/>
        <v>1804</v>
      </c>
      <c r="B271" s="388"/>
      <c r="C271" s="389" t="e">
        <f>'A-G'!#REF!</f>
        <v>#REF!</v>
      </c>
      <c r="D271" s="397"/>
      <c r="E271" s="1"/>
      <c r="G271" s="5"/>
      <c r="H271" s="2"/>
      <c r="J271" s="2"/>
      <c r="L271" s="93"/>
      <c r="M271" s="96"/>
      <c r="N271" s="93"/>
      <c r="P271" s="93"/>
      <c r="S271" s="2"/>
      <c r="T271" s="2"/>
      <c r="U271" s="2"/>
    </row>
    <row r="272" spans="1:21" ht="12.75">
      <c r="A272" s="34">
        <f t="shared" si="12"/>
        <v>1805</v>
      </c>
      <c r="B272" s="388"/>
      <c r="C272" s="389" t="e">
        <f>'A-G'!#REF!</f>
        <v>#REF!</v>
      </c>
      <c r="D272" s="397"/>
      <c r="E272" s="1"/>
      <c r="G272" s="5"/>
      <c r="H272" s="2"/>
      <c r="J272" s="2"/>
      <c r="L272" s="93"/>
      <c r="M272" s="96"/>
      <c r="N272" s="93"/>
      <c r="P272" s="93"/>
      <c r="S272" s="2"/>
      <c r="T272" s="2"/>
      <c r="U272" s="2"/>
    </row>
    <row r="273" spans="1:21" ht="12.75">
      <c r="A273" s="34">
        <f t="shared" si="12"/>
        <v>1806</v>
      </c>
      <c r="B273" s="388"/>
      <c r="C273" s="389" t="e">
        <f>'A-G'!#REF!</f>
        <v>#REF!</v>
      </c>
      <c r="D273" s="397"/>
      <c r="E273" s="1"/>
      <c r="G273" s="5"/>
      <c r="H273" s="2"/>
      <c r="J273" s="2"/>
      <c r="L273" s="93"/>
      <c r="M273" s="96"/>
      <c r="N273" s="93"/>
      <c r="P273" s="93"/>
      <c r="S273" s="2"/>
      <c r="T273" s="2"/>
      <c r="U273" s="2"/>
    </row>
    <row r="274" spans="1:21" ht="12.75">
      <c r="A274" s="34">
        <f t="shared" si="12"/>
        <v>1807</v>
      </c>
      <c r="B274" s="388"/>
      <c r="C274" s="389" t="e">
        <f>'A-G'!#REF!</f>
        <v>#REF!</v>
      </c>
      <c r="D274" s="397"/>
      <c r="E274" s="1"/>
      <c r="G274" s="5"/>
      <c r="H274" s="2"/>
      <c r="J274" s="2"/>
      <c r="L274" s="93"/>
      <c r="M274" s="96"/>
      <c r="N274" s="93"/>
      <c r="P274" s="93"/>
      <c r="S274" s="2"/>
      <c r="T274" s="2"/>
      <c r="U274" s="2"/>
    </row>
    <row r="275" spans="1:21" ht="12.75">
      <c r="A275" s="34">
        <f t="shared" si="12"/>
        <v>1808</v>
      </c>
      <c r="B275" s="388"/>
      <c r="C275" s="389" t="e">
        <f>'A-G'!#REF!</f>
        <v>#REF!</v>
      </c>
      <c r="D275" s="397"/>
      <c r="E275" s="1"/>
      <c r="G275" s="5"/>
      <c r="H275" s="2"/>
      <c r="J275" s="2"/>
      <c r="L275" s="93"/>
      <c r="M275" s="96"/>
      <c r="N275" s="93"/>
      <c r="P275" s="93"/>
      <c r="S275" s="2"/>
      <c r="T275" s="2"/>
      <c r="U275" s="2"/>
    </row>
    <row r="276" spans="1:21" ht="12.75">
      <c r="A276" s="34">
        <f t="shared" si="12"/>
        <v>1809</v>
      </c>
      <c r="B276" s="388"/>
      <c r="C276" s="389" t="e">
        <f>'A-G'!#REF!</f>
        <v>#REF!</v>
      </c>
      <c r="D276" s="397"/>
      <c r="E276" s="1"/>
      <c r="G276" s="5"/>
      <c r="H276" s="2"/>
      <c r="J276" s="2"/>
      <c r="L276" s="93"/>
      <c r="M276" s="96"/>
      <c r="N276" s="93"/>
      <c r="P276" s="93"/>
      <c r="S276" s="2"/>
      <c r="T276" s="2"/>
      <c r="U276" s="2"/>
    </row>
    <row r="277" spans="1:21" ht="12.75">
      <c r="A277" s="34">
        <f t="shared" si="12"/>
        <v>1810</v>
      </c>
      <c r="B277" s="388"/>
      <c r="C277" s="389" t="e">
        <f>'A-G'!#REF!</f>
        <v>#REF!</v>
      </c>
      <c r="D277" s="397"/>
      <c r="E277" s="1"/>
      <c r="G277" s="5"/>
      <c r="H277" s="2"/>
      <c r="J277" s="2"/>
      <c r="L277" s="93"/>
      <c r="M277" s="96"/>
      <c r="N277" s="93"/>
      <c r="P277" s="93"/>
      <c r="S277" s="2"/>
      <c r="T277" s="2"/>
      <c r="U277" s="2"/>
    </row>
    <row r="278" spans="1:21" ht="12.75">
      <c r="A278" s="34">
        <f t="shared" si="12"/>
        <v>1811</v>
      </c>
      <c r="B278" s="388"/>
      <c r="C278" s="389" t="e">
        <f>'A-G'!#REF!</f>
        <v>#REF!</v>
      </c>
      <c r="D278" s="397"/>
      <c r="E278" s="1"/>
      <c r="G278" s="5"/>
      <c r="H278" s="2"/>
      <c r="J278" s="2"/>
      <c r="L278" s="93"/>
      <c r="M278" s="96"/>
      <c r="N278" s="93"/>
      <c r="P278" s="93"/>
      <c r="S278" s="2"/>
      <c r="T278" s="2"/>
      <c r="U278" s="2"/>
    </row>
    <row r="279" spans="1:21" ht="12.75">
      <c r="A279" s="34">
        <f t="shared" si="12"/>
        <v>1812</v>
      </c>
      <c r="B279" s="388"/>
      <c r="C279" s="389" t="e">
        <f>'A-G'!#REF!</f>
        <v>#REF!</v>
      </c>
      <c r="D279" s="397"/>
      <c r="E279" s="1"/>
      <c r="G279" s="5"/>
      <c r="H279" s="2"/>
      <c r="J279" s="2"/>
      <c r="L279" s="93"/>
      <c r="M279" s="96"/>
      <c r="N279" s="93"/>
      <c r="P279" s="93"/>
      <c r="S279" s="2"/>
      <c r="T279" s="2"/>
      <c r="U279" s="2"/>
    </row>
    <row r="280" spans="1:21" ht="12.75">
      <c r="A280" s="34">
        <f t="shared" si="12"/>
        <v>1813</v>
      </c>
      <c r="B280" s="388"/>
      <c r="C280" s="389" t="e">
        <f>'A-G'!#REF!</f>
        <v>#REF!</v>
      </c>
      <c r="D280" s="397"/>
      <c r="E280" s="1"/>
      <c r="G280" s="5"/>
      <c r="H280" s="2"/>
      <c r="J280" s="2"/>
      <c r="L280" s="93"/>
      <c r="M280" s="96"/>
      <c r="N280" s="93"/>
      <c r="P280" s="93"/>
      <c r="S280" s="2"/>
      <c r="T280" s="2"/>
      <c r="U280" s="2"/>
    </row>
    <row r="281" spans="1:21" ht="12.75">
      <c r="A281" s="34">
        <f t="shared" si="12"/>
        <v>1814</v>
      </c>
      <c r="B281" s="388"/>
      <c r="C281" s="389" t="e">
        <f>'A-G'!#REF!</f>
        <v>#REF!</v>
      </c>
      <c r="D281" s="397"/>
      <c r="E281" s="1"/>
      <c r="G281" s="5"/>
      <c r="H281" s="2"/>
      <c r="J281" s="2"/>
      <c r="L281" s="93"/>
      <c r="M281" s="96"/>
      <c r="N281" s="93"/>
      <c r="P281" s="93"/>
      <c r="S281" s="2"/>
      <c r="T281" s="2"/>
      <c r="U281" s="2"/>
    </row>
    <row r="282" spans="1:21" ht="12.75">
      <c r="A282" s="34">
        <f t="shared" si="12"/>
        <v>1815</v>
      </c>
      <c r="B282" s="388"/>
      <c r="C282" s="389" t="e">
        <f>'A-G'!#REF!</f>
        <v>#REF!</v>
      </c>
      <c r="D282" s="397"/>
      <c r="E282" s="1"/>
      <c r="G282" s="5"/>
      <c r="H282" s="2"/>
      <c r="J282" s="2"/>
      <c r="L282" s="93"/>
      <c r="M282" s="96"/>
      <c r="N282" s="93"/>
      <c r="P282" s="93"/>
      <c r="S282" s="2"/>
      <c r="T282" s="2"/>
      <c r="U282" s="2"/>
    </row>
    <row r="283" spans="1:21" ht="12.75">
      <c r="A283" s="34">
        <f t="shared" si="12"/>
        <v>1816</v>
      </c>
      <c r="B283" s="388"/>
      <c r="C283" s="403"/>
      <c r="D283" s="390">
        <f>'A-G'!D69</f>
        <v>0</v>
      </c>
      <c r="E283" s="1"/>
      <c r="G283" s="5"/>
      <c r="H283" s="2"/>
      <c r="J283" s="2"/>
      <c r="L283" s="93"/>
      <c r="M283" s="96"/>
      <c r="N283" s="93"/>
      <c r="P283" s="93"/>
      <c r="S283" s="2"/>
      <c r="T283" s="2"/>
      <c r="U283" s="2"/>
    </row>
    <row r="284" spans="1:21" ht="12.75">
      <c r="A284" s="34">
        <f t="shared" si="12"/>
        <v>1817</v>
      </c>
      <c r="B284" s="388"/>
      <c r="C284" s="390">
        <f>'A-G'!C70</f>
        <v>0</v>
      </c>
      <c r="D284" s="397"/>
      <c r="E284" s="1"/>
      <c r="G284" s="5"/>
      <c r="H284" s="2"/>
      <c r="J284" s="2"/>
      <c r="L284" s="93"/>
      <c r="M284" s="96"/>
      <c r="N284" s="93"/>
      <c r="P284" s="93"/>
      <c r="S284" s="2"/>
      <c r="T284" s="2"/>
      <c r="U284" s="2"/>
    </row>
    <row r="285" spans="1:21" ht="12.75">
      <c r="A285" s="35">
        <f t="shared" si="12"/>
        <v>1818</v>
      </c>
      <c r="B285" s="388"/>
      <c r="C285" s="389" t="e">
        <f>'A-G'!#REF!</f>
        <v>#REF!</v>
      </c>
      <c r="D285" s="398"/>
      <c r="E285" s="1"/>
      <c r="G285" s="5"/>
      <c r="H285" s="2"/>
      <c r="J285" s="2"/>
      <c r="L285" s="93"/>
      <c r="M285" s="96"/>
      <c r="N285" s="93"/>
      <c r="P285" s="93"/>
      <c r="S285" s="2"/>
      <c r="T285" s="2"/>
      <c r="U285" s="2"/>
    </row>
    <row r="286" spans="1:21" ht="12.75">
      <c r="A286" s="37">
        <f t="shared" si="12"/>
        <v>1819</v>
      </c>
      <c r="B286" s="38"/>
      <c r="C286" s="292"/>
      <c r="D286" s="308"/>
      <c r="E286" s="1"/>
      <c r="G286" s="5"/>
      <c r="H286" s="2"/>
      <c r="J286" s="2"/>
      <c r="L286" s="93"/>
      <c r="M286" s="96"/>
      <c r="N286" s="93"/>
      <c r="P286" s="93"/>
      <c r="S286" s="2"/>
      <c r="T286" s="2"/>
      <c r="U286" s="2"/>
    </row>
    <row r="287" spans="4:7" ht="12.75">
      <c r="D287" s="2"/>
      <c r="G287" s="2"/>
    </row>
    <row r="288" spans="1:21" ht="12.75" customHeight="1">
      <c r="A288" s="21"/>
      <c r="B288" s="105" t="s">
        <v>424</v>
      </c>
      <c r="C288" s="404" t="s">
        <v>426</v>
      </c>
      <c r="D288" s="405"/>
      <c r="G288" s="93"/>
      <c r="H288" s="96"/>
      <c r="I288" s="93"/>
      <c r="J288" s="93"/>
      <c r="K288" s="93"/>
      <c r="L288" s="93"/>
      <c r="M288" s="93"/>
      <c r="O288" s="2"/>
      <c r="P288" s="2"/>
      <c r="Q288" s="2"/>
      <c r="R288" s="2"/>
      <c r="S288" s="2"/>
      <c r="T288" s="2"/>
      <c r="U288" s="2"/>
    </row>
    <row r="289" spans="1:21" ht="12.75">
      <c r="A289" s="21"/>
      <c r="B289" s="109" t="s">
        <v>425</v>
      </c>
      <c r="C289" s="406" t="s">
        <v>427</v>
      </c>
      <c r="D289" s="407"/>
      <c r="G289" s="93"/>
      <c r="H289" s="96"/>
      <c r="I289" s="93"/>
      <c r="J289" s="93"/>
      <c r="K289" s="93"/>
      <c r="L289" s="93"/>
      <c r="M289" s="93"/>
      <c r="O289" s="2"/>
      <c r="P289" s="2"/>
      <c r="Q289" s="2"/>
      <c r="R289" s="2"/>
      <c r="S289" s="2"/>
      <c r="T289" s="2"/>
      <c r="U289" s="2"/>
    </row>
    <row r="290" spans="1:21" ht="12.75">
      <c r="A290" s="26"/>
      <c r="B290" s="29"/>
      <c r="C290" s="29"/>
      <c r="D290" s="196"/>
      <c r="G290" s="93"/>
      <c r="H290" s="96"/>
      <c r="I290" s="93"/>
      <c r="J290" s="93"/>
      <c r="K290" s="93"/>
      <c r="L290" s="93"/>
      <c r="M290" s="93"/>
      <c r="O290" s="2"/>
      <c r="P290" s="2"/>
      <c r="Q290" s="2"/>
      <c r="R290" s="2"/>
      <c r="S290" s="2"/>
      <c r="T290" s="2"/>
      <c r="U290" s="2"/>
    </row>
    <row r="291" spans="1:21" ht="12.75">
      <c r="A291" s="159" t="s">
        <v>478</v>
      </c>
      <c r="B291" s="387"/>
      <c r="C291" s="95"/>
      <c r="D291" s="408"/>
      <c r="G291" s="93"/>
      <c r="H291" s="96"/>
      <c r="I291" s="93"/>
      <c r="J291" s="93"/>
      <c r="K291" s="93"/>
      <c r="L291" s="93"/>
      <c r="M291" s="93"/>
      <c r="O291" s="2"/>
      <c r="P291" s="2"/>
      <c r="Q291" s="2"/>
      <c r="R291" s="2"/>
      <c r="S291" s="2"/>
      <c r="T291" s="2"/>
      <c r="U291" s="2"/>
    </row>
    <row r="292" spans="1:21" ht="12.75">
      <c r="A292" s="31" t="e">
        <f>'A-G'!#REF!</f>
        <v>#REF!</v>
      </c>
      <c r="B292" s="389" t="e">
        <f>'A-G'!#REF!</f>
        <v>#REF!</v>
      </c>
      <c r="C292" s="392" t="e">
        <f>'A-G'!#REF!</f>
        <v>#REF!</v>
      </c>
      <c r="D292" s="389" t="e">
        <f>#REF!</f>
        <v>#REF!</v>
      </c>
      <c r="G292" s="93"/>
      <c r="H292" s="96"/>
      <c r="I292" s="93"/>
      <c r="J292" s="93"/>
      <c r="K292" s="93"/>
      <c r="L292" s="93"/>
      <c r="M292" s="93"/>
      <c r="O292" s="2"/>
      <c r="P292" s="2"/>
      <c r="Q292" s="2"/>
      <c r="R292" s="2"/>
      <c r="S292" s="2"/>
      <c r="T292" s="2"/>
      <c r="U292" s="2"/>
    </row>
    <row r="293" spans="1:21" ht="12.75">
      <c r="A293" s="34" t="e">
        <f aca="true" t="shared" si="13" ref="A293:A305">A292+1</f>
        <v>#REF!</v>
      </c>
      <c r="B293" s="389" t="e">
        <f>'A-G'!#REF!</f>
        <v>#REF!</v>
      </c>
      <c r="C293" s="392" t="e">
        <f>'A-G'!#REF!</f>
        <v>#REF!</v>
      </c>
      <c r="D293" s="389" t="e">
        <f>#REF!</f>
        <v>#REF!</v>
      </c>
      <c r="G293" s="93"/>
      <c r="H293" s="96"/>
      <c r="I293" s="93"/>
      <c r="J293" s="93"/>
      <c r="K293" s="93"/>
      <c r="L293" s="93"/>
      <c r="M293" s="93"/>
      <c r="O293" s="2"/>
      <c r="P293" s="2"/>
      <c r="Q293" s="2"/>
      <c r="R293" s="2"/>
      <c r="S293" s="2"/>
      <c r="T293" s="2"/>
      <c r="U293" s="2"/>
    </row>
    <row r="294" spans="1:21" ht="12.75">
      <c r="A294" s="34" t="e">
        <f t="shared" si="13"/>
        <v>#REF!</v>
      </c>
      <c r="B294" s="389" t="e">
        <f>'A-G'!#REF!</f>
        <v>#REF!</v>
      </c>
      <c r="C294" s="392" t="e">
        <f>'A-G'!#REF!</f>
        <v>#REF!</v>
      </c>
      <c r="D294" s="389" t="e">
        <f>#REF!</f>
        <v>#REF!</v>
      </c>
      <c r="G294" s="93"/>
      <c r="H294" s="96"/>
      <c r="I294" s="93"/>
      <c r="J294" s="93"/>
      <c r="K294" s="93"/>
      <c r="L294" s="93"/>
      <c r="M294" s="93"/>
      <c r="O294" s="2"/>
      <c r="P294" s="2"/>
      <c r="Q294" s="2"/>
      <c r="R294" s="2"/>
      <c r="S294" s="2"/>
      <c r="T294" s="2"/>
      <c r="U294" s="2"/>
    </row>
    <row r="295" spans="1:21" ht="12.75">
      <c r="A295" s="34" t="e">
        <f t="shared" si="13"/>
        <v>#REF!</v>
      </c>
      <c r="B295" s="389" t="e">
        <f>'A-G'!#REF!</f>
        <v>#REF!</v>
      </c>
      <c r="C295" s="392" t="e">
        <f>'A-G'!#REF!</f>
        <v>#REF!</v>
      </c>
      <c r="D295" s="389" t="e">
        <f>#REF!</f>
        <v>#REF!</v>
      </c>
      <c r="G295" s="93"/>
      <c r="H295" s="96"/>
      <c r="I295" s="93"/>
      <c r="J295" s="93"/>
      <c r="K295" s="93"/>
      <c r="L295" s="93"/>
      <c r="M295" s="93"/>
      <c r="O295" s="2"/>
      <c r="P295" s="2"/>
      <c r="Q295" s="2"/>
      <c r="R295" s="2"/>
      <c r="S295" s="2"/>
      <c r="T295" s="2"/>
      <c r="U295" s="2"/>
    </row>
    <row r="296" spans="1:21" ht="12.75">
      <c r="A296" s="34" t="e">
        <f t="shared" si="13"/>
        <v>#REF!</v>
      </c>
      <c r="B296" s="389" t="e">
        <f>'A-G'!#REF!</f>
        <v>#REF!</v>
      </c>
      <c r="C296" s="392" t="e">
        <f>'A-G'!#REF!</f>
        <v>#REF!</v>
      </c>
      <c r="D296" s="389" t="e">
        <f>#REF!</f>
        <v>#REF!</v>
      </c>
      <c r="G296" s="93"/>
      <c r="H296" s="96"/>
      <c r="I296" s="93"/>
      <c r="J296" s="93"/>
      <c r="K296" s="93"/>
      <c r="L296" s="93"/>
      <c r="M296" s="93"/>
      <c r="O296" s="2"/>
      <c r="P296" s="2"/>
      <c r="Q296" s="2"/>
      <c r="R296" s="2"/>
      <c r="S296" s="2"/>
      <c r="T296" s="2"/>
      <c r="U296" s="2"/>
    </row>
    <row r="297" spans="1:21" ht="12.75">
      <c r="A297" s="34" t="e">
        <f t="shared" si="13"/>
        <v>#REF!</v>
      </c>
      <c r="B297" s="389" t="e">
        <f>'A-G'!#REF!</f>
        <v>#REF!</v>
      </c>
      <c r="C297" s="392" t="e">
        <f>'A-G'!#REF!</f>
        <v>#REF!</v>
      </c>
      <c r="D297" s="389" t="e">
        <f>#REF!</f>
        <v>#REF!</v>
      </c>
      <c r="G297" s="93"/>
      <c r="H297" s="96"/>
      <c r="I297" s="93"/>
      <c r="J297" s="93"/>
      <c r="K297" s="93"/>
      <c r="L297" s="93"/>
      <c r="M297" s="93"/>
      <c r="O297" s="2"/>
      <c r="P297" s="2"/>
      <c r="Q297" s="2"/>
      <c r="R297" s="2"/>
      <c r="S297" s="2"/>
      <c r="T297" s="2"/>
      <c r="U297" s="2"/>
    </row>
    <row r="298" spans="1:21" ht="12.75">
      <c r="A298" s="34" t="e">
        <f t="shared" si="13"/>
        <v>#REF!</v>
      </c>
      <c r="B298" s="389" t="e">
        <f>'A-G'!#REF!</f>
        <v>#REF!</v>
      </c>
      <c r="C298" s="392" t="e">
        <f>'A-G'!#REF!</f>
        <v>#REF!</v>
      </c>
      <c r="D298" s="389" t="e">
        <f>#REF!</f>
        <v>#REF!</v>
      </c>
      <c r="G298" s="93"/>
      <c r="H298" s="96"/>
      <c r="I298" s="93"/>
      <c r="J298" s="93"/>
      <c r="K298" s="93"/>
      <c r="L298" s="93"/>
      <c r="M298" s="93"/>
      <c r="O298" s="2"/>
      <c r="P298" s="2"/>
      <c r="Q298" s="2"/>
      <c r="R298" s="2"/>
      <c r="S298" s="2"/>
      <c r="T298" s="2"/>
      <c r="U298" s="2"/>
    </row>
    <row r="299" spans="1:21" ht="12.75">
      <c r="A299" s="34" t="e">
        <f t="shared" si="13"/>
        <v>#REF!</v>
      </c>
      <c r="B299" s="389" t="e">
        <f>'A-G'!#REF!</f>
        <v>#REF!</v>
      </c>
      <c r="C299" s="392" t="e">
        <f>'A-G'!#REF!</f>
        <v>#REF!</v>
      </c>
      <c r="D299" s="389" t="e">
        <f>#REF!</f>
        <v>#REF!</v>
      </c>
      <c r="G299" s="93"/>
      <c r="H299" s="96"/>
      <c r="I299" s="93"/>
      <c r="J299" s="93"/>
      <c r="K299" s="93"/>
      <c r="L299" s="93"/>
      <c r="M299" s="93"/>
      <c r="O299" s="2"/>
      <c r="P299" s="2"/>
      <c r="Q299" s="2"/>
      <c r="R299" s="2"/>
      <c r="S299" s="2"/>
      <c r="T299" s="2"/>
      <c r="U299" s="2"/>
    </row>
    <row r="300" spans="1:21" ht="12.75">
      <c r="A300" s="34" t="e">
        <f t="shared" si="13"/>
        <v>#REF!</v>
      </c>
      <c r="B300" s="389" t="e">
        <f>'A-G'!#REF!</f>
        <v>#REF!</v>
      </c>
      <c r="C300" s="392" t="e">
        <f>'A-G'!#REF!</f>
        <v>#REF!</v>
      </c>
      <c r="D300" s="389" t="e">
        <f>#REF!</f>
        <v>#REF!</v>
      </c>
      <c r="G300" s="93"/>
      <c r="H300" s="96"/>
      <c r="I300" s="93"/>
      <c r="J300" s="93"/>
      <c r="K300" s="93"/>
      <c r="L300" s="93"/>
      <c r="M300" s="93"/>
      <c r="O300" s="2"/>
      <c r="P300" s="2"/>
      <c r="Q300" s="2"/>
      <c r="R300" s="2"/>
      <c r="S300" s="2"/>
      <c r="T300" s="2"/>
      <c r="U300" s="2"/>
    </row>
    <row r="301" spans="1:21" ht="12.75">
      <c r="A301" s="34" t="e">
        <f t="shared" si="13"/>
        <v>#REF!</v>
      </c>
      <c r="B301" s="389" t="e">
        <f>'A-G'!#REF!</f>
        <v>#REF!</v>
      </c>
      <c r="C301" s="392" t="e">
        <f>'A-G'!#REF!</f>
        <v>#REF!</v>
      </c>
      <c r="D301" s="389" t="e">
        <f>#REF!</f>
        <v>#REF!</v>
      </c>
      <c r="G301" s="93"/>
      <c r="H301" s="96"/>
      <c r="I301" s="93"/>
      <c r="J301" s="93"/>
      <c r="K301" s="93"/>
      <c r="L301" s="93"/>
      <c r="M301" s="93"/>
      <c r="O301" s="2"/>
      <c r="P301" s="2"/>
      <c r="Q301" s="2"/>
      <c r="R301" s="2"/>
      <c r="S301" s="2"/>
      <c r="T301" s="2"/>
      <c r="U301" s="2"/>
    </row>
    <row r="302" spans="1:21" ht="12.75">
      <c r="A302" s="34" t="e">
        <f t="shared" si="13"/>
        <v>#REF!</v>
      </c>
      <c r="B302" s="389" t="e">
        <f>'A-G'!#REF!</f>
        <v>#REF!</v>
      </c>
      <c r="C302" s="392" t="e">
        <f>'A-G'!#REF!</f>
        <v>#REF!</v>
      </c>
      <c r="D302" s="389" t="e">
        <f>#REF!</f>
        <v>#REF!</v>
      </c>
      <c r="G302" s="93"/>
      <c r="H302" s="96"/>
      <c r="I302" s="93"/>
      <c r="J302" s="93"/>
      <c r="K302" s="93"/>
      <c r="L302" s="93"/>
      <c r="M302" s="93"/>
      <c r="O302" s="2"/>
      <c r="P302" s="2"/>
      <c r="Q302" s="2"/>
      <c r="R302" s="2"/>
      <c r="S302" s="2"/>
      <c r="T302" s="2"/>
      <c r="U302" s="2"/>
    </row>
    <row r="303" spans="1:21" ht="12.75">
      <c r="A303" s="34" t="e">
        <f t="shared" si="13"/>
        <v>#REF!</v>
      </c>
      <c r="B303" s="389" t="e">
        <f>'A-G'!#REF!</f>
        <v>#REF!</v>
      </c>
      <c r="C303" s="392" t="e">
        <f>'A-G'!#REF!</f>
        <v>#REF!</v>
      </c>
      <c r="D303" s="389" t="e">
        <f>#REF!</f>
        <v>#REF!</v>
      </c>
      <c r="G303" s="93"/>
      <c r="H303" s="96"/>
      <c r="I303" s="93"/>
      <c r="J303" s="93"/>
      <c r="K303" s="93"/>
      <c r="L303" s="93"/>
      <c r="M303" s="93"/>
      <c r="O303" s="2"/>
      <c r="P303" s="2"/>
      <c r="Q303" s="2"/>
      <c r="R303" s="2"/>
      <c r="S303" s="2"/>
      <c r="T303" s="2"/>
      <c r="U303" s="2"/>
    </row>
    <row r="304" spans="1:21" ht="12.75">
      <c r="A304" s="35" t="e">
        <f t="shared" si="13"/>
        <v>#REF!</v>
      </c>
      <c r="B304" s="389" t="e">
        <f>'A-G'!#REF!</f>
        <v>#REF!</v>
      </c>
      <c r="C304" s="409" t="e">
        <f>'A-G'!#REF!</f>
        <v>#REF!</v>
      </c>
      <c r="D304" s="389" t="e">
        <f>#REF!</f>
        <v>#REF!</v>
      </c>
      <c r="G304" s="93"/>
      <c r="H304" s="96"/>
      <c r="I304" s="93"/>
      <c r="J304" s="93"/>
      <c r="K304" s="93"/>
      <c r="L304" s="93"/>
      <c r="M304" s="93"/>
      <c r="O304" s="2"/>
      <c r="P304" s="2"/>
      <c r="Q304" s="2"/>
      <c r="R304" s="2"/>
      <c r="S304" s="2"/>
      <c r="T304" s="2"/>
      <c r="U304" s="2"/>
    </row>
    <row r="305" spans="1:21" ht="12.75">
      <c r="A305" s="37" t="e">
        <f t="shared" si="13"/>
        <v>#REF!</v>
      </c>
      <c r="B305" s="292"/>
      <c r="C305" s="329"/>
      <c r="D305" s="329"/>
      <c r="G305" s="93"/>
      <c r="H305" s="96"/>
      <c r="I305" s="93"/>
      <c r="J305" s="93"/>
      <c r="K305" s="93"/>
      <c r="L305" s="93"/>
      <c r="M305" s="93"/>
      <c r="O305" s="2"/>
      <c r="P305" s="2"/>
      <c r="Q305" s="2"/>
      <c r="R305" s="2"/>
      <c r="S305" s="2"/>
      <c r="T305" s="2"/>
      <c r="U305" s="2"/>
    </row>
    <row r="306" spans="1:21" ht="12.75">
      <c r="A306" s="41"/>
      <c r="B306" s="42"/>
      <c r="C306" s="90"/>
      <c r="D306" s="42"/>
      <c r="E306" s="42"/>
      <c r="F306" s="42"/>
      <c r="G306" s="2"/>
      <c r="H306" s="2"/>
      <c r="J306" s="93"/>
      <c r="K306" s="96"/>
      <c r="L306" s="93"/>
      <c r="M306" s="93"/>
      <c r="N306" s="93"/>
      <c r="P306" s="93"/>
      <c r="Q306" s="2"/>
      <c r="R306" s="2"/>
      <c r="S306" s="2"/>
      <c r="T306" s="2"/>
      <c r="U306" s="2"/>
    </row>
    <row r="307" spans="1:21" ht="12.75">
      <c r="A307" s="211"/>
      <c r="B307" s="212" t="s">
        <v>397</v>
      </c>
      <c r="C307" s="25" t="s">
        <v>481</v>
      </c>
      <c r="D307" s="25" t="s">
        <v>507</v>
      </c>
      <c r="G307" s="2"/>
      <c r="H307" s="93"/>
      <c r="I307" s="96"/>
      <c r="J307" s="93"/>
      <c r="K307" s="93"/>
      <c r="L307" s="93"/>
      <c r="M307" s="93"/>
      <c r="N307" s="93"/>
      <c r="O307" s="2"/>
      <c r="P307" s="2"/>
      <c r="Q307" s="2"/>
      <c r="R307" s="2"/>
      <c r="S307" s="2"/>
      <c r="T307" s="2"/>
      <c r="U307" s="2"/>
    </row>
    <row r="308" spans="1:21" ht="12.75">
      <c r="A308" s="14"/>
      <c r="B308" s="29"/>
      <c r="C308" s="42"/>
      <c r="D308" s="161"/>
      <c r="E308" s="90"/>
      <c r="F308" s="90"/>
      <c r="G308" s="29"/>
      <c r="H308" s="42"/>
      <c r="I308" s="161"/>
      <c r="J308" s="2"/>
      <c r="M308" s="93"/>
      <c r="N308" s="96"/>
      <c r="P308" s="93"/>
      <c r="T308" s="2"/>
      <c r="U308" s="2"/>
    </row>
    <row r="309" spans="1:21" ht="12.75">
      <c r="A309" s="41" t="s">
        <v>479</v>
      </c>
      <c r="B309" s="163"/>
      <c r="C309" s="42"/>
      <c r="D309" s="42"/>
      <c r="E309" s="90"/>
      <c r="F309" s="90"/>
      <c r="G309" s="163"/>
      <c r="H309" s="42"/>
      <c r="I309" s="42"/>
      <c r="J309" s="2"/>
      <c r="M309" s="93"/>
      <c r="N309" s="96"/>
      <c r="P309" s="93"/>
      <c r="T309" s="2"/>
      <c r="U309" s="2"/>
    </row>
    <row r="310" spans="1:21" ht="12.75">
      <c r="A310" s="262" t="e">
        <f>A305+1</f>
        <v>#REF!</v>
      </c>
      <c r="B310" s="270">
        <f>'A-G'!F77</f>
        <v>9.5</v>
      </c>
      <c r="C310" s="367"/>
      <c r="D310" s="5"/>
      <c r="E310" s="31" t="e">
        <f>A315+1</f>
        <v>#REF!</v>
      </c>
      <c r="F310" s="270">
        <f>'A-G'!F83</f>
        <v>3.5</v>
      </c>
      <c r="G310" s="2"/>
      <c r="H310" s="2"/>
      <c r="J310" s="93"/>
      <c r="K310" s="96"/>
      <c r="L310" s="93"/>
      <c r="M310" s="93"/>
      <c r="N310" s="93"/>
      <c r="P310" s="93"/>
      <c r="Q310" s="2"/>
      <c r="R310" s="2"/>
      <c r="S310" s="2"/>
      <c r="T310" s="2"/>
      <c r="U310" s="2"/>
    </row>
    <row r="311" spans="1:21" ht="12.75">
      <c r="A311" s="34" t="e">
        <f>A310+1</f>
        <v>#REF!</v>
      </c>
      <c r="B311" s="270">
        <f>'A-G'!F78</f>
        <v>8.5</v>
      </c>
      <c r="C311" s="367"/>
      <c r="D311" s="5"/>
      <c r="E311" s="34" t="e">
        <f>E310+1</f>
        <v>#REF!</v>
      </c>
      <c r="F311" s="270">
        <f>'A-G'!F85</f>
        <v>1.5</v>
      </c>
      <c r="G311" s="2"/>
      <c r="H311" s="2"/>
      <c r="J311" s="93"/>
      <c r="K311" s="96"/>
      <c r="L311" s="93"/>
      <c r="M311" s="93"/>
      <c r="N311" s="93"/>
      <c r="P311" s="93"/>
      <c r="Q311" s="2"/>
      <c r="R311" s="2"/>
      <c r="S311" s="2"/>
      <c r="T311" s="2"/>
      <c r="U311" s="2"/>
    </row>
    <row r="312" spans="1:21" ht="12.75">
      <c r="A312" s="34" t="e">
        <f>A311+1</f>
        <v>#REF!</v>
      </c>
      <c r="B312" s="270">
        <f>'A-G'!F79</f>
        <v>7.5</v>
      </c>
      <c r="C312" s="367"/>
      <c r="D312" s="5"/>
      <c r="E312" s="34" t="e">
        <f>E311+1</f>
        <v>#REF!</v>
      </c>
      <c r="F312" s="270" t="e">
        <f>'A-G'!#REF!</f>
        <v>#REF!</v>
      </c>
      <c r="G312" s="2"/>
      <c r="H312" s="2"/>
      <c r="J312" s="93"/>
      <c r="K312" s="96"/>
      <c r="L312" s="93"/>
      <c r="M312" s="93"/>
      <c r="N312" s="93"/>
      <c r="P312" s="93"/>
      <c r="Q312" s="2"/>
      <c r="R312" s="2"/>
      <c r="S312" s="2"/>
      <c r="T312" s="2"/>
      <c r="U312" s="2"/>
    </row>
    <row r="313" spans="1:21" ht="12.75">
      <c r="A313" s="34" t="e">
        <f>A312+1</f>
        <v>#REF!</v>
      </c>
      <c r="B313" s="270">
        <f>'A-G'!F80</f>
        <v>6.5</v>
      </c>
      <c r="C313" s="367"/>
      <c r="D313" s="5"/>
      <c r="E313" s="34" t="e">
        <f>E312+1</f>
        <v>#REF!</v>
      </c>
      <c r="F313" s="270" t="e">
        <f>'A-G'!#REF!</f>
        <v>#REF!</v>
      </c>
      <c r="G313" s="2"/>
      <c r="H313" s="2"/>
      <c r="J313" s="93"/>
      <c r="K313" s="96"/>
      <c r="L313" s="93"/>
      <c r="M313" s="93"/>
      <c r="N313" s="93"/>
      <c r="P313" s="93"/>
      <c r="Q313" s="2"/>
      <c r="R313" s="2"/>
      <c r="S313" s="2"/>
      <c r="T313" s="2"/>
      <c r="U313" s="2"/>
    </row>
    <row r="314" spans="1:21" ht="12.75">
      <c r="A314" s="54" t="e">
        <f>A312+1</f>
        <v>#REF!</v>
      </c>
      <c r="B314" s="270">
        <f>'A-G'!F81</f>
        <v>5.5</v>
      </c>
      <c r="C314" s="367"/>
      <c r="D314" s="5"/>
      <c r="E314" s="34" t="e">
        <f>E313+1</f>
        <v>#REF!</v>
      </c>
      <c r="F314" s="270">
        <f>'A-G'!F86</f>
        <v>0.5</v>
      </c>
      <c r="G314" s="2"/>
      <c r="H314" s="2"/>
      <c r="J314" s="93"/>
      <c r="K314" s="96"/>
      <c r="L314" s="93"/>
      <c r="M314" s="93"/>
      <c r="N314" s="93"/>
      <c r="P314" s="93"/>
      <c r="Q314" s="2"/>
      <c r="R314" s="2"/>
      <c r="S314" s="2"/>
      <c r="T314" s="2"/>
      <c r="U314" s="2"/>
    </row>
    <row r="315" spans="1:21" ht="12.75">
      <c r="A315" s="54" t="e">
        <f>A313+1</f>
        <v>#REF!</v>
      </c>
      <c r="B315" s="270">
        <f>'A-G'!F82</f>
        <v>4.5</v>
      </c>
      <c r="C315" s="367"/>
      <c r="D315" s="5"/>
      <c r="E315" s="37" t="e">
        <f>E314+1</f>
        <v>#REF!</v>
      </c>
      <c r="F315" s="344"/>
      <c r="G315" s="2"/>
      <c r="H315" s="2"/>
      <c r="J315" s="93"/>
      <c r="K315" s="96"/>
      <c r="L315" s="93"/>
      <c r="M315" s="93"/>
      <c r="N315" s="93"/>
      <c r="P315" s="93"/>
      <c r="Q315" s="2"/>
      <c r="R315" s="2"/>
      <c r="S315" s="2"/>
      <c r="T315" s="2"/>
      <c r="U315" s="2"/>
    </row>
    <row r="316" spans="1:11" ht="12.75">
      <c r="A316" s="162" t="e">
        <f>CONCATENATE("* zie onderbouwing regel 40 laatste rekenstaat ",#REF!,)</f>
        <v>#REF!</v>
      </c>
      <c r="B316" s="132"/>
      <c r="C316" s="328"/>
      <c r="D316" s="345"/>
      <c r="E316" s="328"/>
      <c r="F316" s="5"/>
      <c r="G316" s="165"/>
      <c r="H316" s="87"/>
      <c r="I316" s="87"/>
      <c r="J316" s="87"/>
      <c r="K316" s="87"/>
    </row>
    <row r="317" spans="1:10" ht="12.75">
      <c r="A317" s="166"/>
      <c r="B317" s="163"/>
      <c r="C317" s="163"/>
      <c r="D317" s="163"/>
      <c r="E317" s="164"/>
      <c r="F317" s="165"/>
      <c r="G317" s="165"/>
      <c r="H317" s="119"/>
      <c r="I317" s="119"/>
      <c r="J317" s="2"/>
    </row>
    <row r="318" spans="1:21" ht="12.75">
      <c r="A318" s="41" t="s">
        <v>482</v>
      </c>
      <c r="B318" s="27" t="s">
        <v>506</v>
      </c>
      <c r="D318" s="2"/>
      <c r="G318" s="2"/>
      <c r="H318" s="93"/>
      <c r="I318" s="96"/>
      <c r="J318" s="93"/>
      <c r="K318" s="93"/>
      <c r="L318" s="93"/>
      <c r="M318" s="93"/>
      <c r="N318" s="93"/>
      <c r="O318" s="2"/>
      <c r="P318" s="2"/>
      <c r="Q318" s="2"/>
      <c r="R318" s="2"/>
      <c r="S318" s="2"/>
      <c r="T318" s="2"/>
      <c r="U318" s="2"/>
    </row>
    <row r="319" spans="1:21" ht="12.75">
      <c r="A319" s="37" t="e">
        <f>Uitvoer!E315+1</f>
        <v>#REF!</v>
      </c>
      <c r="B319" s="134"/>
      <c r="C319" s="190"/>
      <c r="D319" s="410">
        <f>Uitvoer!F170</f>
        <v>0</v>
      </c>
      <c r="G319" s="2"/>
      <c r="H319" s="93"/>
      <c r="I319" s="96"/>
      <c r="J319" s="93"/>
      <c r="K319" s="93"/>
      <c r="L319" s="93"/>
      <c r="M319" s="93"/>
      <c r="N319" s="93"/>
      <c r="O319" s="2"/>
      <c r="P319" s="2"/>
      <c r="Q319" s="2"/>
      <c r="R319" s="2"/>
      <c r="S319" s="2"/>
      <c r="T319" s="2"/>
      <c r="U319" s="2"/>
    </row>
    <row r="320" spans="1:21" ht="12.75">
      <c r="A320" s="37" t="e">
        <f>A319+1</f>
        <v>#REF!</v>
      </c>
      <c r="B320" s="191"/>
      <c r="C320" s="192"/>
      <c r="D320" s="295">
        <v>1138502</v>
      </c>
      <c r="G320" s="2"/>
      <c r="H320" s="93"/>
      <c r="I320" s="96"/>
      <c r="J320" s="93"/>
      <c r="K320" s="93"/>
      <c r="L320" s="93"/>
      <c r="M320" s="93"/>
      <c r="N320" s="93"/>
      <c r="O320" s="2"/>
      <c r="P320" s="2"/>
      <c r="Q320" s="2"/>
      <c r="R320" s="2"/>
      <c r="S320" s="2"/>
      <c r="T320" s="2"/>
      <c r="U320" s="2"/>
    </row>
    <row r="321" spans="1:21" ht="12.75">
      <c r="A321" s="37" t="e">
        <f>A320+1</f>
        <v>#REF!</v>
      </c>
      <c r="B321" s="193"/>
      <c r="C321" s="194"/>
      <c r="D321" s="195"/>
      <c r="G321" s="2"/>
      <c r="H321" s="93"/>
      <c r="I321" s="96"/>
      <c r="J321" s="93"/>
      <c r="K321" s="93"/>
      <c r="L321" s="93"/>
      <c r="M321" s="93"/>
      <c r="N321" s="93"/>
      <c r="O321" s="2"/>
      <c r="P321" s="2"/>
      <c r="Q321" s="2"/>
      <c r="R321" s="2"/>
      <c r="S321" s="2"/>
      <c r="T321" s="2"/>
      <c r="U321" s="2"/>
    </row>
    <row r="322" spans="3:10" ht="12.75">
      <c r="C322" s="5"/>
      <c r="D322" s="2"/>
      <c r="G322" s="2"/>
      <c r="H322" s="2"/>
      <c r="J322" s="2"/>
    </row>
    <row r="323" spans="1:21" ht="12.75">
      <c r="A323" s="213"/>
      <c r="B323" s="213"/>
      <c r="C323" s="214" t="s">
        <v>406</v>
      </c>
      <c r="D323" s="215" t="s">
        <v>417</v>
      </c>
      <c r="E323" s="215" t="s">
        <v>418</v>
      </c>
      <c r="F323" s="215" t="s">
        <v>399</v>
      </c>
      <c r="G323" s="411" t="e">
        <f>CONCATENATE("Aflossing ",#REF!)</f>
        <v>#REF!</v>
      </c>
      <c r="H323" s="302"/>
      <c r="I323" s="302"/>
      <c r="J323" s="302"/>
      <c r="K323" s="302"/>
      <c r="L323" s="302"/>
      <c r="M323" s="302"/>
      <c r="N323" s="303"/>
      <c r="O323" s="198" t="s">
        <v>7</v>
      </c>
      <c r="P323" s="93"/>
      <c r="T323" s="2"/>
      <c r="U323" s="2"/>
    </row>
    <row r="324" spans="1:21" ht="12.75">
      <c r="A324" s="216"/>
      <c r="B324" s="216"/>
      <c r="C324" s="217"/>
      <c r="D324" s="217"/>
      <c r="E324" s="217"/>
      <c r="F324" s="218" t="e">
        <f>CONCATENATE("31-12-",#REF!-1," ")</f>
        <v>#REF!</v>
      </c>
      <c r="G324" s="219" t="s">
        <v>419</v>
      </c>
      <c r="H324" s="220" t="s">
        <v>414</v>
      </c>
      <c r="I324" s="411" t="s">
        <v>415</v>
      </c>
      <c r="J324" s="412"/>
      <c r="K324" s="412"/>
      <c r="L324" s="412"/>
      <c r="M324" s="412"/>
      <c r="N324" s="413"/>
      <c r="O324" s="109" t="s">
        <v>8</v>
      </c>
      <c r="P324" s="93"/>
      <c r="Q324" s="2"/>
      <c r="R324" s="2"/>
      <c r="S324" s="2"/>
      <c r="T324" s="2"/>
      <c r="U324" s="2"/>
    </row>
    <row r="325" spans="1:21" ht="12.75">
      <c r="A325" s="169"/>
      <c r="B325" s="169"/>
      <c r="C325" s="92"/>
      <c r="D325" s="92"/>
      <c r="E325" s="92"/>
      <c r="F325" s="92"/>
      <c r="G325" s="92"/>
      <c r="H325" s="92"/>
      <c r="I325" s="92"/>
      <c r="J325" s="91"/>
      <c r="K325" s="92"/>
      <c r="L325" s="92"/>
      <c r="M325" s="92"/>
      <c r="N325" s="92"/>
      <c r="O325" s="92"/>
      <c r="P325" s="93"/>
      <c r="Q325" s="2"/>
      <c r="R325" s="2"/>
      <c r="S325" s="2"/>
      <c r="T325" s="2"/>
      <c r="U325" s="2"/>
    </row>
    <row r="326" spans="1:21" ht="12.75">
      <c r="A326" s="41" t="s">
        <v>509</v>
      </c>
      <c r="B326" s="167"/>
      <c r="C326" s="168"/>
      <c r="D326" s="168"/>
      <c r="E326" s="168"/>
      <c r="F326" s="168"/>
      <c r="G326" s="168"/>
      <c r="H326" s="168"/>
      <c r="I326" s="168"/>
      <c r="J326" s="168"/>
      <c r="K326" s="168"/>
      <c r="L326" s="168"/>
      <c r="M326" s="168"/>
      <c r="N326" s="42"/>
      <c r="P326" s="2"/>
      <c r="Q326" s="2"/>
      <c r="R326" s="2"/>
      <c r="S326" s="2"/>
      <c r="T326" s="2"/>
      <c r="U326" s="2"/>
    </row>
    <row r="327" spans="1:21" ht="12.75">
      <c r="A327" s="31">
        <f>H!A8</f>
        <v>2101</v>
      </c>
      <c r="B327" s="414">
        <f>H!B8</f>
        <v>0</v>
      </c>
      <c r="C327" s="136">
        <f>H!D8</f>
        <v>0</v>
      </c>
      <c r="D327" s="415">
        <f>H!E8</f>
        <v>0</v>
      </c>
      <c r="E327" s="270">
        <f>H!F8</f>
        <v>0</v>
      </c>
      <c r="F327" s="270">
        <f>H!H8</f>
        <v>0</v>
      </c>
      <c r="G327" s="270">
        <f>H!I8</f>
        <v>0</v>
      </c>
      <c r="H327" s="266">
        <f>H!J8</f>
        <v>0</v>
      </c>
      <c r="I327" s="266">
        <f>H!K8</f>
        <v>0</v>
      </c>
      <c r="J327" s="266">
        <f>H!L8</f>
        <v>0</v>
      </c>
      <c r="K327" s="266">
        <f>H!M8</f>
        <v>0</v>
      </c>
      <c r="L327" s="266">
        <f>H!N8</f>
        <v>0</v>
      </c>
      <c r="M327" s="266">
        <f>H!O8</f>
        <v>0</v>
      </c>
      <c r="N327" s="266">
        <f>H!P8</f>
        <v>0</v>
      </c>
      <c r="O327" s="270">
        <f>H!S8</f>
        <v>0</v>
      </c>
      <c r="P327" s="93"/>
      <c r="Q327" s="2"/>
      <c r="R327" s="2"/>
      <c r="S327" s="2"/>
      <c r="T327" s="2"/>
      <c r="U327" s="2"/>
    </row>
    <row r="328" spans="1:21" ht="12.75">
      <c r="A328" s="31">
        <f aca="true" t="shared" si="14" ref="A328:A350">A327+1</f>
        <v>2102</v>
      </c>
      <c r="B328" s="414">
        <f>H!B9</f>
        <v>0</v>
      </c>
      <c r="C328" s="136">
        <f>H!D9</f>
        <v>0</v>
      </c>
      <c r="D328" s="415">
        <f>H!E9</f>
        <v>0</v>
      </c>
      <c r="E328" s="270">
        <f>H!F9</f>
        <v>0</v>
      </c>
      <c r="F328" s="270">
        <f>H!H9</f>
        <v>0</v>
      </c>
      <c r="G328" s="270">
        <f>H!I9</f>
        <v>0</v>
      </c>
      <c r="H328" s="266">
        <f>H!J9</f>
        <v>0</v>
      </c>
      <c r="I328" s="266">
        <f>H!K9</f>
        <v>0</v>
      </c>
      <c r="J328" s="266">
        <f>H!L9</f>
        <v>0</v>
      </c>
      <c r="K328" s="266">
        <f>H!M9</f>
        <v>0</v>
      </c>
      <c r="L328" s="266">
        <f>H!N9</f>
        <v>0</v>
      </c>
      <c r="M328" s="266">
        <f>H!O9</f>
        <v>0</v>
      </c>
      <c r="N328" s="266">
        <f>H!P9</f>
        <v>0</v>
      </c>
      <c r="O328" s="270">
        <f>H!T9</f>
        <v>0</v>
      </c>
      <c r="P328" s="93"/>
      <c r="Q328" s="2"/>
      <c r="R328" s="2"/>
      <c r="S328" s="2"/>
      <c r="T328" s="2"/>
      <c r="U328" s="2"/>
    </row>
    <row r="329" spans="1:21" ht="12.75">
      <c r="A329" s="31">
        <f t="shared" si="14"/>
        <v>2103</v>
      </c>
      <c r="B329" s="414">
        <f>H!B10</f>
        <v>0</v>
      </c>
      <c r="C329" s="136">
        <f>H!D10</f>
        <v>0</v>
      </c>
      <c r="D329" s="415">
        <f>H!E10</f>
        <v>0</v>
      </c>
      <c r="E329" s="270">
        <f>H!F10</f>
        <v>0</v>
      </c>
      <c r="F329" s="270">
        <f>H!H10</f>
        <v>0</v>
      </c>
      <c r="G329" s="270">
        <f>H!I10</f>
        <v>0</v>
      </c>
      <c r="H329" s="266">
        <f>H!J10</f>
        <v>0</v>
      </c>
      <c r="I329" s="266">
        <f>H!K10</f>
        <v>0</v>
      </c>
      <c r="J329" s="266">
        <f>H!L10</f>
        <v>0</v>
      </c>
      <c r="K329" s="266">
        <f>H!M10</f>
        <v>0</v>
      </c>
      <c r="L329" s="266">
        <f>H!N10</f>
        <v>0</v>
      </c>
      <c r="M329" s="266">
        <f>H!O10</f>
        <v>0</v>
      </c>
      <c r="N329" s="266">
        <f>H!P10</f>
        <v>0</v>
      </c>
      <c r="O329" s="270">
        <f>H!T10</f>
        <v>0</v>
      </c>
      <c r="P329" s="93"/>
      <c r="Q329" s="2"/>
      <c r="R329" s="2"/>
      <c r="S329" s="2"/>
      <c r="T329" s="2"/>
      <c r="U329" s="2"/>
    </row>
    <row r="330" spans="1:21" ht="12.75">
      <c r="A330" s="31">
        <f t="shared" si="14"/>
        <v>2104</v>
      </c>
      <c r="B330" s="414">
        <f>H!B11</f>
        <v>0</v>
      </c>
      <c r="C330" s="136">
        <f>H!D11</f>
        <v>0</v>
      </c>
      <c r="D330" s="415">
        <f>H!E11</f>
        <v>0</v>
      </c>
      <c r="E330" s="270">
        <f>H!F11</f>
        <v>0</v>
      </c>
      <c r="F330" s="270">
        <f>H!H11</f>
        <v>0</v>
      </c>
      <c r="G330" s="270">
        <f>H!I11</f>
        <v>0</v>
      </c>
      <c r="H330" s="266">
        <f>H!J11</f>
        <v>0</v>
      </c>
      <c r="I330" s="266">
        <f>H!K11</f>
        <v>0</v>
      </c>
      <c r="J330" s="266">
        <f>H!L11</f>
        <v>0</v>
      </c>
      <c r="K330" s="266">
        <f>H!M11</f>
        <v>0</v>
      </c>
      <c r="L330" s="266">
        <f>H!N11</f>
        <v>0</v>
      </c>
      <c r="M330" s="266">
        <f>H!O11</f>
        <v>0</v>
      </c>
      <c r="N330" s="266">
        <f>H!P11</f>
        <v>0</v>
      </c>
      <c r="O330" s="270">
        <f>H!T11</f>
        <v>0</v>
      </c>
      <c r="P330" s="93"/>
      <c r="Q330" s="2"/>
      <c r="R330" s="2"/>
      <c r="S330" s="2"/>
      <c r="T330" s="2"/>
      <c r="U330" s="2"/>
    </row>
    <row r="331" spans="1:21" ht="12.75">
      <c r="A331" s="31">
        <f t="shared" si="14"/>
        <v>2105</v>
      </c>
      <c r="B331" s="414">
        <f>H!B12</f>
        <v>0</v>
      </c>
      <c r="C331" s="136">
        <f>H!D12</f>
        <v>0</v>
      </c>
      <c r="D331" s="415">
        <f>H!E12</f>
        <v>0</v>
      </c>
      <c r="E331" s="270">
        <f>H!F12</f>
        <v>0</v>
      </c>
      <c r="F331" s="270">
        <f>H!H12</f>
        <v>0</v>
      </c>
      <c r="G331" s="270">
        <f>H!I12</f>
        <v>0</v>
      </c>
      <c r="H331" s="266">
        <f>H!J12</f>
        <v>0</v>
      </c>
      <c r="I331" s="266">
        <f>H!K12</f>
        <v>0</v>
      </c>
      <c r="J331" s="266">
        <f>H!L12</f>
        <v>0</v>
      </c>
      <c r="K331" s="266">
        <f>H!M12</f>
        <v>0</v>
      </c>
      <c r="L331" s="266">
        <f>H!N12</f>
        <v>0</v>
      </c>
      <c r="M331" s="266">
        <f>H!O12</f>
        <v>0</v>
      </c>
      <c r="N331" s="266">
        <f>H!P12</f>
        <v>0</v>
      </c>
      <c r="O331" s="270">
        <f>H!T12</f>
        <v>0</v>
      </c>
      <c r="P331" s="93"/>
      <c r="Q331" s="2"/>
      <c r="R331" s="2"/>
      <c r="S331" s="2"/>
      <c r="T331" s="2"/>
      <c r="U331" s="2"/>
    </row>
    <row r="332" spans="1:21" ht="12.75">
      <c r="A332" s="31">
        <f t="shared" si="14"/>
        <v>2106</v>
      </c>
      <c r="B332" s="414">
        <f>H!B13</f>
        <v>0</v>
      </c>
      <c r="C332" s="136">
        <f>H!D13</f>
        <v>0</v>
      </c>
      <c r="D332" s="415">
        <f>H!E13</f>
        <v>0</v>
      </c>
      <c r="E332" s="270">
        <f>H!F13</f>
        <v>0</v>
      </c>
      <c r="F332" s="270">
        <f>H!H13</f>
        <v>0</v>
      </c>
      <c r="G332" s="270">
        <f>H!I13</f>
        <v>0</v>
      </c>
      <c r="H332" s="266">
        <f>H!J13</f>
        <v>0</v>
      </c>
      <c r="I332" s="266">
        <f>H!K13</f>
        <v>0</v>
      </c>
      <c r="J332" s="266">
        <f>H!L13</f>
        <v>0</v>
      </c>
      <c r="K332" s="266">
        <f>H!M13</f>
        <v>0</v>
      </c>
      <c r="L332" s="266">
        <f>H!N13</f>
        <v>0</v>
      </c>
      <c r="M332" s="266">
        <f>H!O13</f>
        <v>0</v>
      </c>
      <c r="N332" s="266">
        <f>H!P13</f>
        <v>0</v>
      </c>
      <c r="O332" s="270">
        <f>H!T13</f>
        <v>0</v>
      </c>
      <c r="P332" s="93"/>
      <c r="Q332" s="2"/>
      <c r="R332" s="2"/>
      <c r="S332" s="2"/>
      <c r="T332" s="2"/>
      <c r="U332" s="2"/>
    </row>
    <row r="333" spans="1:21" ht="12.75">
      <c r="A333" s="31">
        <f t="shared" si="14"/>
        <v>2107</v>
      </c>
      <c r="B333" s="414">
        <f>H!B14</f>
        <v>0</v>
      </c>
      <c r="C333" s="136">
        <f>H!D14</f>
        <v>0</v>
      </c>
      <c r="D333" s="415">
        <f>H!E14</f>
        <v>0</v>
      </c>
      <c r="E333" s="270">
        <f>H!F14</f>
        <v>0</v>
      </c>
      <c r="F333" s="270">
        <f>H!H14</f>
        <v>0</v>
      </c>
      <c r="G333" s="270">
        <f>H!I14</f>
        <v>0</v>
      </c>
      <c r="H333" s="266">
        <f>H!J14</f>
        <v>0</v>
      </c>
      <c r="I333" s="266">
        <f>H!K14</f>
        <v>0</v>
      </c>
      <c r="J333" s="266">
        <f>H!L14</f>
        <v>0</v>
      </c>
      <c r="K333" s="266">
        <f>H!M14</f>
        <v>0</v>
      </c>
      <c r="L333" s="266">
        <f>H!N14</f>
        <v>0</v>
      </c>
      <c r="M333" s="266">
        <f>H!O14</f>
        <v>0</v>
      </c>
      <c r="N333" s="266">
        <f>H!P14</f>
        <v>0</v>
      </c>
      <c r="O333" s="270">
        <f>H!T14</f>
        <v>0</v>
      </c>
      <c r="P333" s="93"/>
      <c r="Q333" s="2"/>
      <c r="R333" s="2"/>
      <c r="S333" s="2"/>
      <c r="T333" s="2"/>
      <c r="U333" s="2"/>
    </row>
    <row r="334" spans="1:21" ht="12.75">
      <c r="A334" s="31">
        <f t="shared" si="14"/>
        <v>2108</v>
      </c>
      <c r="B334" s="414">
        <f>H!B15</f>
        <v>0</v>
      </c>
      <c r="C334" s="136">
        <f>H!D15</f>
        <v>0</v>
      </c>
      <c r="D334" s="415">
        <f>H!E15</f>
        <v>0</v>
      </c>
      <c r="E334" s="270">
        <f>H!F15</f>
        <v>0</v>
      </c>
      <c r="F334" s="270">
        <f>H!H15</f>
        <v>0</v>
      </c>
      <c r="G334" s="270">
        <f>H!I15</f>
        <v>0</v>
      </c>
      <c r="H334" s="266">
        <f>H!J15</f>
        <v>0</v>
      </c>
      <c r="I334" s="266">
        <f>H!K15</f>
        <v>0</v>
      </c>
      <c r="J334" s="266">
        <f>H!L15</f>
        <v>0</v>
      </c>
      <c r="K334" s="266">
        <f>H!M15</f>
        <v>0</v>
      </c>
      <c r="L334" s="266">
        <f>H!N15</f>
        <v>0</v>
      </c>
      <c r="M334" s="266">
        <f>H!O15</f>
        <v>0</v>
      </c>
      <c r="N334" s="266">
        <f>H!P15</f>
        <v>0</v>
      </c>
      <c r="O334" s="270">
        <f>H!T15</f>
        <v>0</v>
      </c>
      <c r="P334" s="93"/>
      <c r="Q334" s="2"/>
      <c r="R334" s="2"/>
      <c r="S334" s="2"/>
      <c r="T334" s="2"/>
      <c r="U334" s="2"/>
    </row>
    <row r="335" spans="1:21" ht="12.75">
      <c r="A335" s="31">
        <f t="shared" si="14"/>
        <v>2109</v>
      </c>
      <c r="B335" s="414">
        <f>H!B16</f>
        <v>0</v>
      </c>
      <c r="C335" s="136">
        <f>H!D16</f>
        <v>0</v>
      </c>
      <c r="D335" s="415">
        <f>H!E16</f>
        <v>0</v>
      </c>
      <c r="E335" s="270">
        <f>H!F16</f>
        <v>0</v>
      </c>
      <c r="F335" s="270">
        <f>H!H16</f>
        <v>0</v>
      </c>
      <c r="G335" s="270">
        <f>H!I16</f>
        <v>0</v>
      </c>
      <c r="H335" s="266">
        <f>H!J16</f>
        <v>0</v>
      </c>
      <c r="I335" s="266">
        <f>H!K16</f>
        <v>0</v>
      </c>
      <c r="J335" s="266">
        <f>H!L16</f>
        <v>0</v>
      </c>
      <c r="K335" s="266">
        <f>H!M16</f>
        <v>0</v>
      </c>
      <c r="L335" s="266">
        <f>H!N16</f>
        <v>0</v>
      </c>
      <c r="M335" s="266">
        <f>H!O16</f>
        <v>0</v>
      </c>
      <c r="N335" s="266">
        <f>H!P16</f>
        <v>0</v>
      </c>
      <c r="O335" s="270">
        <f>H!T16</f>
        <v>0</v>
      </c>
      <c r="P335" s="93"/>
      <c r="Q335" s="2"/>
      <c r="R335" s="2"/>
      <c r="S335" s="2"/>
      <c r="T335" s="2"/>
      <c r="U335" s="2"/>
    </row>
    <row r="336" spans="1:21" ht="12.75">
      <c r="A336" s="31">
        <f t="shared" si="14"/>
        <v>2110</v>
      </c>
      <c r="B336" s="414">
        <f>H!B17</f>
        <v>0</v>
      </c>
      <c r="C336" s="136">
        <f>H!D17</f>
        <v>0</v>
      </c>
      <c r="D336" s="415">
        <f>H!E17</f>
        <v>0</v>
      </c>
      <c r="E336" s="270">
        <f>H!F17</f>
        <v>0</v>
      </c>
      <c r="F336" s="270">
        <f>H!H17</f>
        <v>0</v>
      </c>
      <c r="G336" s="270">
        <f>H!I17</f>
        <v>0</v>
      </c>
      <c r="H336" s="266">
        <f>H!J17</f>
        <v>0</v>
      </c>
      <c r="I336" s="266">
        <f>H!K17</f>
        <v>0</v>
      </c>
      <c r="J336" s="266">
        <f>H!L17</f>
        <v>0</v>
      </c>
      <c r="K336" s="266">
        <f>H!M17</f>
        <v>0</v>
      </c>
      <c r="L336" s="266">
        <f>H!N17</f>
        <v>0</v>
      </c>
      <c r="M336" s="266">
        <f>H!O17</f>
        <v>0</v>
      </c>
      <c r="N336" s="266">
        <f>H!P17</f>
        <v>0</v>
      </c>
      <c r="O336" s="270">
        <f>H!T17</f>
        <v>0</v>
      </c>
      <c r="P336" s="93"/>
      <c r="Q336" s="2"/>
      <c r="R336" s="2"/>
      <c r="S336" s="2"/>
      <c r="T336" s="2"/>
      <c r="U336" s="2"/>
    </row>
    <row r="337" spans="1:21" ht="12.75">
      <c r="A337" s="31">
        <f t="shared" si="14"/>
        <v>2111</v>
      </c>
      <c r="B337" s="414">
        <f>H!B23</f>
        <v>0</v>
      </c>
      <c r="C337" s="136">
        <f>H!D23</f>
        <v>0</v>
      </c>
      <c r="D337" s="415">
        <f>H!E23</f>
        <v>0</v>
      </c>
      <c r="E337" s="270">
        <f>H!F23</f>
        <v>0</v>
      </c>
      <c r="F337" s="270">
        <f>H!H23</f>
        <v>0</v>
      </c>
      <c r="G337" s="270">
        <f>H!I23</f>
        <v>0</v>
      </c>
      <c r="H337" s="266">
        <f>H!J23</f>
        <v>0</v>
      </c>
      <c r="I337" s="266">
        <f>H!K23</f>
        <v>0</v>
      </c>
      <c r="J337" s="266">
        <f>H!L23</f>
        <v>0</v>
      </c>
      <c r="K337" s="266">
        <f>H!M23</f>
        <v>0</v>
      </c>
      <c r="L337" s="266">
        <f>H!N23</f>
        <v>0</v>
      </c>
      <c r="M337" s="266">
        <f>H!O23</f>
        <v>0</v>
      </c>
      <c r="N337" s="266">
        <f>H!P23</f>
        <v>0</v>
      </c>
      <c r="O337" s="270">
        <f>H!T23</f>
        <v>0</v>
      </c>
      <c r="P337" s="93"/>
      <c r="Q337" s="2"/>
      <c r="R337" s="2"/>
      <c r="S337" s="2"/>
      <c r="T337" s="2"/>
      <c r="U337" s="2"/>
    </row>
    <row r="338" spans="1:21" ht="12.75">
      <c r="A338" s="31">
        <f t="shared" si="14"/>
        <v>2112</v>
      </c>
      <c r="B338" s="414">
        <f>H!B24</f>
        <v>0</v>
      </c>
      <c r="C338" s="136">
        <f>H!D24</f>
        <v>0</v>
      </c>
      <c r="D338" s="415">
        <f>H!E24</f>
        <v>0</v>
      </c>
      <c r="E338" s="270">
        <f>H!F24</f>
        <v>0</v>
      </c>
      <c r="F338" s="270">
        <f>H!H24</f>
        <v>0</v>
      </c>
      <c r="G338" s="270">
        <f>H!I24</f>
        <v>0</v>
      </c>
      <c r="H338" s="266">
        <f>H!J24</f>
        <v>0</v>
      </c>
      <c r="I338" s="266">
        <f>H!K24</f>
        <v>0</v>
      </c>
      <c r="J338" s="266">
        <f>H!L24</f>
        <v>0</v>
      </c>
      <c r="K338" s="266">
        <f>H!M24</f>
        <v>0</v>
      </c>
      <c r="L338" s="266">
        <f>H!N24</f>
        <v>0</v>
      </c>
      <c r="M338" s="266">
        <f>H!O24</f>
        <v>0</v>
      </c>
      <c r="N338" s="266">
        <f>H!P24</f>
        <v>0</v>
      </c>
      <c r="O338" s="270">
        <f>H!T24</f>
        <v>0</v>
      </c>
      <c r="P338" s="93"/>
      <c r="Q338" s="2"/>
      <c r="R338" s="2"/>
      <c r="S338" s="2"/>
      <c r="T338" s="2"/>
      <c r="U338" s="2"/>
    </row>
    <row r="339" spans="1:21" ht="12.75">
      <c r="A339" s="31">
        <f t="shared" si="14"/>
        <v>2113</v>
      </c>
      <c r="B339" s="414">
        <f>H!B25</f>
        <v>0</v>
      </c>
      <c r="C339" s="136">
        <f>H!D25</f>
        <v>0</v>
      </c>
      <c r="D339" s="415">
        <f>H!E25</f>
        <v>0</v>
      </c>
      <c r="E339" s="270">
        <f>H!F25</f>
        <v>0</v>
      </c>
      <c r="F339" s="270">
        <f>H!H25</f>
        <v>0</v>
      </c>
      <c r="G339" s="270">
        <f>H!I25</f>
        <v>0</v>
      </c>
      <c r="H339" s="266">
        <f>H!J25</f>
        <v>0</v>
      </c>
      <c r="I339" s="266">
        <f>H!K25</f>
        <v>0</v>
      </c>
      <c r="J339" s="266">
        <f>H!L25</f>
        <v>0</v>
      </c>
      <c r="K339" s="266">
        <f>H!M25</f>
        <v>0</v>
      </c>
      <c r="L339" s="266">
        <f>H!N25</f>
        <v>0</v>
      </c>
      <c r="M339" s="266">
        <f>H!O25</f>
        <v>0</v>
      </c>
      <c r="N339" s="266">
        <f>H!P25</f>
        <v>0</v>
      </c>
      <c r="O339" s="270">
        <f>H!T25</f>
        <v>0</v>
      </c>
      <c r="P339" s="93"/>
      <c r="Q339" s="2"/>
      <c r="R339" s="2"/>
      <c r="S339" s="2"/>
      <c r="T339" s="2"/>
      <c r="U339" s="2"/>
    </row>
    <row r="340" spans="1:21" ht="12.75">
      <c r="A340" s="31">
        <f t="shared" si="14"/>
        <v>2114</v>
      </c>
      <c r="B340" s="414">
        <f>H!B26</f>
        <v>0</v>
      </c>
      <c r="C340" s="136">
        <f>H!D26</f>
        <v>0</v>
      </c>
      <c r="D340" s="415">
        <f>H!E26</f>
        <v>0</v>
      </c>
      <c r="E340" s="270">
        <f>H!F26</f>
        <v>0</v>
      </c>
      <c r="F340" s="270">
        <f>H!H26</f>
        <v>0</v>
      </c>
      <c r="G340" s="270">
        <f>H!I26</f>
        <v>0</v>
      </c>
      <c r="H340" s="266">
        <f>H!J26</f>
        <v>0</v>
      </c>
      <c r="I340" s="266">
        <f>H!K26</f>
        <v>0</v>
      </c>
      <c r="J340" s="266">
        <f>H!L26</f>
        <v>0</v>
      </c>
      <c r="K340" s="266">
        <f>H!M26</f>
        <v>0</v>
      </c>
      <c r="L340" s="266">
        <f>H!N26</f>
        <v>0</v>
      </c>
      <c r="M340" s="266">
        <f>H!O26</f>
        <v>0</v>
      </c>
      <c r="N340" s="266">
        <f>H!P26</f>
        <v>0</v>
      </c>
      <c r="O340" s="270">
        <f>H!T26</f>
        <v>0</v>
      </c>
      <c r="P340" s="93"/>
      <c r="Q340" s="2"/>
      <c r="R340" s="2"/>
      <c r="S340" s="2"/>
      <c r="T340" s="2"/>
      <c r="U340" s="2"/>
    </row>
    <row r="341" spans="1:21" ht="12.75">
      <c r="A341" s="31">
        <f t="shared" si="14"/>
        <v>2115</v>
      </c>
      <c r="B341" s="414">
        <f>H!B27</f>
        <v>0</v>
      </c>
      <c r="C341" s="136">
        <f>H!D27</f>
        <v>0</v>
      </c>
      <c r="D341" s="415">
        <f>H!E27</f>
        <v>0</v>
      </c>
      <c r="E341" s="270">
        <f>H!F27</f>
        <v>0</v>
      </c>
      <c r="F341" s="270">
        <f>H!H27</f>
        <v>0</v>
      </c>
      <c r="G341" s="270">
        <f>H!I27</f>
        <v>0</v>
      </c>
      <c r="H341" s="266">
        <f>H!J27</f>
        <v>0</v>
      </c>
      <c r="I341" s="266">
        <f>H!K27</f>
        <v>0</v>
      </c>
      <c r="J341" s="266">
        <f>H!L27</f>
        <v>0</v>
      </c>
      <c r="K341" s="266">
        <f>H!M27</f>
        <v>0</v>
      </c>
      <c r="L341" s="266">
        <f>H!N27</f>
        <v>0</v>
      </c>
      <c r="M341" s="266">
        <f>H!O27</f>
        <v>0</v>
      </c>
      <c r="N341" s="266">
        <f>H!P27</f>
        <v>0</v>
      </c>
      <c r="O341" s="270">
        <f>H!T27</f>
        <v>0</v>
      </c>
      <c r="P341" s="93"/>
      <c r="Q341" s="2"/>
      <c r="R341" s="2"/>
      <c r="S341" s="2"/>
      <c r="T341" s="2"/>
      <c r="U341" s="2"/>
    </row>
    <row r="342" spans="1:21" ht="12.75">
      <c r="A342" s="31">
        <f t="shared" si="14"/>
        <v>2116</v>
      </c>
      <c r="B342" s="414">
        <f>H!B28</f>
        <v>0</v>
      </c>
      <c r="C342" s="136">
        <f>H!D28</f>
        <v>0</v>
      </c>
      <c r="D342" s="415">
        <f>H!E28</f>
        <v>0</v>
      </c>
      <c r="E342" s="270">
        <f>H!F28</f>
        <v>0</v>
      </c>
      <c r="F342" s="270">
        <f>H!H28</f>
        <v>0</v>
      </c>
      <c r="G342" s="270">
        <f>H!I28</f>
        <v>0</v>
      </c>
      <c r="H342" s="266">
        <f>H!J28</f>
        <v>0</v>
      </c>
      <c r="I342" s="266">
        <f>H!K28</f>
        <v>0</v>
      </c>
      <c r="J342" s="266">
        <f>H!L28</f>
        <v>0</v>
      </c>
      <c r="K342" s="266">
        <f>H!M28</f>
        <v>0</v>
      </c>
      <c r="L342" s="266">
        <f>H!N28</f>
        <v>0</v>
      </c>
      <c r="M342" s="266">
        <f>H!O28</f>
        <v>0</v>
      </c>
      <c r="N342" s="266">
        <f>H!P28</f>
        <v>0</v>
      </c>
      <c r="O342" s="270">
        <f>H!T28</f>
        <v>0</v>
      </c>
      <c r="P342" s="93"/>
      <c r="Q342" s="2"/>
      <c r="R342" s="2"/>
      <c r="S342" s="2"/>
      <c r="T342" s="2"/>
      <c r="U342" s="2"/>
    </row>
    <row r="343" spans="1:21" ht="12.75">
      <c r="A343" s="31">
        <f t="shared" si="14"/>
        <v>2117</v>
      </c>
      <c r="B343" s="414">
        <f>H!B29</f>
        <v>0</v>
      </c>
      <c r="C343" s="136">
        <f>H!D29</f>
        <v>0</v>
      </c>
      <c r="D343" s="415">
        <f>H!E29</f>
        <v>0</v>
      </c>
      <c r="E343" s="270">
        <f>H!F29</f>
        <v>0</v>
      </c>
      <c r="F343" s="270">
        <f>H!H29</f>
        <v>0</v>
      </c>
      <c r="G343" s="270">
        <f>H!I29</f>
        <v>0</v>
      </c>
      <c r="H343" s="266">
        <f>H!J29</f>
        <v>0</v>
      </c>
      <c r="I343" s="266">
        <f>H!K29</f>
        <v>0</v>
      </c>
      <c r="J343" s="266">
        <f>H!L29</f>
        <v>0</v>
      </c>
      <c r="K343" s="266">
        <f>H!M29</f>
        <v>0</v>
      </c>
      <c r="L343" s="266">
        <f>H!N29</f>
        <v>0</v>
      </c>
      <c r="M343" s="266">
        <f>H!O29</f>
        <v>0</v>
      </c>
      <c r="N343" s="266">
        <f>H!P29</f>
        <v>0</v>
      </c>
      <c r="O343" s="270">
        <f>H!T29</f>
        <v>0</v>
      </c>
      <c r="P343" s="93"/>
      <c r="Q343" s="2"/>
      <c r="R343" s="2"/>
      <c r="S343" s="2"/>
      <c r="T343" s="2"/>
      <c r="U343" s="2"/>
    </row>
    <row r="344" spans="1:21" ht="12.75">
      <c r="A344" s="31">
        <f t="shared" si="14"/>
        <v>2118</v>
      </c>
      <c r="B344" s="414">
        <f>H!B32</f>
        <v>0</v>
      </c>
      <c r="C344" s="136">
        <f>H!D32</f>
        <v>0</v>
      </c>
      <c r="D344" s="415">
        <f>H!E32</f>
        <v>0</v>
      </c>
      <c r="E344" s="270">
        <f>H!F32</f>
        <v>0</v>
      </c>
      <c r="F344" s="270">
        <f>H!H32</f>
        <v>0</v>
      </c>
      <c r="G344" s="270">
        <f>H!I32</f>
        <v>0</v>
      </c>
      <c r="H344" s="266">
        <f>H!J32</f>
        <v>0</v>
      </c>
      <c r="I344" s="266">
        <f>H!K32</f>
        <v>0</v>
      </c>
      <c r="J344" s="266">
        <f>H!L32</f>
        <v>0</v>
      </c>
      <c r="K344" s="266">
        <f>H!M32</f>
        <v>0</v>
      </c>
      <c r="L344" s="266">
        <f>H!N32</f>
        <v>0</v>
      </c>
      <c r="M344" s="266">
        <f>H!O32</f>
        <v>0</v>
      </c>
      <c r="N344" s="266">
        <f>H!P32</f>
        <v>0</v>
      </c>
      <c r="O344" s="270">
        <f>H!T32</f>
        <v>0</v>
      </c>
      <c r="P344" s="93"/>
      <c r="Q344" s="2"/>
      <c r="R344" s="2"/>
      <c r="S344" s="2"/>
      <c r="T344" s="2"/>
      <c r="U344" s="2"/>
    </row>
    <row r="345" spans="1:21" ht="12.75">
      <c r="A345" s="31">
        <f t="shared" si="14"/>
        <v>2119</v>
      </c>
      <c r="B345" s="414">
        <f>H!B33</f>
        <v>0</v>
      </c>
      <c r="C345" s="136">
        <f>H!D33</f>
        <v>0</v>
      </c>
      <c r="D345" s="415">
        <f>H!E33</f>
        <v>0</v>
      </c>
      <c r="E345" s="270">
        <f>H!F33</f>
        <v>0</v>
      </c>
      <c r="F345" s="270">
        <f>H!H33</f>
        <v>0</v>
      </c>
      <c r="G345" s="270">
        <f>H!I33</f>
        <v>0</v>
      </c>
      <c r="H345" s="266">
        <f>H!J33</f>
        <v>0</v>
      </c>
      <c r="I345" s="266">
        <f>H!K33</f>
        <v>0</v>
      </c>
      <c r="J345" s="266">
        <f>H!L33</f>
        <v>0</v>
      </c>
      <c r="K345" s="266">
        <f>H!M33</f>
        <v>0</v>
      </c>
      <c r="L345" s="266">
        <f>H!N33</f>
        <v>0</v>
      </c>
      <c r="M345" s="266">
        <f>H!O33</f>
        <v>0</v>
      </c>
      <c r="N345" s="266">
        <f>H!P33</f>
        <v>0</v>
      </c>
      <c r="O345" s="270">
        <f>H!T33</f>
        <v>0</v>
      </c>
      <c r="P345" s="93"/>
      <c r="Q345" s="2"/>
      <c r="R345" s="2"/>
      <c r="S345" s="2"/>
      <c r="T345" s="2"/>
      <c r="U345" s="2"/>
    </row>
    <row r="346" spans="1:21" ht="12.75">
      <c r="A346" s="31">
        <f t="shared" si="14"/>
        <v>2120</v>
      </c>
      <c r="B346" s="414">
        <f>H!B34</f>
        <v>0</v>
      </c>
      <c r="C346" s="136">
        <f>H!D34</f>
        <v>0</v>
      </c>
      <c r="D346" s="415">
        <f>H!E34</f>
        <v>0</v>
      </c>
      <c r="E346" s="270">
        <f>H!F34</f>
        <v>0</v>
      </c>
      <c r="F346" s="270">
        <f>H!H34</f>
        <v>0</v>
      </c>
      <c r="G346" s="270">
        <f>H!I34</f>
        <v>0</v>
      </c>
      <c r="H346" s="266">
        <f>H!J34</f>
        <v>0</v>
      </c>
      <c r="I346" s="266">
        <f>H!K34</f>
        <v>0</v>
      </c>
      <c r="J346" s="266">
        <f>H!L34</f>
        <v>0</v>
      </c>
      <c r="K346" s="266">
        <f>H!M34</f>
        <v>0</v>
      </c>
      <c r="L346" s="266">
        <f>H!N34</f>
        <v>0</v>
      </c>
      <c r="M346" s="266">
        <f>H!O34</f>
        <v>0</v>
      </c>
      <c r="N346" s="266">
        <f>H!P34</f>
        <v>0</v>
      </c>
      <c r="O346" s="270">
        <f>H!T34</f>
        <v>0</v>
      </c>
      <c r="P346" s="93"/>
      <c r="Q346" s="2"/>
      <c r="R346" s="2"/>
      <c r="S346" s="2"/>
      <c r="T346" s="2"/>
      <c r="U346" s="2"/>
    </row>
    <row r="347" spans="1:21" ht="12.75">
      <c r="A347" s="37">
        <f t="shared" si="14"/>
        <v>2121</v>
      </c>
      <c r="B347" s="289"/>
      <c r="C347" s="60"/>
      <c r="D347" s="61"/>
      <c r="E347" s="292"/>
      <c r="F347" s="292"/>
      <c r="G347" s="292"/>
      <c r="H347" s="416"/>
      <c r="I347" s="416"/>
      <c r="J347" s="417"/>
      <c r="K347" s="417"/>
      <c r="L347" s="417"/>
      <c r="M347" s="417"/>
      <c r="N347" s="417"/>
      <c r="O347" s="292"/>
      <c r="P347" s="93"/>
      <c r="Q347" s="2"/>
      <c r="R347" s="2"/>
      <c r="S347" s="2"/>
      <c r="T347" s="2"/>
      <c r="U347" s="2"/>
    </row>
    <row r="348" spans="1:21" ht="12.75">
      <c r="A348" s="32">
        <f t="shared" si="14"/>
        <v>2122</v>
      </c>
      <c r="B348" s="288"/>
      <c r="C348" s="170"/>
      <c r="D348" s="170"/>
      <c r="E348" s="170"/>
      <c r="F348" s="170"/>
      <c r="G348" s="170"/>
      <c r="H348" s="170"/>
      <c r="I348" s="170"/>
      <c r="J348" s="170"/>
      <c r="K348" s="170"/>
      <c r="L348" s="170"/>
      <c r="M348" s="170"/>
      <c r="N348" s="170"/>
      <c r="O348" s="90"/>
      <c r="P348" s="93"/>
      <c r="Q348" s="2"/>
      <c r="R348" s="2"/>
      <c r="S348" s="2"/>
      <c r="T348" s="2"/>
      <c r="U348" s="2"/>
    </row>
    <row r="349" spans="1:21" ht="12.75">
      <c r="A349" s="35">
        <f t="shared" si="14"/>
        <v>2123</v>
      </c>
      <c r="B349" s="290"/>
      <c r="C349" s="171"/>
      <c r="D349" s="172"/>
      <c r="E349" s="172"/>
      <c r="F349" s="172"/>
      <c r="G349" s="172"/>
      <c r="H349" s="172"/>
      <c r="I349" s="172"/>
      <c r="J349" s="172"/>
      <c r="K349" s="172"/>
      <c r="L349" s="172"/>
      <c r="M349" s="172"/>
      <c r="N349" s="172"/>
      <c r="O349" s="42"/>
      <c r="P349" s="93"/>
      <c r="Q349" s="2"/>
      <c r="R349" s="2"/>
      <c r="S349" s="2"/>
      <c r="T349" s="2"/>
      <c r="U349" s="2"/>
    </row>
    <row r="350" spans="1:21" ht="12.75">
      <c r="A350" s="37">
        <f t="shared" si="14"/>
        <v>2124</v>
      </c>
      <c r="B350" s="289"/>
      <c r="C350" s="173"/>
      <c r="D350" s="173"/>
      <c r="E350" s="173"/>
      <c r="F350" s="173"/>
      <c r="G350" s="173"/>
      <c r="H350" s="173"/>
      <c r="I350" s="173"/>
      <c r="J350" s="173"/>
      <c r="K350" s="173"/>
      <c r="L350" s="173"/>
      <c r="M350" s="173"/>
      <c r="N350" s="173"/>
      <c r="O350" s="47"/>
      <c r="P350" s="93"/>
      <c r="Q350" s="2"/>
      <c r="R350" s="2"/>
      <c r="S350" s="2"/>
      <c r="T350" s="2"/>
      <c r="U350" s="2"/>
    </row>
    <row r="351" spans="3:17" ht="12.75">
      <c r="C351" s="3"/>
      <c r="D351" s="2"/>
      <c r="G351" s="2"/>
      <c r="H351" s="2"/>
      <c r="J351" s="2"/>
      <c r="O351" s="2"/>
      <c r="P351" s="2"/>
      <c r="Q351" s="2"/>
    </row>
    <row r="352" spans="3:17" ht="12.75">
      <c r="C352" s="3"/>
      <c r="D352" s="2"/>
      <c r="G352" s="2"/>
      <c r="H352" s="2"/>
      <c r="J352" s="2"/>
      <c r="O352" s="2"/>
      <c r="P352" s="2"/>
      <c r="Q352" s="2"/>
    </row>
    <row r="353" spans="1:5" ht="12.75">
      <c r="A353" s="21"/>
      <c r="B353" s="222"/>
      <c r="C353" s="223" t="e">
        <f>CONCATENATE("31-12-",#REF!-1," ")</f>
        <v>#REF!</v>
      </c>
      <c r="D353" s="223" t="e">
        <f>CONCATENATE("31-12-",#REF!," ")</f>
        <v>#REF!</v>
      </c>
      <c r="E353" s="223" t="e">
        <f>CONCATENATE("Gemiddeld ",#REF!," ")</f>
        <v>#REF!</v>
      </c>
    </row>
    <row r="354" spans="1:5" ht="12.75">
      <c r="A354" s="26"/>
      <c r="B354" s="42"/>
      <c r="C354" s="175"/>
      <c r="D354" s="42"/>
      <c r="E354" s="42"/>
    </row>
    <row r="355" spans="1:5" ht="12.75">
      <c r="A355" s="41" t="s">
        <v>510</v>
      </c>
      <c r="B355" s="418" t="s">
        <v>511</v>
      </c>
      <c r="C355" s="168"/>
      <c r="D355" s="168"/>
      <c r="E355" s="42"/>
    </row>
    <row r="356" spans="1:5" ht="12.75">
      <c r="A356" s="31">
        <f>'I-J'!A7</f>
        <v>2301</v>
      </c>
      <c r="B356" s="176"/>
      <c r="C356" s="270">
        <f>'I-J'!C7</f>
        <v>0</v>
      </c>
      <c r="D356" s="270">
        <f>'I-J'!D7</f>
        <v>0</v>
      </c>
      <c r="E356" s="367"/>
    </row>
    <row r="357" spans="1:5" ht="12.75">
      <c r="A357" s="34">
        <f aca="true" t="shared" si="15" ref="A357:A369">A356+1</f>
        <v>2302</v>
      </c>
      <c r="B357" s="176"/>
      <c r="C357" s="270">
        <f>'I-J'!C8</f>
        <v>0</v>
      </c>
      <c r="D357" s="270">
        <f>'I-J'!D8</f>
        <v>0</v>
      </c>
      <c r="E357" s="367"/>
    </row>
    <row r="358" spans="1:5" ht="12.75">
      <c r="A358" s="34">
        <f t="shared" si="15"/>
        <v>2303</v>
      </c>
      <c r="B358" s="176"/>
      <c r="C358" s="270">
        <f>'I-J'!C9</f>
        <v>0</v>
      </c>
      <c r="D358" s="270">
        <f>'I-J'!D9</f>
        <v>0</v>
      </c>
      <c r="E358" s="367"/>
    </row>
    <row r="359" spans="1:5" ht="12.75">
      <c r="A359" s="34">
        <f t="shared" si="15"/>
        <v>2304</v>
      </c>
      <c r="B359" s="176"/>
      <c r="C359" s="270">
        <f>'I-J'!C10</f>
        <v>0</v>
      </c>
      <c r="D359" s="270">
        <f>'I-J'!D10</f>
        <v>0</v>
      </c>
      <c r="E359" s="367"/>
    </row>
    <row r="360" spans="1:5" ht="12.75">
      <c r="A360" s="34">
        <f t="shared" si="15"/>
        <v>2305</v>
      </c>
      <c r="B360" s="176"/>
      <c r="C360" s="270">
        <f>'I-J'!C11</f>
        <v>0</v>
      </c>
      <c r="D360" s="270">
        <f>'I-J'!D11</f>
        <v>0</v>
      </c>
      <c r="E360" s="367"/>
    </row>
    <row r="361" spans="1:5" ht="12.75">
      <c r="A361" s="34">
        <f t="shared" si="15"/>
        <v>2306</v>
      </c>
      <c r="B361" s="176"/>
      <c r="C361" s="270">
        <f>'I-J'!C12</f>
        <v>0</v>
      </c>
      <c r="D361" s="270">
        <f>'I-J'!D12</f>
        <v>0</v>
      </c>
      <c r="E361" s="367"/>
    </row>
    <row r="362" spans="1:5" ht="12.75">
      <c r="A362" s="34">
        <f t="shared" si="15"/>
        <v>2307</v>
      </c>
      <c r="B362" s="176"/>
      <c r="C362" s="270">
        <f>'I-J'!C13</f>
        <v>0</v>
      </c>
      <c r="D362" s="270">
        <f>'I-J'!D13</f>
        <v>0</v>
      </c>
      <c r="E362" s="367"/>
    </row>
    <row r="363" spans="1:5" ht="12.75">
      <c r="A363" s="34">
        <f t="shared" si="15"/>
        <v>2308</v>
      </c>
      <c r="B363" s="176"/>
      <c r="C363" s="270">
        <f>'I-J'!C14</f>
        <v>0</v>
      </c>
      <c r="D363" s="270">
        <f>'I-J'!D14</f>
        <v>0</v>
      </c>
      <c r="E363" s="367"/>
    </row>
    <row r="364" spans="1:5" ht="12.75">
      <c r="A364" s="34">
        <f t="shared" si="15"/>
        <v>2309</v>
      </c>
      <c r="B364" s="176"/>
      <c r="C364" s="270">
        <f>'I-J'!C15</f>
        <v>0</v>
      </c>
      <c r="D364" s="270">
        <f>'I-J'!D15</f>
        <v>0</v>
      </c>
      <c r="E364" s="367"/>
    </row>
    <row r="365" spans="1:5" ht="12.75">
      <c r="A365" s="34">
        <f t="shared" si="15"/>
        <v>2310</v>
      </c>
      <c r="B365" s="176"/>
      <c r="C365" s="270">
        <f>'I-J'!C16</f>
        <v>0</v>
      </c>
      <c r="D365" s="270">
        <f>'I-J'!D16</f>
        <v>0</v>
      </c>
      <c r="E365" s="367"/>
    </row>
    <row r="366" spans="1:5" ht="12.75">
      <c r="A366" s="34">
        <f t="shared" si="15"/>
        <v>2311</v>
      </c>
      <c r="B366" s="176"/>
      <c r="C366" s="270">
        <f>'I-J'!C17</f>
        <v>0</v>
      </c>
      <c r="D366" s="270">
        <f>'I-J'!D17</f>
        <v>0</v>
      </c>
      <c r="E366" s="367"/>
    </row>
    <row r="367" spans="1:5" ht="12.75">
      <c r="A367" s="34">
        <f t="shared" si="15"/>
        <v>2312</v>
      </c>
      <c r="B367" s="176"/>
      <c r="C367" s="270" t="e">
        <f>'I-J'!#REF!</f>
        <v>#REF!</v>
      </c>
      <c r="D367" s="270" t="e">
        <f>'I-J'!#REF!</f>
        <v>#REF!</v>
      </c>
      <c r="E367" s="367"/>
    </row>
    <row r="368" spans="1:5" ht="12.75">
      <c r="A368" s="35">
        <f t="shared" si="15"/>
        <v>2313</v>
      </c>
      <c r="B368" s="177"/>
      <c r="C368" s="419">
        <f>'I-J'!C20</f>
        <v>0</v>
      </c>
      <c r="D368" s="419">
        <f>'I-J'!D20</f>
        <v>0</v>
      </c>
      <c r="E368" s="420"/>
    </row>
    <row r="369" spans="1:5" ht="12.75">
      <c r="A369" s="37">
        <f t="shared" si="15"/>
        <v>2314</v>
      </c>
      <c r="B369" s="38"/>
      <c r="C369" s="292"/>
      <c r="D369" s="292"/>
      <c r="E369" s="292"/>
    </row>
    <row r="370" spans="1:5" ht="12.75">
      <c r="A370" s="41"/>
      <c r="B370" s="42"/>
      <c r="C370" s="42"/>
      <c r="D370" s="42"/>
      <c r="E370" s="42"/>
    </row>
    <row r="371" spans="1:5" ht="12.75">
      <c r="A371" s="42"/>
      <c r="B371" s="95"/>
      <c r="C371" s="95"/>
      <c r="D371" s="42"/>
      <c r="E371" s="221" t="s">
        <v>449</v>
      </c>
    </row>
    <row r="372" spans="1:5" ht="12.75">
      <c r="A372" s="178"/>
      <c r="B372" s="179"/>
      <c r="C372" s="179"/>
      <c r="D372" s="178"/>
      <c r="E372" s="123"/>
    </row>
    <row r="373" spans="1:5" ht="12.75">
      <c r="A373" s="41" t="s">
        <v>512</v>
      </c>
      <c r="B373" s="94" t="e">
        <f>CONCATENATE("Rentekosten ten laste van exploitatieresultaat ",#REF!)</f>
        <v>#REF!</v>
      </c>
      <c r="C373" s="95"/>
      <c r="D373" s="42"/>
      <c r="E373" s="42"/>
    </row>
    <row r="374" spans="1:5" ht="12.75">
      <c r="A374" s="31">
        <f>A369+1</f>
        <v>2315</v>
      </c>
      <c r="B374" s="180"/>
      <c r="C374" s="134"/>
      <c r="D374" s="121"/>
      <c r="E374" s="367"/>
    </row>
    <row r="375" spans="1:5" ht="12.75">
      <c r="A375" s="34">
        <f aca="true" t="shared" si="16" ref="A375:A383">A374+1</f>
        <v>2316</v>
      </c>
      <c r="B375" s="181"/>
      <c r="C375" s="134"/>
      <c r="D375" s="121"/>
      <c r="E375" s="270">
        <f>'I-J'!E28</f>
        <v>0</v>
      </c>
    </row>
    <row r="376" spans="1:5" ht="12.75">
      <c r="A376" s="34">
        <f t="shared" si="16"/>
        <v>2317</v>
      </c>
      <c r="B376" s="180"/>
      <c r="C376" s="134"/>
      <c r="D376" s="121"/>
      <c r="E376" s="270">
        <f>'I-J'!E29</f>
        <v>0</v>
      </c>
    </row>
    <row r="377" spans="1:5" ht="12.75">
      <c r="A377" s="35">
        <f t="shared" si="16"/>
        <v>2318</v>
      </c>
      <c r="B377" s="182"/>
      <c r="C377" s="78"/>
      <c r="D377" s="183"/>
      <c r="E377" s="270">
        <f>'I-J'!E31</f>
        <v>0</v>
      </c>
    </row>
    <row r="378" spans="1:5" ht="12.75">
      <c r="A378" s="37">
        <f t="shared" si="16"/>
        <v>2319</v>
      </c>
      <c r="B378" s="38"/>
      <c r="C378" s="60"/>
      <c r="D378" s="60"/>
      <c r="E378" s="263"/>
    </row>
    <row r="379" spans="1:5" ht="12.75">
      <c r="A379" s="34">
        <f t="shared" si="16"/>
        <v>2320</v>
      </c>
      <c r="B379" s="256"/>
      <c r="C379" s="134"/>
      <c r="D379" s="121"/>
      <c r="E379" s="270">
        <f>'I-J'!E35</f>
        <v>0</v>
      </c>
    </row>
    <row r="380" spans="1:5" ht="12.75">
      <c r="A380" s="34">
        <f t="shared" si="16"/>
        <v>2321</v>
      </c>
      <c r="B380" s="257"/>
      <c r="C380" s="134"/>
      <c r="D380" s="121"/>
      <c r="E380" s="270">
        <f>'I-J'!E36</f>
        <v>0</v>
      </c>
    </row>
    <row r="381" spans="1:5" ht="12.75">
      <c r="A381" s="34">
        <f t="shared" si="16"/>
        <v>2322</v>
      </c>
      <c r="B381" s="258"/>
      <c r="C381" s="191"/>
      <c r="D381" s="255"/>
      <c r="E381" s="270">
        <f>'I-J'!E37</f>
        <v>0</v>
      </c>
    </row>
    <row r="382" spans="1:5" ht="12.75">
      <c r="A382" s="34">
        <f t="shared" si="16"/>
        <v>2323</v>
      </c>
      <c r="B382" s="259"/>
      <c r="C382" s="78"/>
      <c r="D382" s="183"/>
      <c r="E382" s="270">
        <f>'I-J'!E38</f>
        <v>0</v>
      </c>
    </row>
    <row r="383" spans="1:5" ht="12.75">
      <c r="A383" s="37">
        <f t="shared" si="16"/>
        <v>2324</v>
      </c>
      <c r="B383" s="421"/>
      <c r="C383" s="60"/>
      <c r="D383" s="60"/>
      <c r="E383" s="263"/>
    </row>
    <row r="384" spans="1:5" ht="12.75">
      <c r="A384" s="41"/>
      <c r="B384" s="42"/>
      <c r="C384" s="42"/>
      <c r="D384" s="42"/>
      <c r="E384" s="42"/>
    </row>
    <row r="385" spans="4:10" ht="12.75">
      <c r="D385" s="2"/>
      <c r="G385" s="2"/>
      <c r="J385" s="2"/>
    </row>
    <row r="386" spans="4:10" ht="12.75">
      <c r="D386" s="2"/>
      <c r="G386" s="2"/>
      <c r="J386" s="2"/>
    </row>
    <row r="387" spans="1:10" ht="12.75">
      <c r="A387" s="64"/>
      <c r="B387" s="366"/>
      <c r="C387" s="118" t="s">
        <v>437</v>
      </c>
      <c r="D387" s="272" t="e">
        <f>CONCATENATE("Rekenstaat ",#REF!," nr. 1 ")</f>
        <v>#REF!</v>
      </c>
      <c r="E387" s="273"/>
      <c r="F387" s="251" t="s">
        <v>24</v>
      </c>
      <c r="G387" s="245" t="s">
        <v>23</v>
      </c>
      <c r="J387" s="2"/>
    </row>
    <row r="388" spans="1:7" ht="12.75">
      <c r="A388" s="64"/>
      <c r="B388" s="366"/>
      <c r="C388" s="118" t="s">
        <v>437</v>
      </c>
      <c r="D388" s="422" t="s">
        <v>387</v>
      </c>
      <c r="E388" s="246" t="s">
        <v>418</v>
      </c>
      <c r="F388" s="247" t="e">
        <f>CONCATENATE("jaarrekening ",#REF!," ")</f>
        <v>#REF!</v>
      </c>
      <c r="G388" s="247" t="s">
        <v>22</v>
      </c>
    </row>
    <row r="389" spans="1:7" ht="12.75">
      <c r="A389" s="83"/>
      <c r="B389" s="325"/>
      <c r="C389" s="156"/>
      <c r="D389" s="162" t="s">
        <v>409</v>
      </c>
      <c r="E389" s="111"/>
      <c r="F389" s="156"/>
      <c r="G389" s="113"/>
    </row>
    <row r="390" spans="1:7" ht="12.75">
      <c r="A390" s="47" t="s">
        <v>20</v>
      </c>
      <c r="B390" s="14" t="s">
        <v>21</v>
      </c>
      <c r="C390" s="147"/>
      <c r="D390" s="147"/>
      <c r="E390" s="90"/>
      <c r="F390" s="90"/>
      <c r="G390" s="90"/>
    </row>
    <row r="391" spans="1:7" ht="12.75">
      <c r="A391" s="31" t="e">
        <f>#REF!</f>
        <v>#REF!</v>
      </c>
      <c r="B391" s="357"/>
      <c r="C391" s="375"/>
      <c r="D391" s="141"/>
      <c r="E391" s="270" t="e">
        <f>#REF!</f>
        <v>#REF!</v>
      </c>
      <c r="F391" s="423"/>
      <c r="G391" s="309"/>
    </row>
    <row r="392" spans="1:7" ht="12.75">
      <c r="A392" s="34" t="e">
        <f>A391+1</f>
        <v>#REF!</v>
      </c>
      <c r="B392" s="357"/>
      <c r="C392" s="375"/>
      <c r="D392" s="141"/>
      <c r="E392" s="270" t="e">
        <f>#REF!</f>
        <v>#REF!</v>
      </c>
      <c r="F392" s="423"/>
      <c r="G392" s="309"/>
    </row>
    <row r="393" spans="1:7" ht="12.75">
      <c r="A393" s="34" t="e">
        <f>A392+1</f>
        <v>#REF!</v>
      </c>
      <c r="B393" s="357"/>
      <c r="C393" s="375"/>
      <c r="D393" s="141"/>
      <c r="E393" s="270" t="e">
        <f>#REF!</f>
        <v>#REF!</v>
      </c>
      <c r="F393" s="423"/>
      <c r="G393" s="309"/>
    </row>
    <row r="394" spans="1:7" ht="12.75">
      <c r="A394" s="35" t="e">
        <f>A393+1</f>
        <v>#REF!</v>
      </c>
      <c r="B394" s="357"/>
      <c r="C394" s="375"/>
      <c r="D394" s="141"/>
      <c r="E394" s="270" t="e">
        <f>#REF!</f>
        <v>#REF!</v>
      </c>
      <c r="F394" s="423"/>
      <c r="G394" s="309"/>
    </row>
    <row r="395" spans="1:7" ht="12.75">
      <c r="A395" s="54" t="e">
        <f>A393+1</f>
        <v>#REF!</v>
      </c>
      <c r="B395" s="357"/>
      <c r="C395" s="248"/>
      <c r="D395" s="142"/>
      <c r="E395" s="367" t="e">
        <f>E404</f>
        <v>#REF!</v>
      </c>
      <c r="F395" s="423"/>
      <c r="G395" s="309"/>
    </row>
    <row r="396" spans="1:7" ht="12.75">
      <c r="A396" s="37" t="e">
        <f>A395+1</f>
        <v>#REF!</v>
      </c>
      <c r="B396" s="362"/>
      <c r="C396" s="154"/>
      <c r="D396" s="154"/>
      <c r="E396" s="263" t="e">
        <f>SUM(E391:E395)</f>
        <v>#REF!</v>
      </c>
      <c r="F396" s="345"/>
      <c r="G396" s="345"/>
    </row>
    <row r="397" spans="1:7" ht="12.75">
      <c r="A397" s="71"/>
      <c r="B397" s="228"/>
      <c r="C397" s="250"/>
      <c r="D397" s="250"/>
      <c r="E397" s="424"/>
      <c r="F397" s="425"/>
      <c r="G397" s="309"/>
    </row>
    <row r="398" spans="1:7" ht="12.75">
      <c r="A398" s="31" t="e">
        <f>A394+1</f>
        <v>#REF!</v>
      </c>
      <c r="B398" s="357"/>
      <c r="C398" s="375"/>
      <c r="D398" s="142"/>
      <c r="E398" s="270" t="e">
        <f>#REF!</f>
        <v>#REF!</v>
      </c>
      <c r="F398" s="270" t="e">
        <f>#REF!</f>
        <v>#REF!</v>
      </c>
      <c r="G398" s="426"/>
    </row>
    <row r="399" spans="1:7" ht="12.75">
      <c r="A399" s="34" t="e">
        <f>A398+1</f>
        <v>#REF!</v>
      </c>
      <c r="B399" s="357"/>
      <c r="C399" s="375"/>
      <c r="D399" s="142"/>
      <c r="E399" s="270" t="e">
        <f>#REF!</f>
        <v>#REF!</v>
      </c>
      <c r="F399" s="270" t="e">
        <f>#REF!</f>
        <v>#REF!</v>
      </c>
      <c r="G399" s="426"/>
    </row>
    <row r="400" spans="1:7" ht="12.75">
      <c r="A400" s="34" t="e">
        <f>A399+1</f>
        <v>#REF!</v>
      </c>
      <c r="B400" s="357"/>
      <c r="C400" s="375"/>
      <c r="D400" s="142"/>
      <c r="E400" s="270" t="e">
        <f>#REF!</f>
        <v>#REF!</v>
      </c>
      <c r="F400" s="270" t="e">
        <f>#REF!</f>
        <v>#REF!</v>
      </c>
      <c r="G400" s="426"/>
    </row>
    <row r="401" spans="1:7" ht="12.75">
      <c r="A401" s="34" t="e">
        <f>A400+1</f>
        <v>#REF!</v>
      </c>
      <c r="B401" s="357"/>
      <c r="C401" s="375"/>
      <c r="D401" s="142"/>
      <c r="E401" s="270" t="e">
        <f>#REF!</f>
        <v>#REF!</v>
      </c>
      <c r="F401" s="270" t="e">
        <f>#REF!</f>
        <v>#REF!</v>
      </c>
      <c r="G401" s="426"/>
    </row>
    <row r="402" spans="1:7" ht="12.75">
      <c r="A402" s="34" t="e">
        <f>A401+1</f>
        <v>#REF!</v>
      </c>
      <c r="B402" s="357"/>
      <c r="C402" s="375"/>
      <c r="D402" s="142"/>
      <c r="E402" s="270" t="e">
        <f>#REF!</f>
        <v>#REF!</v>
      </c>
      <c r="F402" s="270" t="e">
        <f>#REF!</f>
        <v>#REF!</v>
      </c>
      <c r="G402" s="426"/>
    </row>
    <row r="403" spans="1:7" ht="12.75">
      <c r="A403" s="35" t="e">
        <f>A401+1</f>
        <v>#REF!</v>
      </c>
      <c r="B403" s="240"/>
      <c r="C403" s="248"/>
      <c r="D403" s="142"/>
      <c r="E403" s="270" t="e">
        <f>#REF!</f>
        <v>#REF!</v>
      </c>
      <c r="F403" s="270" t="e">
        <f>#REF!</f>
        <v>#REF!</v>
      </c>
      <c r="G403" s="426"/>
    </row>
    <row r="404" spans="1:7" ht="12.75">
      <c r="A404" s="37" t="e">
        <f>A403+1</f>
        <v>#REF!</v>
      </c>
      <c r="B404" s="362"/>
      <c r="C404" s="154"/>
      <c r="D404" s="154"/>
      <c r="E404" s="263" t="e">
        <f>SUM(E398:E403)</f>
        <v>#REF!</v>
      </c>
      <c r="F404" s="427"/>
      <c r="G404" s="345">
        <f>SUM(G391:G394)</f>
        <v>0</v>
      </c>
    </row>
    <row r="405" spans="1:7" ht="12.75">
      <c r="A405" s="37" t="e">
        <f>A404+1</f>
        <v>#REF!</v>
      </c>
      <c r="B405" s="357"/>
      <c r="C405" s="375"/>
      <c r="D405" s="254"/>
      <c r="E405" s="367"/>
      <c r="F405" s="428"/>
      <c r="G405" s="367"/>
    </row>
    <row r="406" spans="1:7" ht="12.75">
      <c r="A406" s="71"/>
      <c r="B406" s="191"/>
      <c r="C406" s="249"/>
      <c r="D406" s="253"/>
      <c r="E406" s="429"/>
      <c r="F406" s="423"/>
      <c r="G406" s="309"/>
    </row>
    <row r="407" spans="1:7" ht="12.75">
      <c r="A407" s="31" t="e">
        <f>A404+1</f>
        <v>#REF!</v>
      </c>
      <c r="B407" s="357"/>
      <c r="C407" s="375"/>
      <c r="D407" s="142"/>
      <c r="E407" s="270" t="e">
        <f>#REF!</f>
        <v>#REF!</v>
      </c>
      <c r="F407" s="430" t="e">
        <f>#REF!</f>
        <v>#REF!</v>
      </c>
      <c r="G407" s="367"/>
    </row>
    <row r="408" spans="1:7" ht="12.75">
      <c r="A408" s="37" t="e">
        <f>A404+1</f>
        <v>#REF!</v>
      </c>
      <c r="B408" s="357"/>
      <c r="C408" s="375"/>
      <c r="D408" s="252"/>
      <c r="E408" s="270" t="e">
        <f>#REF!</f>
        <v>#REF!</v>
      </c>
      <c r="F408" s="270" t="e">
        <f>#REF!</f>
        <v>#REF!</v>
      </c>
      <c r="G408" s="431"/>
    </row>
    <row r="409" spans="1:7" ht="12.75">
      <c r="A409" s="274"/>
      <c r="B409" s="275"/>
      <c r="C409" s="275"/>
      <c r="D409" s="275"/>
      <c r="E409" s="275"/>
      <c r="F409" s="275"/>
      <c r="G409" s="275"/>
    </row>
    <row r="410" spans="1:7" ht="12.75">
      <c r="A410" s="275"/>
      <c r="B410" s="275"/>
      <c r="C410" s="275"/>
      <c r="D410" s="275"/>
      <c r="E410" s="275"/>
      <c r="F410" s="275"/>
      <c r="G410" s="275"/>
    </row>
  </sheetData>
  <conditionalFormatting sqref="F9:F34 B9:B15 D47 B16:C16 B35:C37 D43 D45 D55 D52:D53 B20:B24 C9:C14 B28:C31 B129:B148">
    <cfRule type="expression" priority="1" dxfId="0" stopIfTrue="1">
      <formula>$F$2=TRUE</formula>
    </cfRule>
  </conditionalFormatting>
  <conditionalFormatting sqref="D51 D44">
    <cfRule type="expression" priority="2" dxfId="1" stopIfTrue="1">
      <formula>$J$2=TRUE</formula>
    </cfRule>
  </conditionalFormatting>
  <conditionalFormatting sqref="H80:I85 B64:F73 H64:I73 G75:I75 B80:F85 D95 G92:H112 H114 C92:D94 G118:H122 B310:B315 F310:F314 B292:C304 D320 E391:E394 E407:F408 E398:F403">
    <cfRule type="expression" priority="3" dxfId="0" stopIfTrue="1">
      <formula>$E$2=TRUE</formula>
    </cfRule>
  </conditionalFormatting>
  <conditionalFormatting sqref="G64:G73 G80:G85 C97">
    <cfRule type="expression" priority="4" dxfId="1" stopIfTrue="1">
      <formula>$I$2=TRUE</formula>
    </cfRule>
  </conditionalFormatting>
  <conditionalFormatting sqref="B327:O346">
    <cfRule type="expression" priority="5" dxfId="0" stopIfTrue="1">
      <formula>$G$2=TRUE</formula>
    </cfRule>
  </conditionalFormatting>
  <conditionalFormatting sqref="F170:F171 F182 F157:F166 C157:C162 F193 F206 E195 F196 F200:F204 F211 D213 C178:E178 F176:F178 C176:E176">
    <cfRule type="expression" priority="6" dxfId="1" stopIfTrue="1">
      <formula>$E$2=TRUE</formula>
    </cfRule>
  </conditionalFormatting>
  <conditionalFormatting sqref="C163:C166 F181 E164:E165 E168:F168 E379:E382 E159:E162 C245:C259 G262 D247:D258 C268:C282 C284:C285 D268 D283 C356:D368 E375:E377 D292:D304">
    <cfRule type="expression" priority="7" dxfId="0" stopIfTrue="1">
      <formula>$C$2=TRUE</formula>
    </cfRule>
  </conditionalFormatting>
  <conditionalFormatting sqref="E405 C193:C196 C211:C213 D224:D235 E395 G405 G407:G408">
    <cfRule type="expression" priority="8" dxfId="1" stopIfTrue="1">
      <formula>$F$2=TRUE</formula>
    </cfRule>
  </conditionalFormatting>
  <conditionalFormatting sqref="E194 D200:E203 C204:E204 C207:F207 D211:E211 D212 E224:E235 C223:C235 D223">
    <cfRule type="expression" priority="9" dxfId="0" stopIfTrue="1">
      <formula>$D$2=TRUE</formula>
    </cfRule>
  </conditionalFormatting>
  <conditionalFormatting sqref="C310:C315 D319">
    <cfRule type="expression" priority="10" dxfId="1" stopIfTrue="1">
      <formula>$H$2=TRUE</formula>
    </cfRule>
  </conditionalFormatting>
  <conditionalFormatting sqref="E356:E368 E374">
    <cfRule type="expression" priority="11" dxfId="1" stopIfTrue="1">
      <formula>$D$2=TRUE</formula>
    </cfRule>
  </conditionalFormatting>
  <conditionalFormatting sqref="E157">
    <cfRule type="expression" priority="12" dxfId="0" stopIfTrue="1">
      <formula>$C$2=TRUE</formula>
    </cfRule>
  </conditionalFormatting>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Blad13"/>
  <dimension ref="A1:P38"/>
  <sheetViews>
    <sheetView showGridLines="0" showRowColHeaders="0" showZeros="0" showOutlineSymbols="0" view="pageBreakPreview" zoomScale="75" zoomScaleNormal="86" zoomScaleSheetLayoutView="75" workbookViewId="0" topLeftCell="A1">
      <selection activeCell="B8" sqref="B8:F8"/>
    </sheetView>
  </sheetViews>
  <sheetFormatPr defaultColWidth="9.140625" defaultRowHeight="12.75"/>
  <cols>
    <col min="1" max="1" width="5.7109375" style="465" customWidth="1"/>
    <col min="2" max="2" width="14.421875" style="458" customWidth="1"/>
    <col min="3" max="4" width="10.421875" style="458" customWidth="1"/>
    <col min="5" max="5" width="10.57421875" style="458" customWidth="1"/>
    <col min="6" max="6" width="11.28125" style="458" customWidth="1"/>
    <col min="7" max="7" width="0.85546875" style="456" customWidth="1"/>
    <col min="8" max="8" width="5.7109375" style="465" customWidth="1"/>
    <col min="9" max="9" width="14.7109375" style="458" customWidth="1"/>
    <col min="10" max="10" width="11.28125" style="458" customWidth="1"/>
    <col min="11" max="12" width="10.7109375" style="458" customWidth="1"/>
    <col min="13" max="13" width="11.28125" style="458" customWidth="1"/>
    <col min="14" max="16384" width="9.140625" style="456" customWidth="1"/>
  </cols>
  <sheetData>
    <row r="1" spans="1:13" ht="15.75" customHeight="1">
      <c r="A1" s="623"/>
      <c r="B1" s="42"/>
      <c r="C1" s="42"/>
      <c r="D1" s="42"/>
      <c r="E1" s="42"/>
      <c r="F1" s="42"/>
      <c r="G1" s="570"/>
      <c r="H1" s="623"/>
      <c r="I1" s="42"/>
      <c r="J1" s="42"/>
      <c r="K1" s="42"/>
      <c r="L1" s="42"/>
      <c r="M1" s="42"/>
    </row>
    <row r="2" spans="1:13" s="501" customFormat="1" ht="15.75" customHeight="1">
      <c r="A2" s="1022" t="str">
        <f>CONCATENATE("Nacalculatieformulier ",Voorblad!D3)</f>
        <v>Nacalculatieformulier 2005</v>
      </c>
      <c r="B2" s="599"/>
      <c r="C2" s="601"/>
      <c r="D2" s="602"/>
      <c r="E2" s="602"/>
      <c r="F2" s="602"/>
      <c r="G2" s="602" t="b">
        <f>Voorblad!D30</f>
        <v>1</v>
      </c>
      <c r="H2" s="602"/>
      <c r="I2" s="602"/>
      <c r="J2" s="602">
        <f>Voorblad!I30</f>
        <v>0</v>
      </c>
      <c r="K2" s="602"/>
      <c r="L2" s="795"/>
      <c r="M2" s="598">
        <f>Afschrijvingen!I2+1</f>
        <v>12</v>
      </c>
    </row>
    <row r="3" spans="1:13" s="501" customFormat="1" ht="15.75" customHeight="1">
      <c r="A3" s="596"/>
      <c r="B3" s="91"/>
      <c r="C3" s="593"/>
      <c r="D3" s="594"/>
      <c r="E3" s="594"/>
      <c r="F3" s="594"/>
      <c r="G3" s="594"/>
      <c r="H3" s="594"/>
      <c r="I3" s="594"/>
      <c r="J3" s="594"/>
      <c r="K3" s="594"/>
      <c r="L3" s="594"/>
      <c r="M3" s="595"/>
    </row>
    <row r="4" spans="1:13" ht="12.75" customHeight="1">
      <c r="A4" s="623"/>
      <c r="B4" s="42"/>
      <c r="C4" s="42"/>
      <c r="D4" s="42"/>
      <c r="E4" s="42"/>
      <c r="F4" s="42"/>
      <c r="G4" s="570"/>
      <c r="H4" s="623"/>
      <c r="I4" s="42"/>
      <c r="J4" s="42"/>
      <c r="K4" s="42"/>
      <c r="L4" s="42"/>
      <c r="M4" s="42"/>
    </row>
    <row r="5" spans="1:13" ht="12.75" customHeight="1">
      <c r="A5" s="14" t="s">
        <v>18</v>
      </c>
      <c r="B5" s="626" t="s">
        <v>140</v>
      </c>
      <c r="C5" s="627"/>
      <c r="D5" s="42"/>
      <c r="E5" s="42"/>
      <c r="F5" s="42"/>
      <c r="G5" s="570"/>
      <c r="H5" s="623"/>
      <c r="I5" s="42"/>
      <c r="J5" s="42"/>
      <c r="K5" s="42"/>
      <c r="L5" s="42"/>
      <c r="M5" s="42"/>
    </row>
    <row r="6" spans="1:13" ht="12.75" customHeight="1">
      <c r="A6" s="14"/>
      <c r="B6" s="626"/>
      <c r="C6" s="627"/>
      <c r="D6" s="42"/>
      <c r="E6" s="42"/>
      <c r="F6" s="42"/>
      <c r="G6" s="570"/>
      <c r="H6" s="623"/>
      <c r="I6" s="42"/>
      <c r="J6" s="42"/>
      <c r="K6" s="42"/>
      <c r="L6" s="42"/>
      <c r="M6" s="42"/>
    </row>
    <row r="7" spans="1:13" ht="12.75" customHeight="1">
      <c r="A7" s="623"/>
      <c r="B7" s="1358" t="s">
        <v>85</v>
      </c>
      <c r="C7" s="1359"/>
      <c r="D7" s="1359"/>
      <c r="E7" s="1359"/>
      <c r="F7" s="1360"/>
      <c r="G7" s="570"/>
      <c r="H7" s="623"/>
      <c r="I7" s="1358" t="s">
        <v>89</v>
      </c>
      <c r="J7" s="1359"/>
      <c r="K7" s="1359"/>
      <c r="L7" s="1359"/>
      <c r="M7" s="1360"/>
    </row>
    <row r="8" spans="1:13" ht="12.75" customHeight="1">
      <c r="A8" s="1166">
        <f>(100*M2)+1</f>
        <v>1201</v>
      </c>
      <c r="B8" s="1365"/>
      <c r="C8" s="1366"/>
      <c r="D8" s="1366"/>
      <c r="E8" s="1366"/>
      <c r="F8" s="1367"/>
      <c r="H8" s="1163">
        <f>A36+1</f>
        <v>1221</v>
      </c>
      <c r="I8" s="1365"/>
      <c r="J8" s="1366"/>
      <c r="K8" s="1366"/>
      <c r="L8" s="1366"/>
      <c r="M8" s="1367"/>
    </row>
    <row r="9" spans="1:13" s="501" customFormat="1" ht="12.75" customHeight="1">
      <c r="A9" s="1175"/>
      <c r="B9" s="1368" t="s">
        <v>84</v>
      </c>
      <c r="C9" s="1369"/>
      <c r="D9" s="628" t="s">
        <v>406</v>
      </c>
      <c r="E9" s="1356" t="s">
        <v>86</v>
      </c>
      <c r="F9" s="1357"/>
      <c r="G9" s="92"/>
      <c r="H9" s="1172"/>
      <c r="I9" s="1368" t="s">
        <v>84</v>
      </c>
      <c r="J9" s="1369"/>
      <c r="K9" s="628" t="s">
        <v>406</v>
      </c>
      <c r="L9" s="1356" t="s">
        <v>86</v>
      </c>
      <c r="M9" s="1357"/>
    </row>
    <row r="10" spans="1:13" s="501" customFormat="1" ht="12.75" customHeight="1">
      <c r="A10" s="1166">
        <f>A8+1</f>
        <v>1202</v>
      </c>
      <c r="B10" s="1372"/>
      <c r="C10" s="1373"/>
      <c r="D10" s="552"/>
      <c r="E10" s="1370"/>
      <c r="F10" s="1371"/>
      <c r="G10" s="563"/>
      <c r="H10" s="1163">
        <f>H8+1</f>
        <v>1222</v>
      </c>
      <c r="I10" s="1372"/>
      <c r="J10" s="1373"/>
      <c r="K10" s="552"/>
      <c r="L10" s="1370"/>
      <c r="M10" s="1371"/>
    </row>
    <row r="11" spans="1:13" s="501" customFormat="1" ht="12.75" customHeight="1">
      <c r="A11" s="1166">
        <f>A10+1</f>
        <v>1203</v>
      </c>
      <c r="B11" s="1361"/>
      <c r="C11" s="1362"/>
      <c r="D11" s="553"/>
      <c r="E11" s="1363"/>
      <c r="F11" s="1364"/>
      <c r="G11" s="563"/>
      <c r="H11" s="1163">
        <f>H10+1</f>
        <v>1223</v>
      </c>
      <c r="I11" s="1361"/>
      <c r="J11" s="1362"/>
      <c r="K11" s="553"/>
      <c r="L11" s="1363"/>
      <c r="M11" s="1364"/>
    </row>
    <row r="12" spans="1:13" s="952" customFormat="1" ht="12.75" customHeight="1">
      <c r="A12" s="946"/>
      <c r="B12" s="947"/>
      <c r="C12" s="1376" t="s">
        <v>236</v>
      </c>
      <c r="D12" s="1377"/>
      <c r="E12" s="657" t="s">
        <v>235</v>
      </c>
      <c r="F12" s="657" t="s">
        <v>433</v>
      </c>
      <c r="G12" s="951"/>
      <c r="H12" s="946"/>
      <c r="I12" s="947"/>
      <c r="J12" s="1376" t="s">
        <v>236</v>
      </c>
      <c r="K12" s="1377"/>
      <c r="L12" s="657" t="s">
        <v>235</v>
      </c>
      <c r="M12" s="657" t="s">
        <v>433</v>
      </c>
    </row>
    <row r="13" spans="1:13" s="952" customFormat="1" ht="12.75" customHeight="1">
      <c r="A13" s="946"/>
      <c r="B13" s="949"/>
      <c r="C13" s="1378" t="s">
        <v>237</v>
      </c>
      <c r="D13" s="1379"/>
      <c r="E13" s="950" t="s">
        <v>113</v>
      </c>
      <c r="F13" s="950">
        <f>Voorblad!D3</f>
        <v>2005</v>
      </c>
      <c r="G13" s="951"/>
      <c r="H13" s="946"/>
      <c r="I13" s="949"/>
      <c r="J13" s="1378" t="s">
        <v>237</v>
      </c>
      <c r="K13" s="1379"/>
      <c r="L13" s="950" t="s">
        <v>113</v>
      </c>
      <c r="M13" s="950">
        <f>F13</f>
        <v>2005</v>
      </c>
    </row>
    <row r="14" spans="1:13" ht="12.75" customHeight="1">
      <c r="A14" s="1163">
        <f>A11+1</f>
        <v>1204</v>
      </c>
      <c r="B14" s="861" t="s">
        <v>230</v>
      </c>
      <c r="C14" s="1380"/>
      <c r="D14" s="1381"/>
      <c r="E14" s="567"/>
      <c r="F14" s="567"/>
      <c r="H14" s="1163">
        <f>H11+1</f>
        <v>1224</v>
      </c>
      <c r="I14" s="861" t="s">
        <v>230</v>
      </c>
      <c r="J14" s="1380"/>
      <c r="K14" s="1381"/>
      <c r="L14" s="567"/>
      <c r="M14" s="567"/>
    </row>
    <row r="15" spans="1:13" ht="12.75" customHeight="1">
      <c r="A15" s="1163">
        <f aca="true" t="shared" si="0" ref="A15:A20">A14+1</f>
        <v>1205</v>
      </c>
      <c r="B15" s="861" t="s">
        <v>4</v>
      </c>
      <c r="C15" s="1374"/>
      <c r="D15" s="1375"/>
      <c r="E15" s="568"/>
      <c r="F15" s="568"/>
      <c r="H15" s="1163">
        <f aca="true" t="shared" si="1" ref="H15:H20">H14+1</f>
        <v>1225</v>
      </c>
      <c r="I15" s="861" t="s">
        <v>4</v>
      </c>
      <c r="J15" s="1374"/>
      <c r="K15" s="1375"/>
      <c r="L15" s="568"/>
      <c r="M15" s="568"/>
    </row>
    <row r="16" spans="1:13" ht="12.75" customHeight="1">
      <c r="A16" s="1163">
        <f t="shared" si="0"/>
        <v>1206</v>
      </c>
      <c r="B16" s="861" t="s">
        <v>231</v>
      </c>
      <c r="C16" s="1374"/>
      <c r="D16" s="1375"/>
      <c r="E16" s="568"/>
      <c r="F16" s="568"/>
      <c r="H16" s="1163">
        <f t="shared" si="1"/>
        <v>1226</v>
      </c>
      <c r="I16" s="861" t="s">
        <v>231</v>
      </c>
      <c r="J16" s="1374"/>
      <c r="K16" s="1375"/>
      <c r="L16" s="568"/>
      <c r="M16" s="568"/>
    </row>
    <row r="17" spans="1:13" ht="12.75" customHeight="1">
      <c r="A17" s="1163">
        <f t="shared" si="0"/>
        <v>1207</v>
      </c>
      <c r="B17" s="861" t="s">
        <v>115</v>
      </c>
      <c r="C17" s="1374"/>
      <c r="D17" s="1375"/>
      <c r="E17" s="568"/>
      <c r="F17" s="568"/>
      <c r="H17" s="1163">
        <f t="shared" si="1"/>
        <v>1227</v>
      </c>
      <c r="I17" s="861" t="s">
        <v>115</v>
      </c>
      <c r="J17" s="1374"/>
      <c r="K17" s="1375"/>
      <c r="L17" s="568"/>
      <c r="M17" s="568"/>
    </row>
    <row r="18" spans="1:13" ht="12.75" customHeight="1">
      <c r="A18" s="1163">
        <f t="shared" si="0"/>
        <v>1208</v>
      </c>
      <c r="B18" s="861" t="s">
        <v>223</v>
      </c>
      <c r="C18" s="1374"/>
      <c r="D18" s="1375"/>
      <c r="E18" s="568"/>
      <c r="F18" s="568"/>
      <c r="H18" s="1163">
        <f t="shared" si="1"/>
        <v>1228</v>
      </c>
      <c r="I18" s="861" t="s">
        <v>223</v>
      </c>
      <c r="J18" s="1374"/>
      <c r="K18" s="1375"/>
      <c r="L18" s="568"/>
      <c r="M18" s="568"/>
    </row>
    <row r="19" spans="1:13" ht="12.75" customHeight="1">
      <c r="A19" s="1163">
        <f t="shared" si="0"/>
        <v>1209</v>
      </c>
      <c r="B19" s="861" t="s">
        <v>394</v>
      </c>
      <c r="C19" s="1374"/>
      <c r="D19" s="1375"/>
      <c r="E19" s="568"/>
      <c r="F19" s="568"/>
      <c r="H19" s="1163">
        <f t="shared" si="1"/>
        <v>1229</v>
      </c>
      <c r="I19" s="861" t="s">
        <v>394</v>
      </c>
      <c r="J19" s="1374"/>
      <c r="K19" s="1375"/>
      <c r="L19" s="568"/>
      <c r="M19" s="568"/>
    </row>
    <row r="20" spans="1:13" ht="12.75" customHeight="1">
      <c r="A20" s="1163">
        <f t="shared" si="0"/>
        <v>1210</v>
      </c>
      <c r="B20" s="745" t="s">
        <v>445</v>
      </c>
      <c r="C20" s="1382">
        <f>SUM(C14:C19)</f>
        <v>0</v>
      </c>
      <c r="D20" s="1383"/>
      <c r="E20" s="746">
        <f>SUM(E14:E19)</f>
        <v>0</v>
      </c>
      <c r="F20" s="746">
        <f>SUM(F14:F19)</f>
        <v>0</v>
      </c>
      <c r="H20" s="1163">
        <f t="shared" si="1"/>
        <v>1230</v>
      </c>
      <c r="I20" s="745" t="s">
        <v>445</v>
      </c>
      <c r="J20" s="1382">
        <f>SUM(J14:K19)</f>
        <v>0</v>
      </c>
      <c r="K20" s="1383"/>
      <c r="L20" s="746">
        <f>SUM(L14:L19)</f>
        <v>0</v>
      </c>
      <c r="M20" s="746">
        <f>SUM(M14:M19)</f>
        <v>0</v>
      </c>
    </row>
    <row r="21" spans="1:13" s="484" customFormat="1" ht="12.75" customHeight="1">
      <c r="A21" s="1173"/>
      <c r="B21" s="761"/>
      <c r="C21" s="944"/>
      <c r="D21" s="944"/>
      <c r="E21" s="945"/>
      <c r="F21" s="945"/>
      <c r="H21" s="1173"/>
      <c r="I21" s="761"/>
      <c r="J21" s="944"/>
      <c r="K21" s="944"/>
      <c r="L21" s="945"/>
      <c r="M21" s="945"/>
    </row>
    <row r="22" spans="1:13" ht="12">
      <c r="A22" s="1174"/>
      <c r="B22" s="42"/>
      <c r="C22" s="42"/>
      <c r="D22" s="42"/>
      <c r="E22" s="42"/>
      <c r="F22" s="42"/>
      <c r="G22" s="570"/>
      <c r="H22" s="1174"/>
      <c r="I22" s="42"/>
      <c r="J22" s="42"/>
      <c r="K22" s="42"/>
      <c r="L22" s="42"/>
      <c r="M22" s="42"/>
    </row>
    <row r="23" spans="1:13" ht="12.75" customHeight="1">
      <c r="A23" s="1174"/>
      <c r="B23" s="1358" t="s">
        <v>87</v>
      </c>
      <c r="C23" s="1359"/>
      <c r="D23" s="1359"/>
      <c r="E23" s="1359"/>
      <c r="F23" s="1360"/>
      <c r="G23" s="570"/>
      <c r="H23" s="1174"/>
      <c r="I23" s="1358" t="s">
        <v>88</v>
      </c>
      <c r="J23" s="1359"/>
      <c r="K23" s="1359"/>
      <c r="L23" s="1359"/>
      <c r="M23" s="1360"/>
    </row>
    <row r="24" spans="1:13" ht="12.75" customHeight="1">
      <c r="A24" s="1163">
        <f>A20+1</f>
        <v>1211</v>
      </c>
      <c r="B24" s="1365"/>
      <c r="C24" s="1366"/>
      <c r="D24" s="1366"/>
      <c r="E24" s="1366"/>
      <c r="F24" s="1367"/>
      <c r="H24" s="1163">
        <f>H20+1</f>
        <v>1231</v>
      </c>
      <c r="I24" s="1365"/>
      <c r="J24" s="1366"/>
      <c r="K24" s="1366"/>
      <c r="L24" s="1366"/>
      <c r="M24" s="1367"/>
    </row>
    <row r="25" spans="1:13" ht="12.75" customHeight="1">
      <c r="A25" s="1172"/>
      <c r="B25" s="1368" t="s">
        <v>84</v>
      </c>
      <c r="C25" s="1369"/>
      <c r="D25" s="628" t="s">
        <v>406</v>
      </c>
      <c r="E25" s="1356" t="s">
        <v>86</v>
      </c>
      <c r="F25" s="1357"/>
      <c r="G25" s="570"/>
      <c r="H25" s="1172"/>
      <c r="I25" s="1368" t="s">
        <v>84</v>
      </c>
      <c r="J25" s="1369"/>
      <c r="K25" s="628" t="s">
        <v>406</v>
      </c>
      <c r="L25" s="1356" t="s">
        <v>86</v>
      </c>
      <c r="M25" s="1357"/>
    </row>
    <row r="26" spans="1:13" ht="12.75" customHeight="1">
      <c r="A26" s="1163">
        <f>A24+1</f>
        <v>1212</v>
      </c>
      <c r="B26" s="1372"/>
      <c r="C26" s="1373"/>
      <c r="D26" s="552"/>
      <c r="E26" s="1370"/>
      <c r="F26" s="1371"/>
      <c r="H26" s="1163">
        <f>H24+1</f>
        <v>1232</v>
      </c>
      <c r="I26" s="1372"/>
      <c r="J26" s="1373"/>
      <c r="K26" s="552"/>
      <c r="L26" s="1370"/>
      <c r="M26" s="1371"/>
    </row>
    <row r="27" spans="1:13" ht="12.75" customHeight="1">
      <c r="A27" s="1163">
        <f>A26+1</f>
        <v>1213</v>
      </c>
      <c r="B27" s="1361"/>
      <c r="C27" s="1362"/>
      <c r="D27" s="553"/>
      <c r="E27" s="1363"/>
      <c r="F27" s="1364"/>
      <c r="H27" s="1163">
        <f>H26+1</f>
        <v>1233</v>
      </c>
      <c r="I27" s="1361"/>
      <c r="J27" s="1362"/>
      <c r="K27" s="553"/>
      <c r="L27" s="1363"/>
      <c r="M27" s="1364"/>
    </row>
    <row r="28" spans="1:13" s="948" customFormat="1" ht="12.75" customHeight="1">
      <c r="A28" s="946"/>
      <c r="B28" s="947"/>
      <c r="C28" s="1376" t="s">
        <v>236</v>
      </c>
      <c r="D28" s="1377"/>
      <c r="E28" s="657" t="s">
        <v>235</v>
      </c>
      <c r="F28" s="657" t="s">
        <v>433</v>
      </c>
      <c r="G28" s="185"/>
      <c r="H28" s="946"/>
      <c r="I28" s="947"/>
      <c r="J28" s="1376" t="s">
        <v>236</v>
      </c>
      <c r="K28" s="1377"/>
      <c r="L28" s="657" t="s">
        <v>235</v>
      </c>
      <c r="M28" s="657" t="s">
        <v>433</v>
      </c>
    </row>
    <row r="29" spans="1:13" s="948" customFormat="1" ht="12.75" customHeight="1">
      <c r="A29" s="946"/>
      <c r="B29" s="949"/>
      <c r="C29" s="1378" t="s">
        <v>237</v>
      </c>
      <c r="D29" s="1379"/>
      <c r="E29" s="950" t="s">
        <v>113</v>
      </c>
      <c r="F29" s="950">
        <f>F13</f>
        <v>2005</v>
      </c>
      <c r="G29" s="185"/>
      <c r="H29" s="946"/>
      <c r="I29" s="949"/>
      <c r="J29" s="1378" t="s">
        <v>237</v>
      </c>
      <c r="K29" s="1379"/>
      <c r="L29" s="950" t="s">
        <v>113</v>
      </c>
      <c r="M29" s="950">
        <f>F13</f>
        <v>2005</v>
      </c>
    </row>
    <row r="30" spans="1:13" ht="12.75" customHeight="1">
      <c r="A30" s="1163">
        <f>A27+1</f>
        <v>1214</v>
      </c>
      <c r="B30" s="861" t="s">
        <v>230</v>
      </c>
      <c r="C30" s="1380"/>
      <c r="D30" s="1381"/>
      <c r="E30" s="567"/>
      <c r="F30" s="567"/>
      <c r="H30" s="1163">
        <f>H27+1</f>
        <v>1234</v>
      </c>
      <c r="I30" s="861" t="s">
        <v>230</v>
      </c>
      <c r="J30" s="1380"/>
      <c r="K30" s="1381"/>
      <c r="L30" s="567"/>
      <c r="M30" s="567"/>
    </row>
    <row r="31" spans="1:13" ht="12.75" customHeight="1">
      <c r="A31" s="1163">
        <f aca="true" t="shared" si="2" ref="A31:A36">A30+1</f>
        <v>1215</v>
      </c>
      <c r="B31" s="861" t="s">
        <v>4</v>
      </c>
      <c r="C31" s="1374"/>
      <c r="D31" s="1375"/>
      <c r="E31" s="568"/>
      <c r="F31" s="568"/>
      <c r="H31" s="1163">
        <f aca="true" t="shared" si="3" ref="H31:H36">H30+1</f>
        <v>1235</v>
      </c>
      <c r="I31" s="861" t="s">
        <v>4</v>
      </c>
      <c r="J31" s="1374"/>
      <c r="K31" s="1375"/>
      <c r="L31" s="568"/>
      <c r="M31" s="568"/>
    </row>
    <row r="32" spans="1:13" ht="12.75" customHeight="1">
      <c r="A32" s="1163">
        <f t="shared" si="2"/>
        <v>1216</v>
      </c>
      <c r="B32" s="861" t="s">
        <v>231</v>
      </c>
      <c r="C32" s="1374"/>
      <c r="D32" s="1375"/>
      <c r="E32" s="568"/>
      <c r="F32" s="568"/>
      <c r="H32" s="1163">
        <f t="shared" si="3"/>
        <v>1236</v>
      </c>
      <c r="I32" s="861" t="s">
        <v>231</v>
      </c>
      <c r="J32" s="1374"/>
      <c r="K32" s="1375"/>
      <c r="L32" s="568"/>
      <c r="M32" s="568"/>
    </row>
    <row r="33" spans="1:13" ht="12" customHeight="1">
      <c r="A33" s="1163">
        <f t="shared" si="2"/>
        <v>1217</v>
      </c>
      <c r="B33" s="861" t="s">
        <v>115</v>
      </c>
      <c r="C33" s="1374"/>
      <c r="D33" s="1375"/>
      <c r="E33" s="568"/>
      <c r="F33" s="568"/>
      <c r="H33" s="1163">
        <f t="shared" si="3"/>
        <v>1237</v>
      </c>
      <c r="I33" s="861" t="s">
        <v>115</v>
      </c>
      <c r="J33" s="1374"/>
      <c r="K33" s="1375"/>
      <c r="L33" s="568"/>
      <c r="M33" s="568"/>
    </row>
    <row r="34" spans="1:13" ht="12.75" customHeight="1">
      <c r="A34" s="1163">
        <f t="shared" si="2"/>
        <v>1218</v>
      </c>
      <c r="B34" s="861" t="s">
        <v>223</v>
      </c>
      <c r="C34" s="1374"/>
      <c r="D34" s="1375"/>
      <c r="E34" s="568"/>
      <c r="F34" s="568"/>
      <c r="H34" s="1163">
        <f t="shared" si="3"/>
        <v>1238</v>
      </c>
      <c r="I34" s="861" t="s">
        <v>223</v>
      </c>
      <c r="J34" s="1374"/>
      <c r="K34" s="1375"/>
      <c r="L34" s="568"/>
      <c r="M34" s="568"/>
    </row>
    <row r="35" spans="1:13" ht="12.75" customHeight="1">
      <c r="A35" s="1163">
        <f t="shared" si="2"/>
        <v>1219</v>
      </c>
      <c r="B35" s="861" t="s">
        <v>394</v>
      </c>
      <c r="C35" s="1374"/>
      <c r="D35" s="1375"/>
      <c r="E35" s="568"/>
      <c r="F35" s="568"/>
      <c r="H35" s="1163">
        <f t="shared" si="3"/>
        <v>1239</v>
      </c>
      <c r="I35" s="861" t="s">
        <v>394</v>
      </c>
      <c r="J35" s="1374"/>
      <c r="K35" s="1375"/>
      <c r="L35" s="568"/>
      <c r="M35" s="568"/>
    </row>
    <row r="36" spans="1:13" ht="12.75" customHeight="1">
      <c r="A36" s="1163">
        <f t="shared" si="2"/>
        <v>1220</v>
      </c>
      <c r="B36" s="745" t="s">
        <v>445</v>
      </c>
      <c r="C36" s="1382">
        <f>SUM(C30:D35)</f>
        <v>0</v>
      </c>
      <c r="D36" s="1383"/>
      <c r="E36" s="746">
        <f>SUM(E30:E35)</f>
        <v>0</v>
      </c>
      <c r="F36" s="746">
        <f>SUM(F30:F35)</f>
        <v>0</v>
      </c>
      <c r="H36" s="1163">
        <f t="shared" si="3"/>
        <v>1240</v>
      </c>
      <c r="I36" s="745" t="s">
        <v>445</v>
      </c>
      <c r="J36" s="1382">
        <f>SUM(J30:K35)</f>
        <v>0</v>
      </c>
      <c r="K36" s="1383"/>
      <c r="L36" s="746">
        <f>SUM(L30:L35)</f>
        <v>0</v>
      </c>
      <c r="M36" s="746">
        <f>SUM(M30:M35)</f>
        <v>0</v>
      </c>
    </row>
    <row r="37" spans="1:15" ht="12.75">
      <c r="A37" s="1167"/>
      <c r="B37"/>
      <c r="C37"/>
      <c r="D37"/>
      <c r="E37"/>
      <c r="F37"/>
      <c r="G37"/>
      <c r="H37" s="1167"/>
      <c r="I37"/>
      <c r="J37"/>
      <c r="K37"/>
      <c r="L37"/>
      <c r="M37"/>
      <c r="N37"/>
      <c r="O37"/>
    </row>
    <row r="38" spans="1:16" ht="12.75">
      <c r="A38"/>
      <c r="B38"/>
      <c r="C38"/>
      <c r="D38"/>
      <c r="E38"/>
      <c r="F38"/>
      <c r="G38"/>
      <c r="H38" s="1163">
        <f>H36+1</f>
        <v>1241</v>
      </c>
      <c r="I38" s="942" t="s">
        <v>445</v>
      </c>
      <c r="J38" s="1354">
        <f>C20+J20+C36+J36</f>
        <v>0</v>
      </c>
      <c r="K38" s="1355"/>
      <c r="L38" s="1168">
        <f>E20+L20+E36+L36</f>
        <v>0</v>
      </c>
      <c r="M38" s="1168">
        <f>F20+M20+F36+M36</f>
        <v>0</v>
      </c>
      <c r="N38"/>
      <c r="O38"/>
      <c r="P38"/>
    </row>
  </sheetData>
  <sheetProtection password="CCBC" sheet="1" objects="1" scenarios="1"/>
  <mergeCells count="69">
    <mergeCell ref="J33:K33"/>
    <mergeCell ref="J34:K34"/>
    <mergeCell ref="J35:K35"/>
    <mergeCell ref="J36:K36"/>
    <mergeCell ref="J19:K19"/>
    <mergeCell ref="J20:K20"/>
    <mergeCell ref="C30:D30"/>
    <mergeCell ref="C31:D31"/>
    <mergeCell ref="J30:K30"/>
    <mergeCell ref="J31:K31"/>
    <mergeCell ref="C29:D29"/>
    <mergeCell ref="C20:D20"/>
    <mergeCell ref="I27:J27"/>
    <mergeCell ref="B26:C26"/>
    <mergeCell ref="J15:K15"/>
    <mergeCell ref="J16:K16"/>
    <mergeCell ref="J17:K17"/>
    <mergeCell ref="J18:K18"/>
    <mergeCell ref="J32:K32"/>
    <mergeCell ref="E25:F25"/>
    <mergeCell ref="J28:K28"/>
    <mergeCell ref="J29:K29"/>
    <mergeCell ref="C17:D17"/>
    <mergeCell ref="C18:D18"/>
    <mergeCell ref="C19:D19"/>
    <mergeCell ref="C36:D36"/>
    <mergeCell ref="C28:D28"/>
    <mergeCell ref="C32:D32"/>
    <mergeCell ref="C33:D33"/>
    <mergeCell ref="C34:D34"/>
    <mergeCell ref="C35:D35"/>
    <mergeCell ref="L27:M27"/>
    <mergeCell ref="I23:M23"/>
    <mergeCell ref="I24:M24"/>
    <mergeCell ref="I25:J25"/>
    <mergeCell ref="L11:M11"/>
    <mergeCell ref="I26:J26"/>
    <mergeCell ref="L26:M26"/>
    <mergeCell ref="C12:D12"/>
    <mergeCell ref="C13:D13"/>
    <mergeCell ref="C14:D14"/>
    <mergeCell ref="J12:K12"/>
    <mergeCell ref="J13:K13"/>
    <mergeCell ref="J14:K14"/>
    <mergeCell ref="C16:D16"/>
    <mergeCell ref="B8:F8"/>
    <mergeCell ref="E26:F26"/>
    <mergeCell ref="E11:F11"/>
    <mergeCell ref="B23:F23"/>
    <mergeCell ref="B24:F24"/>
    <mergeCell ref="B25:C25"/>
    <mergeCell ref="B9:C9"/>
    <mergeCell ref="E9:F9"/>
    <mergeCell ref="C15:D15"/>
    <mergeCell ref="B11:C11"/>
    <mergeCell ref="L10:M10"/>
    <mergeCell ref="B10:C10"/>
    <mergeCell ref="E10:F10"/>
    <mergeCell ref="I10:J10"/>
    <mergeCell ref="J38:K38"/>
    <mergeCell ref="L25:M25"/>
    <mergeCell ref="B7:F7"/>
    <mergeCell ref="I11:J11"/>
    <mergeCell ref="B27:C27"/>
    <mergeCell ref="E27:F27"/>
    <mergeCell ref="I7:M7"/>
    <mergeCell ref="I8:M8"/>
    <mergeCell ref="I9:J9"/>
    <mergeCell ref="L9:M9"/>
  </mergeCells>
  <conditionalFormatting sqref="I26:I27 I24 B26:B27 B24 K26:M27 B8 D10:F11 B10:B11 K10:M11 I8 I10:I11 D26:F27 C14:C19 E14:F19 L30:M35 L14:M19 E30:F35 J14:J19 C30:C35 J30:J35">
    <cfRule type="expression" priority="1" dxfId="0" stopIfTrue="1">
      <formula>$G$2=TRUE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r:id="rId2"/>
  <headerFooter alignWithMargins="0">
    <oddHeader xml:space="preserve">&amp;R&amp;9 </oddHeader>
  </headerFooter>
  <drawing r:id="rId1"/>
</worksheet>
</file>

<file path=xl/worksheets/sheet11.xml><?xml version="1.0" encoding="utf-8"?>
<worksheet xmlns="http://schemas.openxmlformats.org/spreadsheetml/2006/main" xmlns:r="http://schemas.openxmlformats.org/officeDocument/2006/relationships">
  <sheetPr codeName="Blad14"/>
  <dimension ref="A1:J48"/>
  <sheetViews>
    <sheetView showGridLines="0" showRowColHeaders="0" showZeros="0" showOutlineSymbols="0" view="pageBreakPreview" zoomScale="75" zoomScaleNormal="86" zoomScaleSheetLayoutView="75" workbookViewId="0" topLeftCell="A1">
      <selection activeCell="B8" sqref="B8"/>
    </sheetView>
  </sheetViews>
  <sheetFormatPr defaultColWidth="9.140625" defaultRowHeight="12.75"/>
  <cols>
    <col min="1" max="1" width="5.7109375" style="465" customWidth="1"/>
    <col min="2" max="8" width="15.7109375" style="458" customWidth="1"/>
    <col min="9" max="9" width="13.7109375" style="458" customWidth="1"/>
    <col min="10" max="10" width="15.7109375" style="456" customWidth="1"/>
    <col min="11" max="15" width="10.7109375" style="456" customWidth="1"/>
    <col min="16" max="23" width="9.140625" style="456" customWidth="1"/>
    <col min="24" max="24" width="1.7109375" style="456" customWidth="1"/>
    <col min="25" max="16384" width="9.140625" style="456" customWidth="1"/>
  </cols>
  <sheetData>
    <row r="1" spans="1:10" ht="15.75" customHeight="1">
      <c r="A1" s="623"/>
      <c r="B1" s="42"/>
      <c r="C1" s="42"/>
      <c r="D1" s="42"/>
      <c r="E1" s="42"/>
      <c r="F1" s="42"/>
      <c r="G1" s="42"/>
      <c r="H1" s="42"/>
      <c r="I1" s="42"/>
      <c r="J1" s="570"/>
    </row>
    <row r="2" spans="1:9" s="501" customFormat="1" ht="15.75" customHeight="1">
      <c r="A2" s="584" t="str">
        <f>Inhoud!$A$2</f>
        <v>Nacalculatieformulier 2005</v>
      </c>
      <c r="B2" s="599"/>
      <c r="C2" s="601"/>
      <c r="D2" s="599"/>
      <c r="E2" s="599"/>
      <c r="F2" s="602" t="b">
        <f>Voorblad!D30</f>
        <v>1</v>
      </c>
      <c r="G2" s="602"/>
      <c r="H2" s="601"/>
      <c r="I2" s="598">
        <f>WZV!M2+1</f>
        <v>13</v>
      </c>
    </row>
    <row r="3" spans="1:10" ht="12.75" customHeight="1">
      <c r="A3" s="623"/>
      <c r="B3" s="42"/>
      <c r="C3" s="42"/>
      <c r="D3" s="42"/>
      <c r="E3" s="42"/>
      <c r="F3" s="42"/>
      <c r="G3" s="42"/>
      <c r="H3" s="42"/>
      <c r="I3" s="42"/>
      <c r="J3" s="570"/>
    </row>
    <row r="4" spans="1:9" s="501" customFormat="1" ht="12.75" customHeight="1">
      <c r="A4" s="14" t="s">
        <v>107</v>
      </c>
      <c r="B4" s="632" t="s">
        <v>539</v>
      </c>
      <c r="C4" s="92"/>
      <c r="D4" s="92"/>
      <c r="E4" s="92"/>
      <c r="F4" s="92"/>
      <c r="G4" s="92"/>
      <c r="H4" s="92"/>
      <c r="I4" s="92"/>
    </row>
    <row r="5" spans="1:8" s="501" customFormat="1" ht="12.75" customHeight="1">
      <c r="A5" s="633"/>
      <c r="B5" s="1384" t="s">
        <v>92</v>
      </c>
      <c r="C5" s="1385"/>
      <c r="D5" s="1386"/>
      <c r="E5" s="615" t="s">
        <v>334</v>
      </c>
      <c r="F5" s="1387" t="str">
        <f>CONCATENATE("In gebruik genomen ",Voorblad!D3)</f>
        <v>In gebruik genomen 2005</v>
      </c>
      <c r="G5" s="1388"/>
      <c r="H5" s="958" t="s">
        <v>239</v>
      </c>
    </row>
    <row r="6" spans="1:8" s="454" customFormat="1" ht="12.75" customHeight="1">
      <c r="A6" s="617"/>
      <c r="B6" s="956" t="s">
        <v>471</v>
      </c>
      <c r="C6" s="956" t="s">
        <v>144</v>
      </c>
      <c r="D6" s="956" t="s">
        <v>91</v>
      </c>
      <c r="E6" s="950" t="s">
        <v>493</v>
      </c>
      <c r="F6" s="957" t="s">
        <v>238</v>
      </c>
      <c r="G6" s="957" t="s">
        <v>540</v>
      </c>
      <c r="H6" s="954" t="s">
        <v>349</v>
      </c>
    </row>
    <row r="7" spans="1:9" ht="4.5" customHeight="1">
      <c r="A7" s="456"/>
      <c r="B7" s="471"/>
      <c r="C7" s="471"/>
      <c r="D7" s="472"/>
      <c r="E7" s="473"/>
      <c r="F7" s="473"/>
      <c r="G7" s="473"/>
      <c r="H7" s="473"/>
      <c r="I7" s="456"/>
    </row>
    <row r="8" spans="1:9" ht="12.75" customHeight="1">
      <c r="A8" s="1163">
        <f>(100*I2)+1</f>
        <v>1301</v>
      </c>
      <c r="B8" s="874"/>
      <c r="C8" s="876"/>
      <c r="D8" s="688"/>
      <c r="E8" s="688"/>
      <c r="F8" s="432"/>
      <c r="G8" s="908"/>
      <c r="H8" s="959">
        <f>0.05*G8</f>
        <v>0</v>
      </c>
      <c r="I8" s="456"/>
    </row>
    <row r="9" spans="1:9" ht="12.75" customHeight="1">
      <c r="A9" s="1163">
        <f>A8+1</f>
        <v>1302</v>
      </c>
      <c r="B9" s="747"/>
      <c r="C9" s="875"/>
      <c r="D9" s="688"/>
      <c r="E9" s="688"/>
      <c r="F9" s="432"/>
      <c r="G9" s="908"/>
      <c r="H9" s="959">
        <f aca="true" t="shared" si="0" ref="H9:H27">0.05*G9</f>
        <v>0</v>
      </c>
      <c r="I9" s="456"/>
    </row>
    <row r="10" spans="1:9" ht="12.75" customHeight="1">
      <c r="A10" s="1163">
        <f aca="true" t="shared" si="1" ref="A10:A21">A9+1</f>
        <v>1303</v>
      </c>
      <c r="B10" s="747"/>
      <c r="C10" s="479"/>
      <c r="D10" s="688"/>
      <c r="E10" s="688"/>
      <c r="F10" s="432"/>
      <c r="G10" s="908"/>
      <c r="H10" s="959">
        <f t="shared" si="0"/>
        <v>0</v>
      </c>
      <c r="I10" s="456"/>
    </row>
    <row r="11" spans="1:9" ht="12.75" customHeight="1">
      <c r="A11" s="1163">
        <f t="shared" si="1"/>
        <v>1304</v>
      </c>
      <c r="B11" s="747"/>
      <c r="C11" s="479"/>
      <c r="D11" s="688"/>
      <c r="E11" s="688"/>
      <c r="F11" s="432"/>
      <c r="G11" s="908"/>
      <c r="H11" s="959">
        <f t="shared" si="0"/>
        <v>0</v>
      </c>
      <c r="I11" s="456"/>
    </row>
    <row r="12" spans="1:9" ht="12.75" customHeight="1">
      <c r="A12" s="1163">
        <f t="shared" si="1"/>
        <v>1305</v>
      </c>
      <c r="B12" s="747"/>
      <c r="C12" s="479"/>
      <c r="D12" s="688"/>
      <c r="E12" s="688"/>
      <c r="F12" s="432"/>
      <c r="G12" s="908"/>
      <c r="H12" s="959">
        <f t="shared" si="0"/>
        <v>0</v>
      </c>
      <c r="I12" s="456"/>
    </row>
    <row r="13" spans="1:9" ht="12.75" customHeight="1">
      <c r="A13" s="1163">
        <f t="shared" si="1"/>
        <v>1306</v>
      </c>
      <c r="B13" s="747"/>
      <c r="C13" s="479"/>
      <c r="D13" s="688"/>
      <c r="E13" s="688"/>
      <c r="F13" s="432"/>
      <c r="G13" s="908"/>
      <c r="H13" s="959">
        <f t="shared" si="0"/>
        <v>0</v>
      </c>
      <c r="I13" s="456"/>
    </row>
    <row r="14" spans="1:9" ht="12.75" customHeight="1">
      <c r="A14" s="1163">
        <f t="shared" si="1"/>
        <v>1307</v>
      </c>
      <c r="B14" s="747"/>
      <c r="C14" s="479"/>
      <c r="D14" s="688"/>
      <c r="E14" s="688"/>
      <c r="F14" s="432"/>
      <c r="G14" s="908"/>
      <c r="H14" s="959">
        <f t="shared" si="0"/>
        <v>0</v>
      </c>
      <c r="I14" s="456"/>
    </row>
    <row r="15" spans="1:9" ht="12.75" customHeight="1">
      <c r="A15" s="1163">
        <f t="shared" si="1"/>
        <v>1308</v>
      </c>
      <c r="B15" s="747"/>
      <c r="C15" s="479"/>
      <c r="D15" s="688"/>
      <c r="E15" s="688"/>
      <c r="F15" s="432"/>
      <c r="G15" s="908"/>
      <c r="H15" s="959">
        <f t="shared" si="0"/>
        <v>0</v>
      </c>
      <c r="I15" s="456"/>
    </row>
    <row r="16" spans="1:9" ht="12.75" customHeight="1">
      <c r="A16" s="1163">
        <f t="shared" si="1"/>
        <v>1309</v>
      </c>
      <c r="B16" s="747"/>
      <c r="C16" s="479"/>
      <c r="D16" s="688"/>
      <c r="E16" s="688"/>
      <c r="F16" s="432"/>
      <c r="G16" s="908"/>
      <c r="H16" s="959">
        <f t="shared" si="0"/>
        <v>0</v>
      </c>
      <c r="I16" s="456"/>
    </row>
    <row r="17" spans="1:9" ht="12.75" customHeight="1">
      <c r="A17" s="1163">
        <f t="shared" si="1"/>
        <v>1310</v>
      </c>
      <c r="B17" s="747"/>
      <c r="C17" s="479"/>
      <c r="D17" s="688"/>
      <c r="E17" s="688"/>
      <c r="F17" s="432"/>
      <c r="G17" s="908"/>
      <c r="H17" s="959">
        <f t="shared" si="0"/>
        <v>0</v>
      </c>
      <c r="I17" s="456"/>
    </row>
    <row r="18" spans="1:9" ht="12.75" customHeight="1">
      <c r="A18" s="1163">
        <f t="shared" si="1"/>
        <v>1311</v>
      </c>
      <c r="B18" s="747"/>
      <c r="C18" s="479"/>
      <c r="D18" s="688"/>
      <c r="E18" s="688"/>
      <c r="F18" s="432"/>
      <c r="G18" s="908"/>
      <c r="H18" s="959">
        <f t="shared" si="0"/>
        <v>0</v>
      </c>
      <c r="I18" s="456"/>
    </row>
    <row r="19" spans="1:9" ht="12.75" customHeight="1">
      <c r="A19" s="1163">
        <f t="shared" si="1"/>
        <v>1312</v>
      </c>
      <c r="B19" s="747"/>
      <c r="C19" s="479"/>
      <c r="D19" s="688"/>
      <c r="E19" s="688"/>
      <c r="F19" s="432"/>
      <c r="G19" s="908"/>
      <c r="H19" s="959">
        <f t="shared" si="0"/>
        <v>0</v>
      </c>
      <c r="I19" s="456"/>
    </row>
    <row r="20" spans="1:9" ht="12.75" customHeight="1">
      <c r="A20" s="1163">
        <f t="shared" si="1"/>
        <v>1313</v>
      </c>
      <c r="B20" s="747"/>
      <c r="C20" s="479"/>
      <c r="D20" s="688"/>
      <c r="E20" s="688"/>
      <c r="F20" s="432"/>
      <c r="G20" s="908"/>
      <c r="H20" s="959">
        <f t="shared" si="0"/>
        <v>0</v>
      </c>
      <c r="I20" s="456"/>
    </row>
    <row r="21" spans="1:9" ht="12.75" customHeight="1">
      <c r="A21" s="1163">
        <f t="shared" si="1"/>
        <v>1314</v>
      </c>
      <c r="B21" s="747"/>
      <c r="C21" s="479"/>
      <c r="D21" s="688"/>
      <c r="E21" s="688"/>
      <c r="F21" s="432"/>
      <c r="G21" s="908"/>
      <c r="H21" s="959">
        <f t="shared" si="0"/>
        <v>0</v>
      </c>
      <c r="I21" s="456"/>
    </row>
    <row r="22" spans="1:9" ht="12.75" customHeight="1">
      <c r="A22" s="1163">
        <f aca="true" t="shared" si="2" ref="A22:A28">A21+1</f>
        <v>1315</v>
      </c>
      <c r="B22" s="747"/>
      <c r="C22" s="479"/>
      <c r="D22" s="688"/>
      <c r="E22" s="688"/>
      <c r="F22" s="432"/>
      <c r="G22" s="908"/>
      <c r="H22" s="959">
        <f t="shared" si="0"/>
        <v>0</v>
      </c>
      <c r="I22" s="456"/>
    </row>
    <row r="23" spans="1:9" ht="12.75" customHeight="1">
      <c r="A23" s="1163">
        <f t="shared" si="2"/>
        <v>1316</v>
      </c>
      <c r="B23" s="747"/>
      <c r="C23" s="479"/>
      <c r="D23" s="688"/>
      <c r="E23" s="688"/>
      <c r="F23" s="432"/>
      <c r="G23" s="908"/>
      <c r="H23" s="960">
        <f t="shared" si="0"/>
        <v>0</v>
      </c>
      <c r="I23" s="456"/>
    </row>
    <row r="24" spans="1:9" ht="12.75" customHeight="1">
      <c r="A24" s="1163">
        <f t="shared" si="2"/>
        <v>1317</v>
      </c>
      <c r="B24" s="747"/>
      <c r="C24" s="479"/>
      <c r="D24" s="688"/>
      <c r="E24" s="688"/>
      <c r="F24" s="432"/>
      <c r="G24" s="908"/>
      <c r="H24" s="960">
        <f t="shared" si="0"/>
        <v>0</v>
      </c>
      <c r="I24" s="456"/>
    </row>
    <row r="25" spans="1:9" ht="12.75" customHeight="1">
      <c r="A25" s="1163">
        <f t="shared" si="2"/>
        <v>1318</v>
      </c>
      <c r="B25" s="747"/>
      <c r="C25" s="479"/>
      <c r="D25" s="688"/>
      <c r="E25" s="688"/>
      <c r="F25" s="432"/>
      <c r="G25" s="908"/>
      <c r="H25" s="959">
        <f t="shared" si="0"/>
        <v>0</v>
      </c>
      <c r="I25" s="456"/>
    </row>
    <row r="26" spans="1:9" ht="12.75" customHeight="1">
      <c r="A26" s="1163">
        <f t="shared" si="2"/>
        <v>1319</v>
      </c>
      <c r="B26" s="747"/>
      <c r="C26" s="479"/>
      <c r="D26" s="688"/>
      <c r="E26" s="688"/>
      <c r="F26" s="432"/>
      <c r="G26" s="908"/>
      <c r="H26" s="959">
        <f t="shared" si="0"/>
        <v>0</v>
      </c>
      <c r="I26" s="456"/>
    </row>
    <row r="27" spans="1:9" ht="12.75" customHeight="1">
      <c r="A27" s="1163">
        <f t="shared" si="2"/>
        <v>1320</v>
      </c>
      <c r="B27" s="748"/>
      <c r="C27" s="749"/>
      <c r="D27" s="750"/>
      <c r="E27" s="750"/>
      <c r="F27" s="432"/>
      <c r="G27" s="908"/>
      <c r="H27" s="959">
        <f t="shared" si="0"/>
        <v>0</v>
      </c>
      <c r="I27" s="456"/>
    </row>
    <row r="28" spans="1:9" ht="12.75" customHeight="1">
      <c r="A28" s="1163">
        <f t="shared" si="2"/>
        <v>1321</v>
      </c>
      <c r="B28" s="745" t="str">
        <f>CONCATENATE("Totaal regel ",A8," t/m ",A27)</f>
        <v>Totaal regel 1301 t/m 1320</v>
      </c>
      <c r="C28" s="752"/>
      <c r="D28" s="753">
        <f>SUM(D8:D27)</f>
        <v>0</v>
      </c>
      <c r="E28" s="754">
        <f>SUM(E8:E27)</f>
        <v>0</v>
      </c>
      <c r="F28" s="754">
        <f>SUM(F8:F27)</f>
        <v>0</v>
      </c>
      <c r="G28" s="754">
        <f>SUM(G8:G27)</f>
        <v>0</v>
      </c>
      <c r="H28" s="754">
        <f>SUM(H8:H27)</f>
        <v>0</v>
      </c>
      <c r="I28" s="456"/>
    </row>
    <row r="29" spans="1:9" ht="12">
      <c r="A29" s="623"/>
      <c r="B29" s="42"/>
      <c r="C29" s="42"/>
      <c r="D29" s="42"/>
      <c r="E29" s="42"/>
      <c r="F29" s="42"/>
      <c r="G29" s="42"/>
      <c r="H29" s="42"/>
      <c r="I29" s="42"/>
    </row>
    <row r="30" spans="1:9" ht="12">
      <c r="A30" s="456"/>
      <c r="B30" s="456"/>
      <c r="C30" s="456"/>
      <c r="D30" s="456"/>
      <c r="E30" s="456"/>
      <c r="F30" s="456"/>
      <c r="G30" s="456"/>
      <c r="H30" s="456"/>
      <c r="I30" s="456"/>
    </row>
    <row r="31" spans="1:9" ht="12" customHeight="1">
      <c r="A31" s="456"/>
      <c r="B31" s="456"/>
      <c r="C31" s="456"/>
      <c r="D31" s="456"/>
      <c r="E31" s="456"/>
      <c r="F31" s="456"/>
      <c r="G31" s="456"/>
      <c r="H31" s="456"/>
      <c r="I31" s="456"/>
    </row>
    <row r="32" spans="1:9" ht="12.75" customHeight="1">
      <c r="A32" s="456"/>
      <c r="B32" s="456"/>
      <c r="C32" s="456"/>
      <c r="D32" s="456"/>
      <c r="E32" s="456"/>
      <c r="F32" s="456"/>
      <c r="G32" s="456"/>
      <c r="H32" s="456"/>
      <c r="I32" s="456"/>
    </row>
    <row r="33" spans="1:9" ht="12">
      <c r="A33" s="456"/>
      <c r="B33" s="456"/>
      <c r="C33" s="456"/>
      <c r="D33" s="456"/>
      <c r="E33" s="456"/>
      <c r="F33" s="456"/>
      <c r="G33" s="456"/>
      <c r="H33" s="456"/>
      <c r="I33" s="456"/>
    </row>
    <row r="34" spans="1:9" ht="4.5" customHeight="1">
      <c r="A34" s="456"/>
      <c r="B34" s="456"/>
      <c r="C34" s="456"/>
      <c r="D34" s="456"/>
      <c r="E34" s="456"/>
      <c r="F34" s="456"/>
      <c r="G34" s="456"/>
      <c r="H34" s="456"/>
      <c r="I34" s="456"/>
    </row>
    <row r="35" spans="1:9" ht="12">
      <c r="A35" s="456"/>
      <c r="B35" s="822"/>
      <c r="C35" s="456"/>
      <c r="D35" s="456"/>
      <c r="E35" s="456"/>
      <c r="F35" s="456"/>
      <c r="G35" s="456"/>
      <c r="H35" s="456"/>
      <c r="I35" s="456"/>
    </row>
    <row r="36" spans="1:9" ht="12">
      <c r="A36" s="456"/>
      <c r="B36" s="456"/>
      <c r="C36" s="456"/>
      <c r="D36" s="456"/>
      <c r="E36" s="456"/>
      <c r="F36" s="456"/>
      <c r="G36" s="456"/>
      <c r="H36" s="456"/>
      <c r="I36" s="456"/>
    </row>
    <row r="37" spans="1:9" ht="12">
      <c r="A37" s="456"/>
      <c r="B37" s="456"/>
      <c r="C37" s="456"/>
      <c r="D37" s="456"/>
      <c r="E37" s="456"/>
      <c r="F37" s="456"/>
      <c r="G37" s="456"/>
      <c r="H37" s="456"/>
      <c r="I37" s="456"/>
    </row>
    <row r="38" spans="1:9" ht="12">
      <c r="A38" s="456"/>
      <c r="B38" s="456"/>
      <c r="C38" s="456"/>
      <c r="D38" s="456"/>
      <c r="E38" s="456"/>
      <c r="F38" s="456"/>
      <c r="G38" s="456"/>
      <c r="H38" s="456"/>
      <c r="I38" s="456"/>
    </row>
    <row r="39" spans="1:9" ht="12">
      <c r="A39" s="456"/>
      <c r="B39" s="456"/>
      <c r="C39" s="456"/>
      <c r="D39" s="456"/>
      <c r="E39" s="456"/>
      <c r="F39" s="456"/>
      <c r="G39" s="456"/>
      <c r="H39" s="456"/>
      <c r="I39" s="456"/>
    </row>
    <row r="40" spans="1:9" ht="12">
      <c r="A40" s="456"/>
      <c r="B40" s="456"/>
      <c r="C40" s="456"/>
      <c r="D40" s="456"/>
      <c r="E40" s="456"/>
      <c r="F40" s="456"/>
      <c r="G40" s="456"/>
      <c r="H40" s="456"/>
      <c r="I40" s="456"/>
    </row>
    <row r="41" spans="1:9" ht="12">
      <c r="A41" s="456"/>
      <c r="B41" s="456"/>
      <c r="C41" s="456"/>
      <c r="D41" s="456"/>
      <c r="E41" s="456"/>
      <c r="F41" s="456"/>
      <c r="G41" s="456"/>
      <c r="H41" s="456"/>
      <c r="I41" s="456"/>
    </row>
    <row r="42" spans="1:9" ht="12">
      <c r="A42" s="456"/>
      <c r="B42" s="456"/>
      <c r="C42" s="456"/>
      <c r="D42" s="456"/>
      <c r="E42" s="456"/>
      <c r="F42" s="456"/>
      <c r="G42" s="456"/>
      <c r="H42" s="456"/>
      <c r="I42" s="456"/>
    </row>
    <row r="43" spans="1:9" ht="12">
      <c r="A43" s="456"/>
      <c r="B43" s="456"/>
      <c r="C43" s="456"/>
      <c r="D43" s="456"/>
      <c r="E43" s="456"/>
      <c r="F43" s="456"/>
      <c r="G43" s="456"/>
      <c r="H43" s="456"/>
      <c r="I43" s="456"/>
    </row>
    <row r="44" spans="1:9" ht="12">
      <c r="A44" s="456"/>
      <c r="B44" s="456"/>
      <c r="C44" s="456"/>
      <c r="D44" s="456"/>
      <c r="E44" s="456"/>
      <c r="F44" s="456"/>
      <c r="G44" s="456"/>
      <c r="H44" s="456"/>
      <c r="I44" s="456"/>
    </row>
    <row r="45" spans="1:9" ht="12">
      <c r="A45" s="456"/>
      <c r="B45" s="456"/>
      <c r="C45" s="456"/>
      <c r="D45" s="456"/>
      <c r="E45" s="456"/>
      <c r="F45" s="456"/>
      <c r="G45" s="456"/>
      <c r="H45" s="456"/>
      <c r="I45" s="456"/>
    </row>
    <row r="46" spans="1:9" ht="12">
      <c r="A46" s="456"/>
      <c r="B46" s="456"/>
      <c r="C46" s="456"/>
      <c r="D46" s="456"/>
      <c r="E46" s="456"/>
      <c r="F46" s="456"/>
      <c r="G46" s="456"/>
      <c r="H46" s="456"/>
      <c r="I46" s="456"/>
    </row>
    <row r="47" ht="12">
      <c r="I47" s="456"/>
    </row>
    <row r="48" ht="12">
      <c r="I48" s="456"/>
    </row>
  </sheetData>
  <sheetProtection password="CCBC" sheet="1" objects="1" scenarios="1"/>
  <mergeCells count="2">
    <mergeCell ref="B5:D5"/>
    <mergeCell ref="F5:G5"/>
  </mergeCells>
  <conditionalFormatting sqref="H8:I27">
    <cfRule type="expression" priority="1" dxfId="1" stopIfTrue="1">
      <formula>$C$2=TRUE</formula>
    </cfRule>
  </conditionalFormatting>
  <conditionalFormatting sqref="B8:G27">
    <cfRule type="expression" priority="2" dxfId="0" stopIfTrue="1">
      <formula>$F$2=TRUE</formula>
    </cfRule>
  </conditionalFormatting>
  <dataValidations count="2">
    <dataValidation allowBlank="1" showInputMessage="1" showErrorMessage="1" promptTitle="Meldingsbrieven CBZ" prompt="In dit overzicht alleen de meldingsbrieven vermelden waarop in het nacalculatiejaar investeringen zijn uitgevoerd." sqref="B5:D5"/>
    <dataValidation allowBlank="1" showInputMessage="1" showErrorMessage="1" promptTitle="Kenmerk" prompt="In deze kolom het jaartal vermelden waarop de melding betrekking heeft en het volgnummer. Bijvoorbeeld: 01 M1 of 02 J1. Een regel per meldingsbrief gebruiken.&#10;" sqref="C6 C8"/>
  </dataValidations>
  <printOptions/>
  <pageMargins left="0.3937007874015748" right="0.3937007874015748" top="0.3937007874015748" bottom="0.3937007874015748" header="0.2362204724409449" footer="0.11811023622047245"/>
  <pageSetup horizontalDpi="300" verticalDpi="300" orientation="landscape" paperSize="9" r:id="rId2"/>
  <headerFooter alignWithMargins="0">
    <oddHeader xml:space="preserve">&amp;R&amp;9 </oddHeader>
  </headerFooter>
  <drawing r:id="rId1"/>
</worksheet>
</file>

<file path=xl/worksheets/sheet12.xml><?xml version="1.0" encoding="utf-8"?>
<worksheet xmlns="http://schemas.openxmlformats.org/spreadsheetml/2006/main" xmlns:r="http://schemas.openxmlformats.org/officeDocument/2006/relationships">
  <sheetPr codeName="Blad15"/>
  <dimension ref="A1:R52"/>
  <sheetViews>
    <sheetView showGridLines="0" showRowColHeaders="0" showZeros="0" showOutlineSymbols="0" view="pageBreakPreview" zoomScale="75" zoomScaleNormal="86" zoomScaleSheetLayoutView="75" workbookViewId="0" topLeftCell="A1">
      <selection activeCell="G12" sqref="G12"/>
    </sheetView>
  </sheetViews>
  <sheetFormatPr defaultColWidth="9.140625" defaultRowHeight="12.75" customHeight="1"/>
  <cols>
    <col min="1" max="1" width="7.28125" style="873" customWidth="1"/>
    <col min="2" max="2" width="41.8515625" style="873" customWidth="1"/>
    <col min="3" max="7" width="14.7109375" style="873" customWidth="1"/>
    <col min="8" max="16384" width="9.140625" style="873" customWidth="1"/>
  </cols>
  <sheetData>
    <row r="1" spans="1:13" ht="12.75" customHeight="1">
      <c r="A1" s="962"/>
      <c r="B1" s="963"/>
      <c r="C1" s="963"/>
      <c r="D1" s="963"/>
      <c r="E1" s="963"/>
      <c r="F1" s="963"/>
      <c r="G1" s="963"/>
      <c r="H1" s="963"/>
      <c r="I1" s="42"/>
      <c r="J1" s="570"/>
      <c r="K1" s="42"/>
      <c r="L1" s="42"/>
      <c r="M1" s="456"/>
    </row>
    <row r="2" spans="1:18" ht="12.75" customHeight="1">
      <c r="A2" s="797" t="str">
        <f>Inhoud!$A$2</f>
        <v>Nacalculatieformulier 2005</v>
      </c>
      <c r="B2" s="796"/>
      <c r="C2" s="640"/>
      <c r="D2" s="796"/>
      <c r="E2" s="796"/>
      <c r="F2" s="795" t="b">
        <f>Voorblad!D30</f>
        <v>1</v>
      </c>
      <c r="G2" s="795"/>
      <c r="H2" s="598">
        <f>Instandhouding!I2+1</f>
        <v>14</v>
      </c>
      <c r="I2" s="596"/>
      <c r="K2" s="570"/>
      <c r="L2" s="623"/>
      <c r="M2" s="42"/>
      <c r="N2" s="42"/>
      <c r="O2" s="42"/>
      <c r="P2" s="42"/>
      <c r="Q2" s="42"/>
      <c r="R2" s="456"/>
    </row>
    <row r="3" spans="1:11" ht="12.75" customHeight="1">
      <c r="A3" s="623"/>
      <c r="B3" s="42"/>
      <c r="C3" s="42"/>
      <c r="D3" s="42"/>
      <c r="E3" s="42"/>
      <c r="F3" s="42"/>
      <c r="G3" s="42"/>
      <c r="H3" s="42"/>
      <c r="I3" s="42"/>
      <c r="J3" s="570"/>
      <c r="K3" s="501"/>
    </row>
    <row r="4" spans="1:4" ht="12.75" customHeight="1">
      <c r="A4" s="939" t="s">
        <v>108</v>
      </c>
      <c r="B4" s="939" t="s">
        <v>541</v>
      </c>
      <c r="C4" s="939"/>
      <c r="D4" s="939"/>
    </row>
    <row r="5" ht="12.75" customHeight="1">
      <c r="K5" s="570"/>
    </row>
    <row r="6" spans="1:7" ht="12.75" customHeight="1">
      <c r="A6" s="939"/>
      <c r="B6" s="939" t="s">
        <v>119</v>
      </c>
      <c r="C6" s="939"/>
      <c r="D6" s="939"/>
      <c r="E6" s="939"/>
      <c r="F6" s="939"/>
      <c r="G6" s="939"/>
    </row>
    <row r="7" spans="1:9" ht="12.75" customHeight="1">
      <c r="A7" s="1163">
        <f>(100*H2)+1</f>
        <v>1401</v>
      </c>
      <c r="B7" s="1332" t="s">
        <v>542</v>
      </c>
      <c r="C7" s="1332"/>
      <c r="D7" s="1332"/>
      <c r="E7" s="1332"/>
      <c r="F7" s="1332"/>
      <c r="G7" s="966">
        <f>0.1*G12</f>
        <v>0</v>
      </c>
      <c r="H7" s="939"/>
      <c r="I7" s="939"/>
    </row>
    <row r="8" spans="1:13" s="939" customFormat="1" ht="12.75" customHeight="1">
      <c r="A8" s="1169">
        <f>(100*H2)+2</f>
        <v>1402</v>
      </c>
      <c r="B8" s="1390" t="s">
        <v>543</v>
      </c>
      <c r="C8" s="1390"/>
      <c r="D8" s="1390"/>
      <c r="E8" s="1390"/>
      <c r="F8" s="1390"/>
      <c r="G8" s="966">
        <f>G25</f>
        <v>0</v>
      </c>
      <c r="H8" s="873"/>
      <c r="I8" s="873"/>
      <c r="J8" s="873"/>
      <c r="K8" s="873"/>
      <c r="L8" s="873"/>
      <c r="M8" s="873"/>
    </row>
    <row r="9" spans="1:10" ht="12.75" customHeight="1">
      <c r="A9" s="1163">
        <f>(100*H2)+3</f>
        <v>1403</v>
      </c>
      <c r="B9" s="1389" t="s">
        <v>544</v>
      </c>
      <c r="C9" s="1389"/>
      <c r="D9" s="1389"/>
      <c r="E9" s="1389"/>
      <c r="F9" s="1389"/>
      <c r="G9" s="1042">
        <f>G7-G8</f>
        <v>0</v>
      </c>
      <c r="J9" s="939"/>
    </row>
    <row r="10" spans="1:10" ht="12.75" customHeight="1">
      <c r="A10" s="1170"/>
      <c r="B10" s="965"/>
      <c r="C10" s="965"/>
      <c r="D10" s="965"/>
      <c r="E10" s="965"/>
      <c r="F10" s="965"/>
      <c r="G10" s="1018"/>
      <c r="J10" s="939"/>
    </row>
    <row r="11" spans="1:10" ht="12.75" customHeight="1">
      <c r="A11" s="1170"/>
      <c r="B11" s="965" t="str">
        <f>CONCATENATE("Berekening kortingspercentage voor investeringen ",Voorblad!D3)</f>
        <v>Berekening kortingspercentage voor investeringen 2005</v>
      </c>
      <c r="C11" s="965"/>
      <c r="D11" s="965"/>
      <c r="E11" s="965"/>
      <c r="F11" s="965"/>
      <c r="G11" s="1018"/>
      <c r="J11" s="939"/>
    </row>
    <row r="12" spans="1:7" ht="12.75" customHeight="1">
      <c r="A12" s="1163">
        <f>(100*H2)+4</f>
        <v>1404</v>
      </c>
      <c r="B12" s="1332" t="s">
        <v>545</v>
      </c>
      <c r="C12" s="1332"/>
      <c r="D12" s="1332"/>
      <c r="E12" s="1332"/>
      <c r="F12" s="1332"/>
      <c r="G12" s="1016"/>
    </row>
    <row r="13" spans="1:13" ht="12.75" customHeight="1">
      <c r="A13" s="1163">
        <f>(100*H2)+5</f>
        <v>1405</v>
      </c>
      <c r="B13" s="1332" t="str">
        <f>CONCATENATE("10 * berekende investeringsruimte ",Voorblad!D3)</f>
        <v>10 * berekende investeringsruimte 2005</v>
      </c>
      <c r="C13" s="1332"/>
      <c r="D13" s="1332"/>
      <c r="E13" s="1332"/>
      <c r="F13" s="1332"/>
      <c r="G13" s="1016"/>
      <c r="K13" s="939"/>
      <c r="L13" s="939"/>
      <c r="M13" s="939"/>
    </row>
    <row r="14" spans="1:7" ht="12.75" customHeight="1">
      <c r="A14" s="1163">
        <f>(100*H2)+6</f>
        <v>1406</v>
      </c>
      <c r="B14" s="1389" t="s">
        <v>546</v>
      </c>
      <c r="C14" s="1389"/>
      <c r="D14" s="1389"/>
      <c r="E14" s="1389"/>
      <c r="F14" s="1389"/>
      <c r="G14" s="1031">
        <f>IF(G13=0,0,G12/G13)</f>
        <v>0</v>
      </c>
    </row>
    <row r="15" ht="12.75" customHeight="1">
      <c r="A15" s="1170"/>
    </row>
    <row r="16" spans="1:2" ht="12.75" customHeight="1">
      <c r="A16" s="889"/>
      <c r="B16" s="939" t="s">
        <v>120</v>
      </c>
    </row>
    <row r="17" spans="1:7" ht="12.75" customHeight="1">
      <c r="A17" s="889"/>
      <c r="C17" s="873">
        <f>Voorblad!D3</f>
        <v>2005</v>
      </c>
      <c r="D17" s="873">
        <f>C17+1</f>
        <v>2006</v>
      </c>
      <c r="E17" s="873">
        <f>D17+1</f>
        <v>2007</v>
      </c>
      <c r="F17" s="873">
        <f>E17+1</f>
        <v>2008</v>
      </c>
      <c r="G17" s="873">
        <f>F17+1</f>
        <v>2009</v>
      </c>
    </row>
    <row r="18" spans="1:3" ht="12.75" customHeight="1">
      <c r="A18" s="889"/>
      <c r="B18" s="961">
        <f>B19-1</f>
        <v>2001</v>
      </c>
      <c r="C18" s="1040"/>
    </row>
    <row r="19" spans="1:4" ht="12.75" customHeight="1">
      <c r="A19" s="889"/>
      <c r="B19" s="961">
        <f>B20-1</f>
        <v>2002</v>
      </c>
      <c r="C19" s="1040"/>
      <c r="D19" s="1131"/>
    </row>
    <row r="20" spans="1:5" ht="12.75" customHeight="1">
      <c r="A20" s="889"/>
      <c r="B20" s="961">
        <f>B21-1</f>
        <v>2003</v>
      </c>
      <c r="C20" s="1040"/>
      <c r="D20" s="734"/>
      <c r="E20" s="734"/>
    </row>
    <row r="21" spans="1:6" s="939" customFormat="1" ht="12.75" customHeight="1">
      <c r="A21" s="889"/>
      <c r="B21" s="961">
        <f>B22-1</f>
        <v>2004</v>
      </c>
      <c r="C21" s="1040"/>
      <c r="D21" s="734"/>
      <c r="E21" s="734"/>
      <c r="F21" s="734"/>
    </row>
    <row r="22" spans="1:7" ht="12.75" customHeight="1">
      <c r="A22" s="889"/>
      <c r="B22" s="961">
        <f>C17</f>
        <v>2005</v>
      </c>
      <c r="C22" s="1040"/>
      <c r="D22" s="734"/>
      <c r="E22" s="734"/>
      <c r="F22" s="734"/>
      <c r="G22" s="734"/>
    </row>
    <row r="23" spans="1:7" ht="12.75" customHeight="1">
      <c r="A23" s="889"/>
      <c r="B23" s="939" t="s">
        <v>445</v>
      </c>
      <c r="C23" s="1041">
        <f>SUM(C18:C22)</f>
        <v>0</v>
      </c>
      <c r="D23" s="1041">
        <f>SUM(D19:D22)</f>
        <v>0</v>
      </c>
      <c r="E23" s="1041">
        <f>SUM(E20:E22)</f>
        <v>0</v>
      </c>
      <c r="F23" s="1041">
        <f>SUM(F21:F22)</f>
        <v>0</v>
      </c>
      <c r="G23" s="1041">
        <f>G22</f>
        <v>0</v>
      </c>
    </row>
    <row r="24" spans="1:13" ht="12.75" customHeight="1">
      <c r="A24" s="889"/>
      <c r="K24" s="939"/>
      <c r="L24" s="939"/>
      <c r="M24" s="939"/>
    </row>
    <row r="25" spans="1:7" ht="12.75" customHeight="1">
      <c r="A25" s="1163">
        <f>(100*H2)+7</f>
        <v>1407</v>
      </c>
      <c r="B25" s="1316" t="str">
        <f>CONCATENATE("Berekening kortingsbedrag (totale kortingspercentage x 10% x investeringsruimte ",Voorblad!D3,")")</f>
        <v>Berekening kortingsbedrag (totale kortingspercentage x 10% x investeringsruimte 2005)</v>
      </c>
      <c r="C25" s="1317"/>
      <c r="D25" s="1317"/>
      <c r="E25" s="1317"/>
      <c r="F25" s="1318"/>
      <c r="G25" s="1042">
        <f>C23*G13/100</f>
        <v>0</v>
      </c>
    </row>
    <row r="26" ht="12.75" customHeight="1">
      <c r="A26" s="889"/>
    </row>
    <row r="27" spans="1:2" ht="12.75" customHeight="1">
      <c r="A27" s="1171"/>
      <c r="B27" s="939" t="s">
        <v>121</v>
      </c>
    </row>
    <row r="28" spans="1:7" ht="12.75" customHeight="1">
      <c r="A28" s="1163">
        <f>(100*H2)+8</f>
        <v>1408</v>
      </c>
      <c r="B28" s="1332" t="s">
        <v>1</v>
      </c>
      <c r="C28" s="1332"/>
      <c r="D28" s="1332"/>
      <c r="E28" s="1332"/>
      <c r="F28" s="1332"/>
      <c r="G28" s="432"/>
    </row>
    <row r="29" spans="1:7" ht="12.75" customHeight="1">
      <c r="A29" s="1163">
        <f>(100*H2)+9</f>
        <v>1409</v>
      </c>
      <c r="B29" s="1332" t="s">
        <v>0</v>
      </c>
      <c r="C29" s="1332"/>
      <c r="D29" s="1332"/>
      <c r="E29" s="1332"/>
      <c r="F29" s="1332"/>
      <c r="G29" s="432"/>
    </row>
    <row r="30" spans="1:7" ht="12.75" customHeight="1">
      <c r="A30" s="1163">
        <f>(100*H2)+10</f>
        <v>1410</v>
      </c>
      <c r="B30" s="1316" t="s">
        <v>544</v>
      </c>
      <c r="C30" s="1317"/>
      <c r="D30" s="1317"/>
      <c r="E30" s="1317"/>
      <c r="F30" s="1318"/>
      <c r="G30" s="1042">
        <f>SUM(G28:G29)</f>
        <v>0</v>
      </c>
    </row>
    <row r="33" spans="1:6" s="939" customFormat="1" ht="12.75" customHeight="1">
      <c r="A33" s="873"/>
      <c r="B33" s="873"/>
      <c r="C33" s="873"/>
      <c r="D33" s="873"/>
      <c r="E33" s="873"/>
      <c r="F33" s="873"/>
    </row>
    <row r="34" spans="3:6" ht="12.75" customHeight="1">
      <c r="C34" s="939"/>
      <c r="D34" s="939"/>
      <c r="E34" s="939"/>
      <c r="F34" s="939"/>
    </row>
    <row r="36" spans="4:6" ht="12.75" customHeight="1">
      <c r="D36" s="939"/>
      <c r="E36" s="939"/>
      <c r="F36" s="939"/>
    </row>
    <row r="48" spans="8:9" ht="12.75" customHeight="1">
      <c r="H48" s="939"/>
      <c r="I48" s="939"/>
    </row>
    <row r="49" spans="1:13" s="939" customFormat="1" ht="12.75" customHeight="1">
      <c r="A49" s="873"/>
      <c r="B49" s="873"/>
      <c r="C49" s="873"/>
      <c r="D49" s="873"/>
      <c r="E49" s="873"/>
      <c r="F49" s="873"/>
      <c r="G49" s="873"/>
      <c r="H49" s="873"/>
      <c r="I49" s="873"/>
      <c r="J49" s="873"/>
      <c r="K49" s="873"/>
      <c r="L49" s="873"/>
      <c r="M49" s="873"/>
    </row>
    <row r="50" ht="12.75" customHeight="1">
      <c r="J50" s="939"/>
    </row>
    <row r="52" spans="11:13" ht="12.75" customHeight="1">
      <c r="K52" s="939"/>
      <c r="L52" s="939"/>
      <c r="M52" s="939"/>
    </row>
  </sheetData>
  <sheetProtection password="CCBC" sheet="1" objects="1" scenarios="1"/>
  <mergeCells count="10">
    <mergeCell ref="B7:F7"/>
    <mergeCell ref="B8:F8"/>
    <mergeCell ref="B9:F9"/>
    <mergeCell ref="B12:F12"/>
    <mergeCell ref="B29:F29"/>
    <mergeCell ref="B28:F28"/>
    <mergeCell ref="B30:F30"/>
    <mergeCell ref="B13:F13"/>
    <mergeCell ref="B14:F14"/>
    <mergeCell ref="B25:F25"/>
  </mergeCells>
  <conditionalFormatting sqref="G12:G13 C18:C22 D19:D22 E20 E21:F22 G22 G28:G29">
    <cfRule type="expression" priority="1" dxfId="0" stopIfTrue="1">
      <formula>$F$2=TRUE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Blad16"/>
  <dimension ref="A1:L36"/>
  <sheetViews>
    <sheetView showGridLines="0" showRowColHeaders="0" showZeros="0" showOutlineSymbols="0" view="pageBreakPreview" zoomScale="75" zoomScaleNormal="86" zoomScaleSheetLayoutView="75" workbookViewId="0" topLeftCell="A1">
      <selection activeCell="D12" sqref="D12"/>
    </sheetView>
  </sheetViews>
  <sheetFormatPr defaultColWidth="9.140625" defaultRowHeight="12.75"/>
  <cols>
    <col min="1" max="1" width="5.00390625" style="880" customWidth="1"/>
    <col min="2" max="2" width="75.7109375" style="563" customWidth="1"/>
    <col min="3" max="4" width="15.7109375" style="563" customWidth="1"/>
    <col min="5" max="5" width="15.7109375" style="937" customWidth="1"/>
    <col min="6" max="6" width="2.7109375" style="563" customWidth="1"/>
    <col min="7" max="7" width="12.7109375" style="938" customWidth="1"/>
    <col min="8" max="8" width="2.7109375" style="563" customWidth="1"/>
    <col min="9" max="16384" width="9.140625" style="563" customWidth="1"/>
  </cols>
  <sheetData>
    <row r="1" spans="1:12" s="456" customFormat="1" ht="15.75" customHeight="1">
      <c r="A1" s="41"/>
      <c r="B1" s="42"/>
      <c r="C1" s="43"/>
      <c r="D1" s="42"/>
      <c r="E1" s="42"/>
      <c r="F1" s="45"/>
      <c r="G1" s="45"/>
      <c r="H1" s="26"/>
      <c r="I1" s="42"/>
      <c r="L1" s="454"/>
    </row>
    <row r="2" spans="1:12" s="501" customFormat="1" ht="15.75" customHeight="1">
      <c r="A2" s="601" t="str">
        <f>Inhoud!A2</f>
        <v>Nacalculatieformulier 2005</v>
      </c>
      <c r="B2" s="599"/>
      <c r="C2" s="602" t="b">
        <f>Voorblad!D30</f>
        <v>1</v>
      </c>
      <c r="D2" s="601"/>
      <c r="E2" s="598">
        <f>'Afschr.inventaris'!H2+1</f>
        <v>15</v>
      </c>
      <c r="F2" s="593"/>
      <c r="G2" s="593"/>
      <c r="H2" s="593"/>
      <c r="L2" s="502"/>
    </row>
    <row r="3" spans="1:12" s="456" customFormat="1" ht="12">
      <c r="A3" s="41"/>
      <c r="B3" s="42"/>
      <c r="C3" s="43"/>
      <c r="D3" s="42"/>
      <c r="E3" s="42"/>
      <c r="F3" s="45"/>
      <c r="G3" s="45"/>
      <c r="H3" s="26"/>
      <c r="I3" s="42"/>
      <c r="L3" s="454"/>
    </row>
    <row r="4" spans="1:9" s="456" customFormat="1" ht="12.75" customHeight="1">
      <c r="A4" s="14" t="s">
        <v>109</v>
      </c>
      <c r="B4" s="95"/>
      <c r="C4" s="387"/>
      <c r="D4" s="90"/>
      <c r="E4" s="588"/>
      <c r="F4" s="588"/>
      <c r="G4" s="95"/>
      <c r="H4" s="95"/>
      <c r="I4" s="454"/>
    </row>
    <row r="5" spans="5:7" ht="12">
      <c r="E5" s="938"/>
      <c r="G5" s="563"/>
    </row>
    <row r="6" spans="3:11" ht="12">
      <c r="C6" s="968" t="s">
        <v>228</v>
      </c>
      <c r="D6" s="995" t="s">
        <v>395</v>
      </c>
      <c r="E6" s="969" t="s">
        <v>123</v>
      </c>
      <c r="F6" s="873"/>
      <c r="G6" s="873"/>
      <c r="H6" s="873"/>
      <c r="I6" s="873"/>
      <c r="J6" s="873"/>
      <c r="K6" s="873"/>
    </row>
    <row r="7" spans="1:11" ht="12">
      <c r="A7" s="880" t="s">
        <v>466</v>
      </c>
      <c r="B7" s="880" t="s">
        <v>227</v>
      </c>
      <c r="C7" s="970" t="s">
        <v>229</v>
      </c>
      <c r="D7" s="996"/>
      <c r="E7" s="971"/>
      <c r="F7" s="873"/>
      <c r="G7" s="873"/>
      <c r="H7" s="873"/>
      <c r="I7" s="873"/>
      <c r="J7" s="873"/>
      <c r="K7" s="873"/>
    </row>
    <row r="8" spans="2:11" ht="12">
      <c r="B8" s="880"/>
      <c r="C8" s="1204"/>
      <c r="D8" s="1204"/>
      <c r="E8" s="1204"/>
      <c r="F8" s="873"/>
      <c r="G8" s="873"/>
      <c r="H8" s="873"/>
      <c r="I8" s="873"/>
      <c r="J8" s="873"/>
      <c r="K8" s="873"/>
    </row>
    <row r="9" spans="1:11" ht="12.75" customHeight="1">
      <c r="A9" s="900">
        <f>(100*E2)+1</f>
        <v>1501</v>
      </c>
      <c r="B9" s="926" t="s">
        <v>346</v>
      </c>
      <c r="C9" s="1391"/>
      <c r="D9" s="1391"/>
      <c r="E9" s="1205">
        <f>'Prod1.1'!F58</f>
        <v>0</v>
      </c>
      <c r="F9" s="961"/>
      <c r="G9" s="961"/>
      <c r="H9" s="961"/>
      <c r="I9" s="961"/>
      <c r="J9" s="961"/>
      <c r="K9" s="873"/>
    </row>
    <row r="10" spans="1:11" ht="12">
      <c r="A10" s="900">
        <f>A9+1</f>
        <v>1502</v>
      </c>
      <c r="B10" s="861" t="s">
        <v>289</v>
      </c>
      <c r="C10" s="1206">
        <f>'Prod.1.2 en 1.3'!E41</f>
        <v>0</v>
      </c>
      <c r="D10" s="1206">
        <f>'Prod.1.2 en 1.3'!F41</f>
        <v>0</v>
      </c>
      <c r="E10" s="1207">
        <f>C10-D10</f>
        <v>0</v>
      </c>
      <c r="F10" s="961"/>
      <c r="G10" s="961"/>
      <c r="H10" s="961"/>
      <c r="I10" s="961"/>
      <c r="J10" s="961"/>
      <c r="K10" s="873"/>
    </row>
    <row r="11" spans="1:11" ht="12">
      <c r="A11" s="900">
        <f aca="true" t="shared" si="0" ref="A11:A24">A10+1</f>
        <v>1503</v>
      </c>
      <c r="B11" s="861" t="s">
        <v>273</v>
      </c>
      <c r="C11" s="1206">
        <f>'Prod.1.2 en 1.3'!E32</f>
        <v>0</v>
      </c>
      <c r="D11" s="1206">
        <f>'Prod.1.2 en 1.3'!F32</f>
        <v>0</v>
      </c>
      <c r="E11" s="1205">
        <f>C11-D11</f>
        <v>0</v>
      </c>
      <c r="F11" s="961"/>
      <c r="G11" s="961"/>
      <c r="H11" s="961"/>
      <c r="I11" s="961"/>
      <c r="J11" s="961"/>
      <c r="K11" s="873"/>
    </row>
    <row r="12" spans="1:7" ht="12">
      <c r="A12" s="900">
        <f t="shared" si="0"/>
        <v>1504</v>
      </c>
      <c r="B12" s="861" t="str">
        <f>Afschrijvingen!B6</f>
        <v>Nacalculeerbare afschrijvingskosten (normale en verkorte procedures)</v>
      </c>
      <c r="C12" s="897">
        <f>Afschrijvingen!G19</f>
        <v>0</v>
      </c>
      <c r="D12" s="1208"/>
      <c r="E12" s="897">
        <f>C12-D12</f>
        <v>0</v>
      </c>
      <c r="G12" s="563"/>
    </row>
    <row r="13" spans="1:7" ht="12">
      <c r="A13" s="900">
        <f t="shared" si="0"/>
        <v>1505</v>
      </c>
      <c r="B13" s="861" t="s">
        <v>341</v>
      </c>
      <c r="C13" s="1209"/>
      <c r="D13" s="1209"/>
      <c r="E13" s="897">
        <f>Instandhouding!H28</f>
        <v>0</v>
      </c>
      <c r="G13" s="563"/>
    </row>
    <row r="14" spans="1:7" ht="12">
      <c r="A14" s="900">
        <f t="shared" si="0"/>
        <v>1506</v>
      </c>
      <c r="B14" s="861" t="s">
        <v>342</v>
      </c>
      <c r="C14" s="1209"/>
      <c r="D14" s="1209"/>
      <c r="E14" s="897">
        <f>'Afschr.inventaris'!G9</f>
        <v>0</v>
      </c>
      <c r="G14" s="563"/>
    </row>
    <row r="15" spans="1:7" ht="12">
      <c r="A15" s="900">
        <f t="shared" si="0"/>
        <v>1507</v>
      </c>
      <c r="B15" s="861" t="s">
        <v>343</v>
      </c>
      <c r="C15" s="1209"/>
      <c r="D15" s="1209"/>
      <c r="E15" s="897">
        <f>'Afschr.inventaris'!G30</f>
        <v>0</v>
      </c>
      <c r="G15" s="563"/>
    </row>
    <row r="16" spans="1:7" ht="12">
      <c r="A16" s="900">
        <f t="shared" si="0"/>
        <v>1508</v>
      </c>
      <c r="B16" s="861" t="s">
        <v>122</v>
      </c>
      <c r="C16" s="1208"/>
      <c r="D16" s="1208"/>
      <c r="E16" s="897">
        <f>C16-D16</f>
        <v>0</v>
      </c>
      <c r="G16" s="563"/>
    </row>
    <row r="17" spans="1:7" ht="12">
      <c r="A17" s="900">
        <f t="shared" si="0"/>
        <v>1509</v>
      </c>
      <c r="B17" s="861" t="s">
        <v>344</v>
      </c>
      <c r="C17" s="1210"/>
      <c r="D17" s="1210"/>
      <c r="E17" s="897">
        <f>C17-D17</f>
        <v>0</v>
      </c>
      <c r="G17" s="563"/>
    </row>
    <row r="18" spans="1:7" ht="12">
      <c r="A18" s="900">
        <f t="shared" si="0"/>
        <v>1510</v>
      </c>
      <c r="B18" s="819" t="s">
        <v>407</v>
      </c>
      <c r="C18" s="1211" t="s">
        <v>437</v>
      </c>
      <c r="D18" s="1210"/>
      <c r="E18" s="897">
        <f>-D18</f>
        <v>0</v>
      </c>
      <c r="G18" s="563"/>
    </row>
    <row r="19" spans="1:7" ht="12">
      <c r="A19" s="900">
        <f t="shared" si="0"/>
        <v>1511</v>
      </c>
      <c r="B19" s="819" t="s">
        <v>364</v>
      </c>
      <c r="C19" s="1212"/>
      <c r="D19" s="1212"/>
      <c r="E19" s="1210"/>
      <c r="G19" s="563"/>
    </row>
    <row r="20" spans="1:7" ht="12">
      <c r="A20" s="900">
        <f>A19+1</f>
        <v>1512</v>
      </c>
      <c r="B20" s="999" t="str">
        <f>CONCATENATE("Mutatie aanvaardbare kosten exclusief aanpassing rentekosten (regel ",A9," t/m ",A19,")")</f>
        <v>Mutatie aanvaardbare kosten exclusief aanpassing rentekosten (regel 1501 t/m 1511)</v>
      </c>
      <c r="C20" s="1213"/>
      <c r="D20" s="1213"/>
      <c r="E20" s="1001">
        <f>SUM(E9:E19)</f>
        <v>0</v>
      </c>
      <c r="G20" s="563"/>
    </row>
    <row r="21" spans="1:7" ht="12">
      <c r="A21" s="900">
        <f>A20+1</f>
        <v>1513</v>
      </c>
      <c r="B21" s="998" t="str">
        <f>CONCATENATE("Aanvaardbare kosten op kasbasis volgens laatste rekenstaat ",Voorblad!$D$3)</f>
        <v>Aanvaardbare kosten op kasbasis volgens laatste rekenstaat 2005</v>
      </c>
      <c r="C21" s="1214"/>
      <c r="D21" s="1215"/>
      <c r="E21" s="1210"/>
      <c r="G21" s="563"/>
    </row>
    <row r="22" spans="1:7" ht="12">
      <c r="A22" s="900">
        <f t="shared" si="0"/>
        <v>1514</v>
      </c>
      <c r="B22" s="1021" t="str">
        <f>CONCATENATE("Subtotaal (regel ",A20," + ",A21,")")</f>
        <v>Subtotaal (regel 1512 + 1513)</v>
      </c>
      <c r="C22" s="1216"/>
      <c r="D22" s="1216"/>
      <c r="E22" s="897">
        <f>E20+E21</f>
        <v>0</v>
      </c>
      <c r="G22" s="563"/>
    </row>
    <row r="23" spans="1:7" ht="12">
      <c r="A23" s="900">
        <f t="shared" si="0"/>
        <v>1515</v>
      </c>
      <c r="B23" s="1000" t="s">
        <v>345</v>
      </c>
      <c r="C23" s="1217">
        <f>'Rentecalc.'!E28</f>
        <v>0</v>
      </c>
      <c r="D23" s="1210"/>
      <c r="E23" s="1217">
        <f>C23-D23</f>
        <v>0</v>
      </c>
      <c r="G23" s="563"/>
    </row>
    <row r="24" spans="1:7" ht="12">
      <c r="A24" s="900">
        <f t="shared" si="0"/>
        <v>1516</v>
      </c>
      <c r="B24" s="1020" t="str">
        <f>CONCATENATE("Definitief aanvaardbare kosten ",Voorblad!D3," (regel ",A22," + ",A23,")")</f>
        <v>Definitief aanvaardbare kosten 2005 (regel 1514 + 1515)</v>
      </c>
      <c r="C24" s="1218"/>
      <c r="D24" s="1218"/>
      <c r="E24" s="1219">
        <f>E22+E23</f>
        <v>0</v>
      </c>
      <c r="G24" s="563"/>
    </row>
    <row r="25" spans="1:7" ht="12">
      <c r="A25" s="965"/>
      <c r="C25" s="880"/>
      <c r="E25" s="938"/>
      <c r="G25" s="563"/>
    </row>
    <row r="26" spans="1:7" ht="12">
      <c r="A26" s="880" t="s">
        <v>513</v>
      </c>
      <c r="B26" s="880" t="str">
        <f>CONCATENATE("Opbrengstverrekening ",Voorblad!D3)</f>
        <v>Opbrengstverrekening 2005</v>
      </c>
      <c r="E26" s="938"/>
      <c r="G26" s="563"/>
    </row>
    <row r="27" spans="1:7" ht="12">
      <c r="A27" s="900">
        <f>A24+1</f>
        <v>1517</v>
      </c>
      <c r="B27" s="1325" t="s">
        <v>313</v>
      </c>
      <c r="C27" s="1326"/>
      <c r="D27" s="1327"/>
      <c r="E27" s="1208"/>
      <c r="G27" s="563"/>
    </row>
    <row r="28" spans="1:7" ht="12">
      <c r="A28" s="900">
        <f>A27+1</f>
        <v>1518</v>
      </c>
      <c r="B28" s="1325" t="str">
        <f>CONCATENATE("Werkelijke opbrengsten ",Voorblad!D3," (regel 1026 van pagina ",Opbrengsten!J2,")")</f>
        <v>Werkelijke opbrengsten 2005 (regel 1026 van pagina 10)</v>
      </c>
      <c r="C28" s="1326"/>
      <c r="D28" s="1327"/>
      <c r="E28" s="897">
        <f>Opbrengsten!J16</f>
        <v>0</v>
      </c>
      <c r="G28" s="563"/>
    </row>
    <row r="29" spans="1:7" ht="12">
      <c r="A29" s="900">
        <f>A28+1</f>
        <v>1519</v>
      </c>
      <c r="B29" s="1316" t="str">
        <f>CONCATENATE("Nog te verrekenen opbrengsten m.b.t. ",Voorblad!D3,"")</f>
        <v>Nog te verrekenen opbrengsten m.b.t. 2005</v>
      </c>
      <c r="C29" s="1317"/>
      <c r="D29" s="1318"/>
      <c r="E29" s="1001">
        <f>E27-E28</f>
        <v>0</v>
      </c>
      <c r="G29" s="563"/>
    </row>
    <row r="30" spans="2:7" ht="12">
      <c r="B30" s="932"/>
      <c r="C30" s="932"/>
      <c r="D30" s="932"/>
      <c r="E30" s="972"/>
      <c r="G30" s="563"/>
    </row>
    <row r="31" spans="1:7" ht="12">
      <c r="A31" s="965"/>
      <c r="G31" s="563"/>
    </row>
    <row r="32" ht="12">
      <c r="G32" s="563"/>
    </row>
    <row r="36" ht="12">
      <c r="G36" s="967"/>
    </row>
  </sheetData>
  <sheetProtection password="CCBC" sheet="1" objects="1" scenarios="1"/>
  <mergeCells count="4">
    <mergeCell ref="C9:D9"/>
    <mergeCell ref="B28:D28"/>
    <mergeCell ref="B29:D29"/>
    <mergeCell ref="B27:D27"/>
  </mergeCells>
  <conditionalFormatting sqref="E27 C16:D17 E21 D23 D12 D18 E19">
    <cfRule type="expression" priority="1" dxfId="0" stopIfTrue="1">
      <formula>$C$2=TRUE</formula>
    </cfRule>
  </conditionalFormatting>
  <printOptions/>
  <pageMargins left="0.75" right="0.75" top="1" bottom="1" header="0.5" footer="0.5"/>
  <pageSetup horizontalDpi="1200" verticalDpi="1200" orientation="landscape" paperSize="9" r:id="rId2"/>
  <drawing r:id="rId1"/>
</worksheet>
</file>

<file path=xl/worksheets/sheet14.xml><?xml version="1.0" encoding="utf-8"?>
<worksheet xmlns="http://schemas.openxmlformats.org/spreadsheetml/2006/main" xmlns:r="http://schemas.openxmlformats.org/officeDocument/2006/relationships">
  <sheetPr codeName="Blad17">
    <pageSetUpPr fitToPage="1"/>
  </sheetPr>
  <dimension ref="A1:K37"/>
  <sheetViews>
    <sheetView showGridLines="0" showRowColHeaders="0" showZeros="0" showOutlineSymbols="0" view="pageBreakPreview" zoomScale="75" zoomScaleNormal="86" zoomScaleSheetLayoutView="75" workbookViewId="0" topLeftCell="A1">
      <selection activeCell="A1" sqref="A1"/>
    </sheetView>
  </sheetViews>
  <sheetFormatPr defaultColWidth="9.140625" defaultRowHeight="12.75"/>
  <cols>
    <col min="1" max="1" width="5.7109375" style="465" customWidth="1"/>
    <col min="2" max="2" width="25.7109375" style="456" customWidth="1"/>
    <col min="3" max="3" width="43.8515625" style="483" customWidth="1"/>
    <col min="4" max="4" width="16.7109375" style="458" customWidth="1"/>
    <col min="5" max="5" width="16.7109375" style="456" customWidth="1"/>
    <col min="6" max="6" width="15.8515625" style="456" customWidth="1"/>
    <col min="7" max="7" width="3.421875" style="456" customWidth="1"/>
    <col min="8" max="8" width="9.00390625" style="466" bestFit="1" customWidth="1"/>
    <col min="9" max="16384" width="9.140625" style="456" customWidth="1"/>
  </cols>
  <sheetData>
    <row r="1" spans="1:11" ht="15.75" customHeight="1">
      <c r="A1" s="41"/>
      <c r="B1" s="42"/>
      <c r="C1" s="42"/>
      <c r="D1" s="43"/>
      <c r="E1" s="42"/>
      <c r="F1" s="45"/>
      <c r="G1" s="457"/>
      <c r="H1" s="458"/>
      <c r="K1" s="454"/>
    </row>
    <row r="2" spans="1:11" s="501" customFormat="1" ht="15.75" customHeight="1">
      <c r="A2" s="584" t="str">
        <f>Inhoud!$A$2</f>
        <v>Nacalculatieformulier 2005</v>
      </c>
      <c r="B2" s="599"/>
      <c r="C2" s="601"/>
      <c r="D2" s="602" t="b">
        <f>Voorblad!D30</f>
        <v>1</v>
      </c>
      <c r="E2" s="602"/>
      <c r="F2" s="536"/>
      <c r="G2" s="598">
        <f>Mutaties!E2+1</f>
        <v>16</v>
      </c>
      <c r="K2" s="502"/>
    </row>
    <row r="3" spans="1:11" ht="12">
      <c r="A3" s="41"/>
      <c r="B3" s="42"/>
      <c r="C3" s="42"/>
      <c r="D3" s="43"/>
      <c r="E3" s="42"/>
      <c r="F3" s="45"/>
      <c r="G3" s="457"/>
      <c r="H3" s="458"/>
      <c r="K3" s="454"/>
    </row>
    <row r="4" spans="2:9" ht="12.75" customHeight="1">
      <c r="B4" s="95"/>
      <c r="C4" s="95"/>
      <c r="D4" s="387"/>
      <c r="E4" s="90"/>
      <c r="F4" s="588"/>
      <c r="G4" s="487"/>
      <c r="H4" s="487"/>
      <c r="I4" s="454"/>
    </row>
    <row r="5" spans="1:8" ht="12.75" customHeight="1">
      <c r="A5" s="41"/>
      <c r="B5" s="95"/>
      <c r="C5" s="95"/>
      <c r="D5" s="95"/>
      <c r="E5" s="163"/>
      <c r="F5" s="165"/>
      <c r="G5" s="497"/>
      <c r="H5" s="497"/>
    </row>
    <row r="6" spans="1:8" ht="12.75" customHeight="1">
      <c r="A6" s="14" t="s">
        <v>151</v>
      </c>
      <c r="B6"/>
      <c r="C6"/>
      <c r="D6"/>
      <c r="E6"/>
      <c r="F6"/>
      <c r="G6" s="474"/>
      <c r="H6" s="482"/>
    </row>
    <row r="7" spans="1:8" s="484" customFormat="1" ht="12.75" customHeight="1">
      <c r="A7"/>
      <c r="B7"/>
      <c r="C7"/>
      <c r="D7"/>
      <c r="E7"/>
      <c r="F7"/>
      <c r="G7" s="474"/>
      <c r="H7" s="482"/>
    </row>
    <row r="8" spans="1:6" ht="12.75" customHeight="1">
      <c r="A8" s="26"/>
      <c r="B8" s="132"/>
      <c r="C8"/>
      <c r="E8" s="476" t="s">
        <v>449</v>
      </c>
      <c r="F8"/>
    </row>
    <row r="9" spans="1:6" ht="12.75" customHeight="1">
      <c r="A9" s="623"/>
      <c r="B9" s="1036" t="s">
        <v>459</v>
      </c>
      <c r="C9" s="636"/>
      <c r="E9" s="471"/>
      <c r="F9"/>
    </row>
    <row r="10" spans="1:6" ht="12.75" customHeight="1">
      <c r="A10" s="733">
        <f>(G2*100)+1</f>
        <v>1601</v>
      </c>
      <c r="B10" s="1037" t="str">
        <f>CONCATENATE('A-G'!B8," (regel ",'A-G'!A23," bijlage ",LEFT('A-G'!A8,1),")")</f>
        <v>Boekwaarde investeringen waarvoor vergunning is verleend (regel 1715 bijlage A)</v>
      </c>
      <c r="C10" s="827"/>
      <c r="D10" s="1038"/>
      <c r="E10" s="1197">
        <f>'A-G'!G23</f>
        <v>0</v>
      </c>
      <c r="F10"/>
    </row>
    <row r="11" spans="1:6" ht="12.75" customHeight="1">
      <c r="A11" s="736">
        <f aca="true" t="shared" si="0" ref="A11:A17">A10+1</f>
        <v>1602</v>
      </c>
      <c r="B11" s="556" t="str">
        <f>CONCATENATE('A-G'!B31," (regel ",'A-G'!A45," bijlage ",LEFT('A-G'!A31,1),")")</f>
        <v>Onderhanden bouwprojecten  met WZV vergunning (geen investeringen meldingsregeling) (regel 1731 bijlage B)</v>
      </c>
      <c r="C11" s="556"/>
      <c r="D11" s="625"/>
      <c r="E11" s="1197">
        <f>'A-G'!G45</f>
        <v>0</v>
      </c>
      <c r="F11"/>
    </row>
    <row r="12" spans="1:6" ht="12.75" customHeight="1">
      <c r="A12" s="736">
        <f t="shared" si="0"/>
        <v>1603</v>
      </c>
      <c r="B12" s="556" t="str">
        <f>CONCATENATE('A-G'!B53," (regel ",'A-G'!A71," bijlage ",LEFT('A-G'!A53,1),")")</f>
        <v>Werkelijke boekwaarde instandhoudingsinvesteringen (inclusief onderhanden werk) (regel 1818 bijlage C)</v>
      </c>
      <c r="C12" s="556"/>
      <c r="D12" s="625"/>
      <c r="E12" s="1197">
        <f>'A-G'!G71</f>
        <v>0</v>
      </c>
      <c r="F12"/>
    </row>
    <row r="13" spans="1:6" ht="12.75" customHeight="1">
      <c r="A13" s="736">
        <f t="shared" si="0"/>
        <v>1604</v>
      </c>
      <c r="B13" s="556" t="str">
        <f>CONCATENATE('A-G'!B76," (regel ",'A-G'!A88," bijlage ",LEFT('A-G'!A76,1),")")</f>
        <v>Normatieve boekwaarde medische en overige inventarissen (regel 1830 bijlage D)</v>
      </c>
      <c r="C13" s="556"/>
      <c r="D13" s="625"/>
      <c r="E13" s="1197">
        <f>'A-G'!G88</f>
        <v>0</v>
      </c>
      <c r="F13"/>
    </row>
    <row r="14" spans="1:6" ht="12.75" customHeight="1">
      <c r="A14" s="736">
        <f t="shared" si="0"/>
        <v>1605</v>
      </c>
      <c r="B14" s="556" t="str">
        <f>CONCATENATE('A-G'!B97," (regel ",'A-G'!A108," bijlage ",LEFT('A-G'!A97,1),")")</f>
        <v>Normatieve boekwaarde medische en overige inventarissen artikel 2 WBMV apparatuur (regel 1911 bijlage E)</v>
      </c>
      <c r="C14" s="738"/>
      <c r="D14" s="755"/>
      <c r="E14" s="1198">
        <f>'A-G'!G108</f>
        <v>0</v>
      </c>
      <c r="F14"/>
    </row>
    <row r="15" spans="1:6" ht="12.75" customHeight="1">
      <c r="A15" s="736">
        <f t="shared" si="0"/>
        <v>1606</v>
      </c>
      <c r="B15" s="556" t="str">
        <f>CONCATENATE('A-G'!B111," (regel ",'A-G'!A114," bijlage ",LEFT('A-G'!A111,1),")")</f>
        <v>Normatief werkkapitaal (regel 1914 bijlage F)</v>
      </c>
      <c r="C15" s="619"/>
      <c r="D15" s="760"/>
      <c r="E15" s="1198">
        <f>'A-G'!G114</f>
        <v>0</v>
      </c>
      <c r="F15"/>
    </row>
    <row r="16" spans="1:6" ht="12.75" customHeight="1">
      <c r="A16" s="736">
        <f t="shared" si="0"/>
        <v>1607</v>
      </c>
      <c r="B16" s="556" t="str">
        <f>CONCATENATE('A-G'!B120," (regel ",'A-G'!A141," bijlage ",LEFT('A-G'!A120,1),")")</f>
        <v>Nog in tarieven te verrekenen kosten/opbrengsten (regel 2018 bijlage G)</v>
      </c>
      <c r="C16" s="619"/>
      <c r="D16" s="760"/>
      <c r="E16" s="1198">
        <f>'A-G'!G141</f>
        <v>0</v>
      </c>
      <c r="F16"/>
    </row>
    <row r="17" spans="1:6" ht="12.75" customHeight="1">
      <c r="A17" s="736">
        <f t="shared" si="0"/>
        <v>1608</v>
      </c>
      <c r="B17" s="759" t="str">
        <f>CONCATENATE("Totaal in aanmerking te nemen activa (regel ",A10," t/m ",A16,")")</f>
        <v>Totaal in aanmerking te nemen activa (regel 1601 t/m 1607)</v>
      </c>
      <c r="C17" s="765"/>
      <c r="D17" s="757"/>
      <c r="E17" s="1199">
        <f>SUM(E10:E16)</f>
        <v>0</v>
      </c>
      <c r="F17"/>
    </row>
    <row r="18" spans="1:6" ht="12.75" customHeight="1">
      <c r="A18" s="635"/>
      <c r="B18" s="1036" t="s">
        <v>460</v>
      </c>
      <c r="C18" s="638"/>
      <c r="D18" s="638"/>
      <c r="E18" s="1200"/>
      <c r="F18"/>
    </row>
    <row r="19" spans="1:6" ht="12.75" customHeight="1">
      <c r="A19" s="736">
        <f>A17+1</f>
        <v>1609</v>
      </c>
      <c r="B19" s="1037" t="str">
        <f>CONCATENATE(H!B7," (regel ",H!A38," bijlage ",LEFT(H!A7,1),")")</f>
        <v>Langlopende leningen (incl. langlopende leasecontracten) (regel 2131 bijlage H)</v>
      </c>
      <c r="C19" s="827"/>
      <c r="D19" s="1038"/>
      <c r="E19" s="1197">
        <f>H!R38</f>
        <v>0</v>
      </c>
      <c r="F19"/>
    </row>
    <row r="20" spans="1:6" ht="12.75" customHeight="1">
      <c r="A20" s="736">
        <f>A19+1</f>
        <v>1610</v>
      </c>
      <c r="B20" s="738" t="str">
        <f>CONCATENATE('I-J'!B6," (regel ",'I-J'!A22," bijlage ",LEFT('I-J'!A6,1),")")</f>
        <v>Eigen vermogen (regel 2316 bijlage I)</v>
      </c>
      <c r="C20" s="738"/>
      <c r="D20" s="755"/>
      <c r="E20" s="1198">
        <f>'I-J'!E22</f>
        <v>0</v>
      </c>
      <c r="F20"/>
    </row>
    <row r="21" spans="1:6" ht="12.75" customHeight="1">
      <c r="A21" s="736">
        <f>A20+1</f>
        <v>1611</v>
      </c>
      <c r="B21" s="756" t="str">
        <f>CONCATENATE("Totaal in aanmerking te nemen passiva (regel ",A19," + ",A20,")")</f>
        <v>Totaal in aanmerking te nemen passiva (regel 1609 + 1610)</v>
      </c>
      <c r="C21" s="762"/>
      <c r="D21" s="757"/>
      <c r="E21" s="1201">
        <f>E19+E20</f>
        <v>0</v>
      </c>
      <c r="F21"/>
    </row>
    <row r="22" spans="1:6" ht="12.75" customHeight="1">
      <c r="A22" s="617"/>
      <c r="B22" s="617"/>
      <c r="C22" s="638"/>
      <c r="D22" s="638"/>
      <c r="E22" s="1200"/>
      <c r="F22"/>
    </row>
    <row r="23" spans="1:6" ht="12.75" customHeight="1">
      <c r="A23" s="736">
        <f>A21+1</f>
        <v>1612</v>
      </c>
      <c r="B23" s="737" t="str">
        <f>CONCATENATE("Verschil tussen activa en passiva (regel ",A17," -/- ",A21,")")</f>
        <v>Verschil tussen activa en passiva (regel 1608 -/- 1611)</v>
      </c>
      <c r="C23" s="762"/>
      <c r="D23" s="757"/>
      <c r="E23" s="1199">
        <f>E17-E21</f>
        <v>0</v>
      </c>
      <c r="F23"/>
    </row>
    <row r="24" spans="1:6" ht="12.75">
      <c r="A24" s="570"/>
      <c r="B24" s="1039" t="s">
        <v>445</v>
      </c>
      <c r="C24" s="617"/>
      <c r="D24" s="570"/>
      <c r="E24" s="1202"/>
      <c r="F24"/>
    </row>
    <row r="25" spans="1:5" ht="12">
      <c r="A25" s="736">
        <f>A23+1</f>
        <v>1613</v>
      </c>
      <c r="B25" s="556" t="str">
        <f>CONCATENATE('I-J'!B26," (regel ",'I-J'!A32," bijlage ",LEFT('I-J'!A26,1),")")</f>
        <v>Rentekosten langlopende leningen (regel 2322 bijlage J)</v>
      </c>
      <c r="C25" s="827"/>
      <c r="D25" s="637"/>
      <c r="E25" s="1197">
        <f>'I-J'!E32</f>
        <v>0</v>
      </c>
    </row>
    <row r="26" spans="1:5" ht="12">
      <c r="A26" s="736">
        <f>A25+1</f>
        <v>1614</v>
      </c>
      <c r="B26" s="556" t="str">
        <f>CONCATENATE("Normrente over verschil activa en passiva (",E32*100," % van regel ",A23,")")</f>
        <v>Normrente over verschil activa en passiva (2,89 % van regel 1612)</v>
      </c>
      <c r="C26" s="556"/>
      <c r="D26" s="625"/>
      <c r="E26" s="1197">
        <f>E32*(E23)</f>
        <v>0</v>
      </c>
    </row>
    <row r="27" spans="1:5" ht="12">
      <c r="A27" s="736">
        <f>A26+1</f>
        <v>1615</v>
      </c>
      <c r="B27" s="738" t="str">
        <f>CONCATENATE("Inflatievergoeding over eigen vermogen ",E33*100,"% over regel ",'I-J'!A22," bijlage ",LEFT('I-J'!A6,1)," (exclusief instandhoudingsreserve)")</f>
        <v>Inflatievergoeding over eigen vermogen 1,42% over regel 2316 bijlage I (exclusief instandhoudingsreserve)</v>
      </c>
      <c r="C27" s="738"/>
      <c r="D27" s="755"/>
      <c r="E27" s="1203">
        <f>IF(('I-J'!E22-'I-J'!E13)&gt;0,E33*('I-J'!E22-'I-J'!E13),0)</f>
        <v>0</v>
      </c>
    </row>
    <row r="28" spans="1:5" ht="12">
      <c r="A28" s="736">
        <f>A27+1</f>
        <v>1616</v>
      </c>
      <c r="B28" s="756" t="str">
        <f>CONCATENATE("Totaal aanvaardbare rentekosten (regel ",A25," tot en met ",A27,")")</f>
        <v>Totaal aanvaardbare rentekosten (regel 1613 tot en met 1615)</v>
      </c>
      <c r="C28" s="762"/>
      <c r="D28" s="757"/>
      <c r="E28" s="1199">
        <f>E25+E26+E27</f>
        <v>0</v>
      </c>
    </row>
    <row r="30" ht="12">
      <c r="B30" s="466" t="s">
        <v>67</v>
      </c>
    </row>
    <row r="31" spans="2:5" ht="12">
      <c r="B31" s="1176"/>
      <c r="C31" s="1177"/>
      <c r="D31" s="1178"/>
      <c r="E31" s="1179" t="s">
        <v>393</v>
      </c>
    </row>
    <row r="32" spans="1:5" ht="13.5">
      <c r="A32" s="736">
        <f>A28+1</f>
        <v>1617</v>
      </c>
      <c r="B32" s="1180" t="s">
        <v>68</v>
      </c>
      <c r="C32" s="1181"/>
      <c r="D32" s="1182"/>
      <c r="E32" s="1183">
        <v>0.0289</v>
      </c>
    </row>
    <row r="33" spans="1:5" ht="13.5">
      <c r="A33" s="736">
        <v>2318</v>
      </c>
      <c r="B33" s="1046" t="s">
        <v>69</v>
      </c>
      <c r="C33" s="1184"/>
      <c r="D33" s="1038"/>
      <c r="E33" s="1183">
        <v>0.0142</v>
      </c>
    </row>
    <row r="34" spans="3:5" ht="12">
      <c r="C34" s="1185"/>
      <c r="D34" s="1186"/>
      <c r="E34" s="1187"/>
    </row>
    <row r="35" ht="13.5">
      <c r="A35" s="1188" t="s">
        <v>70</v>
      </c>
    </row>
    <row r="36" ht="12">
      <c r="A36" s="454" t="s">
        <v>71</v>
      </c>
    </row>
    <row r="37" ht="13.5">
      <c r="A37" s="1189" t="s">
        <v>72</v>
      </c>
    </row>
  </sheetData>
  <sheetProtection password="CCBC" sheet="1" objects="1" scenarios="1"/>
  <conditionalFormatting sqref="G9:G14">
    <cfRule type="expression" priority="1" dxfId="1" stopIfTrue="1">
      <formula>$G$2=TRUE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2"/>
  <headerFooter alignWithMargins="0">
    <oddFooter>&amp;C&amp;"Arial,Vet"&amp;8
</oddFooter>
  </headerFooter>
  <drawing r:id="rId1"/>
</worksheet>
</file>

<file path=xl/worksheets/sheet15.xml><?xml version="1.0" encoding="utf-8"?>
<worksheet xmlns="http://schemas.openxmlformats.org/spreadsheetml/2006/main" xmlns:r="http://schemas.openxmlformats.org/officeDocument/2006/relationships">
  <sheetPr codeName="Blad18"/>
  <dimension ref="A1:L152"/>
  <sheetViews>
    <sheetView showGridLines="0" showRowColHeaders="0" showZeros="0" showOutlineSymbols="0" view="pageBreakPreview" zoomScale="75" zoomScaleNormal="86" zoomScaleSheetLayoutView="75" workbookViewId="0" topLeftCell="A1">
      <selection activeCell="C9" sqref="C9"/>
    </sheetView>
  </sheetViews>
  <sheetFormatPr defaultColWidth="9.140625" defaultRowHeight="12.75"/>
  <cols>
    <col min="1" max="1" width="6.8515625" style="465" customWidth="1"/>
    <col min="2" max="2" width="37.00390625" style="456" customWidth="1"/>
    <col min="3" max="3" width="17.00390625" style="458" customWidth="1"/>
    <col min="4" max="4" width="13.7109375" style="458" customWidth="1"/>
    <col min="5" max="5" width="16.7109375" style="458" customWidth="1"/>
    <col min="6" max="6" width="17.7109375" style="458" customWidth="1"/>
    <col min="7" max="7" width="17.7109375" style="456" customWidth="1"/>
    <col min="8" max="8" width="1.7109375" style="456" customWidth="1"/>
    <col min="9" max="9" width="10.7109375" style="456" customWidth="1"/>
    <col min="10" max="10" width="10.7109375" style="454" customWidth="1"/>
    <col min="11" max="15" width="10.7109375" style="456" customWidth="1"/>
    <col min="16" max="23" width="9.140625" style="456" customWidth="1"/>
    <col min="24" max="24" width="1.7109375" style="456" customWidth="1"/>
    <col min="25" max="16384" width="9.140625" style="456" customWidth="1"/>
  </cols>
  <sheetData>
    <row r="1" spans="1:7" ht="15.75" customHeight="1">
      <c r="A1" s="623"/>
      <c r="B1" s="570"/>
      <c r="C1" s="42"/>
      <c r="D1" s="42"/>
      <c r="E1" s="42"/>
      <c r="F1" s="42"/>
      <c r="G1" s="570"/>
    </row>
    <row r="2" spans="1:10" s="501" customFormat="1" ht="15.75" customHeight="1">
      <c r="A2" s="584" t="str">
        <f>Inhoud!$A$2</f>
        <v>Nacalculatieformulier 2005</v>
      </c>
      <c r="B2" s="599"/>
      <c r="C2" s="601"/>
      <c r="D2" s="601"/>
      <c r="E2" s="602" t="b">
        <f>Voorblad!D30</f>
        <v>1</v>
      </c>
      <c r="F2" s="602"/>
      <c r="G2" s="598">
        <f>'Rentecalc.'!G2+1</f>
        <v>17</v>
      </c>
      <c r="J2" s="502"/>
    </row>
    <row r="3" spans="1:7" ht="12.75" customHeight="1">
      <c r="A3" s="623"/>
      <c r="B3" s="570"/>
      <c r="C3" s="42"/>
      <c r="D3" s="42"/>
      <c r="E3" s="42"/>
      <c r="F3" s="42"/>
      <c r="G3" s="570"/>
    </row>
    <row r="4" spans="1:7" ht="12.75" customHeight="1">
      <c r="A4" s="14" t="s">
        <v>152</v>
      </c>
      <c r="B4" s="570"/>
      <c r="C4" s="42"/>
      <c r="D4" s="42"/>
      <c r="E4" s="42"/>
      <c r="F4" s="42"/>
      <c r="G4" s="570"/>
    </row>
    <row r="5" spans="1:10" ht="12.75" customHeight="1">
      <c r="A5" s="593"/>
      <c r="B5" s="644"/>
      <c r="C5" s="615" t="s">
        <v>469</v>
      </c>
      <c r="D5" s="620" t="s">
        <v>432</v>
      </c>
      <c r="E5" s="615" t="s">
        <v>431</v>
      </c>
      <c r="F5" s="1398" t="s">
        <v>396</v>
      </c>
      <c r="G5" s="1399"/>
      <c r="H5" s="501"/>
      <c r="I5" s="501"/>
      <c r="J5" s="501"/>
    </row>
    <row r="6" spans="1:7" s="501" customFormat="1" ht="12.75" customHeight="1">
      <c r="A6" s="593"/>
      <c r="B6" s="644"/>
      <c r="C6" s="622"/>
      <c r="D6" s="622"/>
      <c r="E6" s="622"/>
      <c r="F6" s="645" t="s">
        <v>423</v>
      </c>
      <c r="G6" s="621" t="s">
        <v>418</v>
      </c>
    </row>
    <row r="7" spans="1:10" s="501" customFormat="1" ht="12" customHeight="1">
      <c r="A7" s="643"/>
      <c r="B7" s="646"/>
      <c r="C7" s="29"/>
      <c r="D7" s="29"/>
      <c r="E7" s="30"/>
      <c r="F7" s="647"/>
      <c r="G7" s="30"/>
      <c r="H7" s="454"/>
      <c r="I7" s="454"/>
      <c r="J7" s="454"/>
    </row>
    <row r="8" spans="1:10" s="454" customFormat="1" ht="12" customHeight="1">
      <c r="A8" s="14" t="s">
        <v>474</v>
      </c>
      <c r="B8" s="626" t="s">
        <v>517</v>
      </c>
      <c r="C8" s="648"/>
      <c r="D8" s="636"/>
      <c r="E8" s="95"/>
      <c r="F8" s="588"/>
      <c r="G8" s="636"/>
      <c r="I8" s="456"/>
      <c r="J8" s="456"/>
    </row>
    <row r="9" spans="1:10" ht="12" customHeight="1">
      <c r="A9" s="733">
        <f>(100*G2)+1</f>
        <v>1701</v>
      </c>
      <c r="B9" s="624" t="str">
        <f>CONCATENATE("Stand per 31-12-",Voorblad!D3-1)</f>
        <v>Stand per 31-12-2004</v>
      </c>
      <c r="C9" s="488"/>
      <c r="D9" s="491">
        <v>0</v>
      </c>
      <c r="E9" s="490">
        <f aca="true" t="shared" si="0" ref="E9:E22">C9-D9</f>
        <v>0</v>
      </c>
      <c r="F9" s="831">
        <v>1</v>
      </c>
      <c r="G9" s="480">
        <f>E9*F9</f>
        <v>0</v>
      </c>
      <c r="J9" s="456"/>
    </row>
    <row r="10" spans="1:10" ht="12" customHeight="1">
      <c r="A10" s="733">
        <f aca="true" t="shared" si="1" ref="A10:A25">A9+1</f>
        <v>1702</v>
      </c>
      <c r="B10" s="624" t="str">
        <f>CONCATENATE("Geheel afgeschreven in ",Voorblad!D3)</f>
        <v>Geheel afgeschreven in 2005</v>
      </c>
      <c r="C10" s="489">
        <v>0</v>
      </c>
      <c r="D10" s="488"/>
      <c r="E10" s="490">
        <f t="shared" si="0"/>
        <v>0</v>
      </c>
      <c r="F10" s="828"/>
      <c r="G10" s="480"/>
      <c r="J10" s="456"/>
    </row>
    <row r="11" spans="1:10" ht="12" customHeight="1">
      <c r="A11" s="733">
        <f t="shared" si="1"/>
        <v>1703</v>
      </c>
      <c r="B11" s="624" t="s">
        <v>160</v>
      </c>
      <c r="C11" s="488"/>
      <c r="D11" s="491">
        <v>0</v>
      </c>
      <c r="E11" s="490">
        <f t="shared" si="0"/>
        <v>0</v>
      </c>
      <c r="F11" s="831">
        <v>0.9583</v>
      </c>
      <c r="G11" s="480">
        <f aca="true" t="shared" si="2" ref="G11:G22">E11*F11</f>
        <v>0</v>
      </c>
      <c r="J11" s="456"/>
    </row>
    <row r="12" spans="1:10" ht="12" customHeight="1">
      <c r="A12" s="733">
        <f t="shared" si="1"/>
        <v>1704</v>
      </c>
      <c r="B12" s="624" t="s">
        <v>161</v>
      </c>
      <c r="C12" s="488"/>
      <c r="D12" s="491">
        <v>0</v>
      </c>
      <c r="E12" s="490">
        <f t="shared" si="0"/>
        <v>0</v>
      </c>
      <c r="F12" s="831">
        <v>0.875</v>
      </c>
      <c r="G12" s="480">
        <f t="shared" si="2"/>
        <v>0</v>
      </c>
      <c r="J12" s="456"/>
    </row>
    <row r="13" spans="1:10" ht="12" customHeight="1">
      <c r="A13" s="733">
        <f t="shared" si="1"/>
        <v>1705</v>
      </c>
      <c r="B13" s="624" t="s">
        <v>162</v>
      </c>
      <c r="C13" s="488"/>
      <c r="D13" s="491">
        <v>0</v>
      </c>
      <c r="E13" s="490">
        <f t="shared" si="0"/>
        <v>0</v>
      </c>
      <c r="F13" s="831">
        <v>0.7917</v>
      </c>
      <c r="G13" s="480">
        <f t="shared" si="2"/>
        <v>0</v>
      </c>
      <c r="J13" s="456"/>
    </row>
    <row r="14" spans="1:10" ht="12" customHeight="1">
      <c r="A14" s="733">
        <f t="shared" si="1"/>
        <v>1706</v>
      </c>
      <c r="B14" s="624" t="s">
        <v>163</v>
      </c>
      <c r="C14" s="488"/>
      <c r="D14" s="491">
        <v>0</v>
      </c>
      <c r="E14" s="490">
        <f t="shared" si="0"/>
        <v>0</v>
      </c>
      <c r="F14" s="831">
        <v>0.7083</v>
      </c>
      <c r="G14" s="480">
        <f t="shared" si="2"/>
        <v>0</v>
      </c>
      <c r="J14" s="456"/>
    </row>
    <row r="15" spans="1:10" ht="12" customHeight="1">
      <c r="A15" s="733">
        <f t="shared" si="1"/>
        <v>1707</v>
      </c>
      <c r="B15" s="624" t="s">
        <v>164</v>
      </c>
      <c r="C15" s="488"/>
      <c r="D15" s="491">
        <v>0</v>
      </c>
      <c r="E15" s="490">
        <f t="shared" si="0"/>
        <v>0</v>
      </c>
      <c r="F15" s="831">
        <v>0.625</v>
      </c>
      <c r="G15" s="480">
        <f t="shared" si="2"/>
        <v>0</v>
      </c>
      <c r="J15" s="456"/>
    </row>
    <row r="16" spans="1:10" ht="12" customHeight="1">
      <c r="A16" s="733">
        <f t="shared" si="1"/>
        <v>1708</v>
      </c>
      <c r="B16" s="624" t="s">
        <v>165</v>
      </c>
      <c r="C16" s="488"/>
      <c r="D16" s="491">
        <v>0</v>
      </c>
      <c r="E16" s="490">
        <f t="shared" si="0"/>
        <v>0</v>
      </c>
      <c r="F16" s="831">
        <v>0.5417</v>
      </c>
      <c r="G16" s="480">
        <f t="shared" si="2"/>
        <v>0</v>
      </c>
      <c r="J16" s="456"/>
    </row>
    <row r="17" spans="1:10" ht="12" customHeight="1">
      <c r="A17" s="733">
        <f t="shared" si="1"/>
        <v>1709</v>
      </c>
      <c r="B17" s="624" t="s">
        <v>166</v>
      </c>
      <c r="C17" s="488"/>
      <c r="D17" s="491">
        <v>0</v>
      </c>
      <c r="E17" s="490">
        <f t="shared" si="0"/>
        <v>0</v>
      </c>
      <c r="F17" s="831">
        <v>0.4583</v>
      </c>
      <c r="G17" s="480">
        <f t="shared" si="2"/>
        <v>0</v>
      </c>
      <c r="J17" s="456"/>
    </row>
    <row r="18" spans="1:10" ht="12" customHeight="1">
      <c r="A18" s="733">
        <f t="shared" si="1"/>
        <v>1710</v>
      </c>
      <c r="B18" s="624" t="s">
        <v>167</v>
      </c>
      <c r="C18" s="488"/>
      <c r="D18" s="491">
        <v>0</v>
      </c>
      <c r="E18" s="490">
        <f t="shared" si="0"/>
        <v>0</v>
      </c>
      <c r="F18" s="831">
        <v>0.375</v>
      </c>
      <c r="G18" s="480">
        <f t="shared" si="2"/>
        <v>0</v>
      </c>
      <c r="J18" s="456"/>
    </row>
    <row r="19" spans="1:10" ht="12" customHeight="1">
      <c r="A19" s="733">
        <f t="shared" si="1"/>
        <v>1711</v>
      </c>
      <c r="B19" s="624" t="s">
        <v>168</v>
      </c>
      <c r="C19" s="488"/>
      <c r="D19" s="491">
        <v>0</v>
      </c>
      <c r="E19" s="490">
        <f t="shared" si="0"/>
        <v>0</v>
      </c>
      <c r="F19" s="831">
        <v>0.2917</v>
      </c>
      <c r="G19" s="480">
        <f t="shared" si="2"/>
        <v>0</v>
      </c>
      <c r="J19" s="456"/>
    </row>
    <row r="20" spans="1:10" ht="12" customHeight="1">
      <c r="A20" s="733">
        <f t="shared" si="1"/>
        <v>1712</v>
      </c>
      <c r="B20" s="624" t="s">
        <v>169</v>
      </c>
      <c r="C20" s="488"/>
      <c r="D20" s="491">
        <v>0</v>
      </c>
      <c r="E20" s="490">
        <f t="shared" si="0"/>
        <v>0</v>
      </c>
      <c r="F20" s="831">
        <v>0.2083</v>
      </c>
      <c r="G20" s="480">
        <f t="shared" si="2"/>
        <v>0</v>
      </c>
      <c r="J20" s="456"/>
    </row>
    <row r="21" spans="1:10" ht="12" customHeight="1">
      <c r="A21" s="733">
        <f t="shared" si="1"/>
        <v>1713</v>
      </c>
      <c r="B21" s="624" t="s">
        <v>170</v>
      </c>
      <c r="C21" s="488"/>
      <c r="D21" s="491">
        <v>0</v>
      </c>
      <c r="E21" s="490">
        <f t="shared" si="0"/>
        <v>0</v>
      </c>
      <c r="F21" s="831">
        <v>0.125</v>
      </c>
      <c r="G21" s="480">
        <f t="shared" si="2"/>
        <v>0</v>
      </c>
      <c r="J21" s="456"/>
    </row>
    <row r="22" spans="1:10" ht="12" customHeight="1">
      <c r="A22" s="733">
        <f t="shared" si="1"/>
        <v>1714</v>
      </c>
      <c r="B22" s="649" t="s">
        <v>171</v>
      </c>
      <c r="C22" s="739"/>
      <c r="D22" s="832">
        <v>0</v>
      </c>
      <c r="E22" s="833">
        <f t="shared" si="0"/>
        <v>0</v>
      </c>
      <c r="F22" s="834">
        <v>0.0417</v>
      </c>
      <c r="G22" s="751">
        <f t="shared" si="2"/>
        <v>0</v>
      </c>
      <c r="J22" s="456"/>
    </row>
    <row r="23" spans="1:7" ht="12" customHeight="1">
      <c r="A23" s="733">
        <f t="shared" si="1"/>
        <v>1715</v>
      </c>
      <c r="B23" s="745" t="str">
        <f>CONCATENATE("Stand per 31-12-",Voorblad!$D$3," (",A9," t/m ",A22,")")</f>
        <v>Stand per 31-12-2005 (1701 t/m 1714)</v>
      </c>
      <c r="C23" s="753">
        <f>C9-C10+SUM(C11:C22)</f>
        <v>0</v>
      </c>
      <c r="D23" s="817">
        <f>D9-D10+SUM(D11:D22)</f>
        <v>0</v>
      </c>
      <c r="E23" s="763">
        <f>SUM(E9:E22)</f>
        <v>0</v>
      </c>
      <c r="F23" s="764"/>
      <c r="G23" s="735">
        <f>SUM(G9:G22)</f>
        <v>0</v>
      </c>
    </row>
    <row r="24" spans="1:10" ht="12" customHeight="1">
      <c r="A24" s="733">
        <f t="shared" si="1"/>
        <v>1716</v>
      </c>
      <c r="B24" s="768" t="s">
        <v>327</v>
      </c>
      <c r="C24" s="1008"/>
      <c r="D24" s="966">
        <f>Afschrijvingen!G19+D9-D10</f>
        <v>0</v>
      </c>
      <c r="E24" s="466"/>
      <c r="F24" s="466"/>
      <c r="G24" s="466"/>
      <c r="H24" s="475"/>
      <c r="I24" s="466"/>
      <c r="J24" s="456"/>
    </row>
    <row r="25" spans="1:9" s="466" customFormat="1" ht="12" customHeight="1">
      <c r="A25" s="733">
        <f t="shared" si="1"/>
        <v>1717</v>
      </c>
      <c r="B25" s="745" t="s">
        <v>90</v>
      </c>
      <c r="C25" s="1009"/>
      <c r="D25" s="1019">
        <f>D23-D24</f>
        <v>0</v>
      </c>
      <c r="E25" s="458"/>
      <c r="F25" s="456"/>
      <c r="G25" s="456"/>
      <c r="H25" s="456"/>
      <c r="I25" s="454"/>
    </row>
    <row r="26" spans="1:7" ht="12" customHeight="1">
      <c r="A26" s="570"/>
      <c r="F26" s="560"/>
      <c r="G26" s="1006"/>
    </row>
    <row r="27" spans="1:7" ht="12">
      <c r="A27" s="593"/>
      <c r="B27" s="644"/>
      <c r="C27" s="615" t="s">
        <v>174</v>
      </c>
      <c r="D27" s="657" t="s">
        <v>426</v>
      </c>
      <c r="E27" s="1401" t="s">
        <v>399</v>
      </c>
      <c r="F27" s="1402"/>
      <c r="G27" s="1403"/>
    </row>
    <row r="28" spans="1:7" ht="12">
      <c r="A28" s="593"/>
      <c r="B28" s="644"/>
      <c r="C28" s="630" t="s">
        <v>187</v>
      </c>
      <c r="D28" s="1007" t="s">
        <v>429</v>
      </c>
      <c r="E28" s="1404"/>
      <c r="F28" s="1405"/>
      <c r="G28" s="1406"/>
    </row>
    <row r="29" spans="1:7" ht="12">
      <c r="A29" s="593"/>
      <c r="B29" s="644"/>
      <c r="C29" s="622" t="s">
        <v>430</v>
      </c>
      <c r="D29" s="956" t="s">
        <v>434</v>
      </c>
      <c r="E29" s="645" t="s">
        <v>172</v>
      </c>
      <c r="F29" s="645" t="s">
        <v>173</v>
      </c>
      <c r="G29" s="1056" t="s">
        <v>418</v>
      </c>
    </row>
    <row r="30" spans="1:7" ht="12">
      <c r="A30" s="643"/>
      <c r="B30" s="646"/>
      <c r="C30" s="29"/>
      <c r="D30" s="29"/>
      <c r="E30" s="30"/>
      <c r="F30" s="647"/>
      <c r="G30" s="30"/>
    </row>
    <row r="31" spans="1:7" ht="12">
      <c r="A31" s="14" t="s">
        <v>475</v>
      </c>
      <c r="B31" s="646" t="s">
        <v>145</v>
      </c>
      <c r="C31" s="648"/>
      <c r="D31" s="636"/>
      <c r="E31" s="636"/>
      <c r="F31" s="588"/>
      <c r="G31" s="636"/>
    </row>
    <row r="32" spans="1:7" ht="12.75">
      <c r="A32" s="733">
        <f>A25+1</f>
        <v>1718</v>
      </c>
      <c r="B32" s="624" t="str">
        <f>CONCATENATE("Stand per 31-12-",Voorblad!D3-1)</f>
        <v>Stand per 31-12-2004</v>
      </c>
      <c r="C32" s="488"/>
      <c r="D32"/>
      <c r="E32" s="835">
        <v>1</v>
      </c>
      <c r="F32" s="829"/>
      <c r="G32" s="480">
        <f>C32*E32</f>
        <v>0</v>
      </c>
    </row>
    <row r="33" spans="1:7" ht="12">
      <c r="A33" s="733">
        <f>A32+1</f>
        <v>1719</v>
      </c>
      <c r="B33" s="624" t="s">
        <v>175</v>
      </c>
      <c r="C33" s="488"/>
      <c r="D33" s="491">
        <v>0</v>
      </c>
      <c r="E33" s="835">
        <f>10.5/12</f>
        <v>0.875</v>
      </c>
      <c r="F33" s="835">
        <v>0.9583</v>
      </c>
      <c r="G33" s="480">
        <f aca="true" t="shared" si="3" ref="G33:G44">C33*E33-D33*F33</f>
        <v>0</v>
      </c>
    </row>
    <row r="34" spans="1:7" ht="12">
      <c r="A34" s="733">
        <f aca="true" t="shared" si="4" ref="A34:A45">A33+1</f>
        <v>1720</v>
      </c>
      <c r="B34" s="624" t="s">
        <v>176</v>
      </c>
      <c r="C34" s="488"/>
      <c r="D34" s="491">
        <v>0</v>
      </c>
      <c r="E34" s="835">
        <f>9.5/12</f>
        <v>0.7916666666666666</v>
      </c>
      <c r="F34" s="835">
        <v>0.875</v>
      </c>
      <c r="G34" s="480">
        <f t="shared" si="3"/>
        <v>0</v>
      </c>
    </row>
    <row r="35" spans="1:7" ht="12">
      <c r="A35" s="733">
        <f t="shared" si="4"/>
        <v>1721</v>
      </c>
      <c r="B35" s="624" t="s">
        <v>177</v>
      </c>
      <c r="C35" s="488"/>
      <c r="D35" s="491">
        <v>0</v>
      </c>
      <c r="E35" s="835">
        <f>8.5/12</f>
        <v>0.7083333333333334</v>
      </c>
      <c r="F35" s="835">
        <v>0.7917</v>
      </c>
      <c r="G35" s="480">
        <f t="shared" si="3"/>
        <v>0</v>
      </c>
    </row>
    <row r="36" spans="1:7" ht="12">
      <c r="A36" s="733">
        <f t="shared" si="4"/>
        <v>1722</v>
      </c>
      <c r="B36" s="624" t="s">
        <v>178</v>
      </c>
      <c r="C36" s="488"/>
      <c r="D36" s="491">
        <v>0</v>
      </c>
      <c r="E36" s="835">
        <f>7.5/12</f>
        <v>0.625</v>
      </c>
      <c r="F36" s="835">
        <v>0.7083</v>
      </c>
      <c r="G36" s="480">
        <f t="shared" si="3"/>
        <v>0</v>
      </c>
    </row>
    <row r="37" spans="1:7" ht="12">
      <c r="A37" s="733">
        <f t="shared" si="4"/>
        <v>1723</v>
      </c>
      <c r="B37" s="624" t="s">
        <v>179</v>
      </c>
      <c r="C37" s="488"/>
      <c r="D37" s="491">
        <v>0</v>
      </c>
      <c r="E37" s="835">
        <f>6.5/12</f>
        <v>0.5416666666666666</v>
      </c>
      <c r="F37" s="835">
        <v>0.625</v>
      </c>
      <c r="G37" s="480">
        <f t="shared" si="3"/>
        <v>0</v>
      </c>
    </row>
    <row r="38" spans="1:7" ht="12">
      <c r="A38" s="733">
        <f t="shared" si="4"/>
        <v>1724</v>
      </c>
      <c r="B38" s="624" t="s">
        <v>180</v>
      </c>
      <c r="C38" s="488"/>
      <c r="D38" s="491">
        <v>0</v>
      </c>
      <c r="E38" s="835">
        <f>5.5/12</f>
        <v>0.4583333333333333</v>
      </c>
      <c r="F38" s="835">
        <v>0.5417</v>
      </c>
      <c r="G38" s="480">
        <f t="shared" si="3"/>
        <v>0</v>
      </c>
    </row>
    <row r="39" spans="1:7" ht="12">
      <c r="A39" s="733">
        <f t="shared" si="4"/>
        <v>1725</v>
      </c>
      <c r="B39" s="624" t="s">
        <v>181</v>
      </c>
      <c r="C39" s="488"/>
      <c r="D39" s="491">
        <v>0</v>
      </c>
      <c r="E39" s="835">
        <f>4.5/12</f>
        <v>0.375</v>
      </c>
      <c r="F39" s="835">
        <v>0.4583</v>
      </c>
      <c r="G39" s="480">
        <f t="shared" si="3"/>
        <v>0</v>
      </c>
    </row>
    <row r="40" spans="1:7" ht="12">
      <c r="A40" s="733">
        <f t="shared" si="4"/>
        <v>1726</v>
      </c>
      <c r="B40" s="624" t="s">
        <v>182</v>
      </c>
      <c r="C40" s="488"/>
      <c r="D40" s="491">
        <v>0</v>
      </c>
      <c r="E40" s="835">
        <f>3.5/12</f>
        <v>0.2916666666666667</v>
      </c>
      <c r="F40" s="835">
        <v>0.375</v>
      </c>
      <c r="G40" s="480">
        <f t="shared" si="3"/>
        <v>0</v>
      </c>
    </row>
    <row r="41" spans="1:7" ht="12">
      <c r="A41" s="733">
        <f t="shared" si="4"/>
        <v>1727</v>
      </c>
      <c r="B41" s="624" t="s">
        <v>183</v>
      </c>
      <c r="C41" s="488"/>
      <c r="D41" s="491">
        <v>0</v>
      </c>
      <c r="E41" s="835">
        <f>2.5/12</f>
        <v>0.20833333333333334</v>
      </c>
      <c r="F41" s="835">
        <v>0.2917</v>
      </c>
      <c r="G41" s="480">
        <f t="shared" si="3"/>
        <v>0</v>
      </c>
    </row>
    <row r="42" spans="1:7" ht="12">
      <c r="A42" s="733">
        <f t="shared" si="4"/>
        <v>1728</v>
      </c>
      <c r="B42" s="624" t="s">
        <v>184</v>
      </c>
      <c r="C42" s="488"/>
      <c r="D42" s="491">
        <v>0</v>
      </c>
      <c r="E42" s="835">
        <f>1.5/12</f>
        <v>0.125</v>
      </c>
      <c r="F42" s="835">
        <v>0.2083</v>
      </c>
      <c r="G42" s="480">
        <f t="shared" si="3"/>
        <v>0</v>
      </c>
    </row>
    <row r="43" spans="1:7" ht="12">
      <c r="A43" s="733">
        <f t="shared" si="4"/>
        <v>1729</v>
      </c>
      <c r="B43" s="624" t="s">
        <v>185</v>
      </c>
      <c r="C43" s="488"/>
      <c r="D43" s="491">
        <v>0</v>
      </c>
      <c r="E43" s="835">
        <f>0.5/12</f>
        <v>0.041666666666666664</v>
      </c>
      <c r="F43" s="835">
        <v>0.125</v>
      </c>
      <c r="G43" s="480">
        <f t="shared" si="3"/>
        <v>0</v>
      </c>
    </row>
    <row r="44" spans="1:7" ht="12">
      <c r="A44" s="733">
        <f t="shared" si="4"/>
        <v>1730</v>
      </c>
      <c r="B44" s="624" t="s">
        <v>186</v>
      </c>
      <c r="C44" s="488"/>
      <c r="D44" s="491">
        <v>0</v>
      </c>
      <c r="E44" s="836">
        <f>-0.5/12</f>
        <v>-0.041666666666666664</v>
      </c>
      <c r="F44" s="835">
        <v>0.0417</v>
      </c>
      <c r="G44" s="480">
        <f t="shared" si="3"/>
        <v>0</v>
      </c>
    </row>
    <row r="45" spans="1:7" ht="12.75">
      <c r="A45" s="733">
        <f t="shared" si="4"/>
        <v>1731</v>
      </c>
      <c r="B45" s="745" t="str">
        <f>CONCATENATE("Stand per 31-12-",Voorblad!$D$3," (",A32," t/m ",A44,")")</f>
        <v>Stand per 31-12-2005 (1718 t/m 1730)</v>
      </c>
      <c r="C45" s="741">
        <f>SUM(C32:C44)</f>
        <v>0</v>
      </c>
      <c r="D45" s="817">
        <f>SUM(D33:D44)</f>
        <v>0</v>
      </c>
      <c r="E45"/>
      <c r="F45"/>
      <c r="G45" s="741">
        <f>SUM(G32:G44)</f>
        <v>0</v>
      </c>
    </row>
    <row r="46" spans="1:5" ht="12.75">
      <c r="A46" s="733">
        <f>A45+1</f>
        <v>1732</v>
      </c>
      <c r="B46" s="745" t="str">
        <f>CONCATENATE("Saldo per 31-12-",Voorblad!$D$3,)</f>
        <v>Saldo per 31-12-2005</v>
      </c>
      <c r="C46" s="741">
        <f>C45-D45</f>
        <v>0</v>
      </c>
      <c r="D46"/>
      <c r="E46" s="467"/>
    </row>
    <row r="47" spans="1:5" ht="12">
      <c r="A47" s="478"/>
      <c r="B47" s="454"/>
      <c r="C47" s="467"/>
      <c r="D47" s="467"/>
      <c r="E47" s="467"/>
    </row>
    <row r="48" spans="1:7" ht="12">
      <c r="A48" s="584" t="str">
        <f>Inhoud!$A$2</f>
        <v>Nacalculatieformulier 2005</v>
      </c>
      <c r="B48" s="599"/>
      <c r="C48" s="601"/>
      <c r="D48" s="601"/>
      <c r="E48" s="602" t="b">
        <f>Voorblad!D30</f>
        <v>1</v>
      </c>
      <c r="F48" s="602">
        <f>Voorblad!I30</f>
        <v>0</v>
      </c>
      <c r="G48" s="598">
        <f>G2+1</f>
        <v>18</v>
      </c>
    </row>
    <row r="49" spans="1:7" ht="12.75">
      <c r="A49" s="623"/>
      <c r="B49" s="636"/>
      <c r="C49" s="636"/>
      <c r="D49" s="636"/>
      <c r="E49"/>
      <c r="F49" s="588"/>
      <c r="G49" s="636"/>
    </row>
    <row r="50" spans="1:7" ht="12">
      <c r="A50" s="593"/>
      <c r="B50" s="644"/>
      <c r="C50" s="615" t="s">
        <v>469</v>
      </c>
      <c r="D50" s="615" t="s">
        <v>470</v>
      </c>
      <c r="E50" s="1057" t="s">
        <v>431</v>
      </c>
      <c r="F50" s="1400" t="s">
        <v>396</v>
      </c>
      <c r="G50" s="1399"/>
    </row>
    <row r="51" spans="1:7" ht="12">
      <c r="A51" s="593"/>
      <c r="B51" s="644"/>
      <c r="C51" s="622"/>
      <c r="D51" s="650"/>
      <c r="E51" s="622"/>
      <c r="F51" s="651" t="s">
        <v>423</v>
      </c>
      <c r="G51" s="1056" t="s">
        <v>418</v>
      </c>
    </row>
    <row r="52" spans="1:7" ht="12">
      <c r="A52" s="643"/>
      <c r="B52" s="617"/>
      <c r="C52" s="42"/>
      <c r="D52" s="42"/>
      <c r="E52" s="42"/>
      <c r="F52" s="42"/>
      <c r="G52" s="570"/>
    </row>
    <row r="53" spans="1:7" ht="12">
      <c r="A53" s="14" t="s">
        <v>476</v>
      </c>
      <c r="B53" s="626" t="s">
        <v>146</v>
      </c>
      <c r="C53" s="648"/>
      <c r="D53" s="636"/>
      <c r="E53" s="636"/>
      <c r="F53" s="588"/>
      <c r="G53" s="636"/>
    </row>
    <row r="54" spans="1:7" ht="13.5" customHeight="1">
      <c r="A54" s="733">
        <f>G48*100+1</f>
        <v>1801</v>
      </c>
      <c r="B54" s="624" t="str">
        <f>CONCATENATE("Geactiveerd per 31-12-",Voorblad!D3-1)</f>
        <v>Geactiveerd per 31-12-2004</v>
      </c>
      <c r="C54" s="488"/>
      <c r="D54" s="489">
        <v>0</v>
      </c>
      <c r="E54" s="493">
        <f>C54-D54</f>
        <v>0</v>
      </c>
      <c r="F54" s="652">
        <v>1</v>
      </c>
      <c r="G54" s="480">
        <f>E54*F54</f>
        <v>0</v>
      </c>
    </row>
    <row r="55" spans="1:7" ht="12">
      <c r="A55" s="733">
        <f aca="true" t="shared" si="5" ref="A55:A71">A54+1</f>
        <v>1802</v>
      </c>
      <c r="B55" s="624" t="str">
        <f>CONCATENATE("Geheel afgeschreven in ",Voorblad!D3-1)</f>
        <v>Geheel afgeschreven in 2004</v>
      </c>
      <c r="C55" s="489">
        <v>0</v>
      </c>
      <c r="D55" s="488"/>
      <c r="E55" s="490">
        <f>C55-D55</f>
        <v>0</v>
      </c>
      <c r="F55" s="652"/>
      <c r="G55" s="480"/>
    </row>
    <row r="56" spans="1:7" ht="12.75">
      <c r="A56" s="733">
        <f t="shared" si="5"/>
        <v>1803</v>
      </c>
      <c r="B56" s="624" t="str">
        <f>CONCATENATE("Onderhanden werk per  31-12-",Voorblad!D3-1)</f>
        <v>Onderhanden werk per  31-12-2004</v>
      </c>
      <c r="C56" s="488"/>
      <c r="D56"/>
      <c r="E56" s="493">
        <f>C56</f>
        <v>0</v>
      </c>
      <c r="F56" s="652">
        <v>1</v>
      </c>
      <c r="G56" s="480">
        <f>E56*F56</f>
        <v>0</v>
      </c>
    </row>
    <row r="57" spans="1:7" ht="12" customHeight="1">
      <c r="A57" s="733">
        <f t="shared" si="5"/>
        <v>1804</v>
      </c>
      <c r="B57" s="624" t="s">
        <v>293</v>
      </c>
      <c r="C57" s="488"/>
      <c r="D57"/>
      <c r="E57" s="493">
        <f aca="true" t="shared" si="6" ref="E57:E68">C57</f>
        <v>0</v>
      </c>
      <c r="F57" s="835">
        <f>10.5/12</f>
        <v>0.875</v>
      </c>
      <c r="G57" s="480">
        <f aca="true" t="shared" si="7" ref="G57:G67">E57*F57</f>
        <v>0</v>
      </c>
    </row>
    <row r="58" spans="1:7" ht="12" customHeight="1">
      <c r="A58" s="733">
        <f t="shared" si="5"/>
        <v>1805</v>
      </c>
      <c r="B58" s="624" t="s">
        <v>294</v>
      </c>
      <c r="C58" s="488"/>
      <c r="D58"/>
      <c r="E58" s="493">
        <f t="shared" si="6"/>
        <v>0</v>
      </c>
      <c r="F58" s="835">
        <f>9.5/12</f>
        <v>0.7916666666666666</v>
      </c>
      <c r="G58" s="480">
        <f t="shared" si="7"/>
        <v>0</v>
      </c>
    </row>
    <row r="59" spans="1:7" ht="12" customHeight="1">
      <c r="A59" s="733">
        <f t="shared" si="5"/>
        <v>1806</v>
      </c>
      <c r="B59" s="624" t="s">
        <v>295</v>
      </c>
      <c r="C59" s="488"/>
      <c r="D59"/>
      <c r="E59" s="493">
        <f t="shared" si="6"/>
        <v>0</v>
      </c>
      <c r="F59" s="835">
        <f>8.5/12</f>
        <v>0.7083333333333334</v>
      </c>
      <c r="G59" s="480">
        <f t="shared" si="7"/>
        <v>0</v>
      </c>
    </row>
    <row r="60" spans="1:7" ht="12" customHeight="1">
      <c r="A60" s="733">
        <f t="shared" si="5"/>
        <v>1807</v>
      </c>
      <c r="B60" s="624" t="s">
        <v>302</v>
      </c>
      <c r="C60" s="488"/>
      <c r="D60"/>
      <c r="E60" s="493">
        <f t="shared" si="6"/>
        <v>0</v>
      </c>
      <c r="F60" s="835">
        <f>7.5/12</f>
        <v>0.625</v>
      </c>
      <c r="G60" s="480">
        <f t="shared" si="7"/>
        <v>0</v>
      </c>
    </row>
    <row r="61" spans="1:7" ht="12" customHeight="1">
      <c r="A61" s="733">
        <f t="shared" si="5"/>
        <v>1808</v>
      </c>
      <c r="B61" s="624" t="s">
        <v>303</v>
      </c>
      <c r="C61" s="488"/>
      <c r="D61"/>
      <c r="E61" s="493">
        <f t="shared" si="6"/>
        <v>0</v>
      </c>
      <c r="F61" s="835">
        <f>6.5/12</f>
        <v>0.5416666666666666</v>
      </c>
      <c r="G61" s="480">
        <f t="shared" si="7"/>
        <v>0</v>
      </c>
    </row>
    <row r="62" spans="1:7" ht="12" customHeight="1">
      <c r="A62" s="733">
        <f t="shared" si="5"/>
        <v>1809</v>
      </c>
      <c r="B62" s="624" t="s">
        <v>304</v>
      </c>
      <c r="C62" s="488"/>
      <c r="D62"/>
      <c r="E62" s="493">
        <f t="shared" si="6"/>
        <v>0</v>
      </c>
      <c r="F62" s="835">
        <f>5.5/12</f>
        <v>0.4583333333333333</v>
      </c>
      <c r="G62" s="480">
        <f t="shared" si="7"/>
        <v>0</v>
      </c>
    </row>
    <row r="63" spans="1:7" ht="12" customHeight="1">
      <c r="A63" s="733">
        <f t="shared" si="5"/>
        <v>1810</v>
      </c>
      <c r="B63" s="624" t="s">
        <v>305</v>
      </c>
      <c r="C63" s="488"/>
      <c r="D63"/>
      <c r="E63" s="493">
        <f t="shared" si="6"/>
        <v>0</v>
      </c>
      <c r="F63" s="835">
        <f>4.5/12</f>
        <v>0.375</v>
      </c>
      <c r="G63" s="480">
        <f t="shared" si="7"/>
        <v>0</v>
      </c>
    </row>
    <row r="64" spans="1:7" ht="12" customHeight="1">
      <c r="A64" s="733">
        <f t="shared" si="5"/>
        <v>1811</v>
      </c>
      <c r="B64" s="624" t="s">
        <v>306</v>
      </c>
      <c r="C64" s="488"/>
      <c r="D64"/>
      <c r="E64" s="493">
        <f t="shared" si="6"/>
        <v>0</v>
      </c>
      <c r="F64" s="835">
        <f>3.5/12</f>
        <v>0.2916666666666667</v>
      </c>
      <c r="G64" s="480">
        <f t="shared" si="7"/>
        <v>0</v>
      </c>
    </row>
    <row r="65" spans="1:7" ht="12" customHeight="1">
      <c r="A65" s="733">
        <f t="shared" si="5"/>
        <v>1812</v>
      </c>
      <c r="B65" s="624" t="s">
        <v>307</v>
      </c>
      <c r="C65" s="488"/>
      <c r="D65"/>
      <c r="E65" s="493">
        <f t="shared" si="6"/>
        <v>0</v>
      </c>
      <c r="F65" s="835">
        <f>2.5/12</f>
        <v>0.20833333333333334</v>
      </c>
      <c r="G65" s="480">
        <f t="shared" si="7"/>
        <v>0</v>
      </c>
    </row>
    <row r="66" spans="1:7" ht="12" customHeight="1">
      <c r="A66" s="733">
        <f t="shared" si="5"/>
        <v>1813</v>
      </c>
      <c r="B66" s="624" t="s">
        <v>308</v>
      </c>
      <c r="C66" s="488"/>
      <c r="D66"/>
      <c r="E66" s="493">
        <f t="shared" si="6"/>
        <v>0</v>
      </c>
      <c r="F66" s="835">
        <f>1.5/12</f>
        <v>0.125</v>
      </c>
      <c r="G66" s="480">
        <f t="shared" si="7"/>
        <v>0</v>
      </c>
    </row>
    <row r="67" spans="1:9" ht="12" customHeight="1">
      <c r="A67" s="733">
        <f t="shared" si="5"/>
        <v>1814</v>
      </c>
      <c r="B67" s="624" t="s">
        <v>309</v>
      </c>
      <c r="C67" s="488"/>
      <c r="D67"/>
      <c r="E67" s="493">
        <f t="shared" si="6"/>
        <v>0</v>
      </c>
      <c r="F67" s="835">
        <f>0.5/12</f>
        <v>0.041666666666666664</v>
      </c>
      <c r="G67" s="480">
        <f t="shared" si="7"/>
        <v>0</v>
      </c>
      <c r="I67" s="454"/>
    </row>
    <row r="68" spans="1:9" ht="12" customHeight="1">
      <c r="A68" s="733">
        <f t="shared" si="5"/>
        <v>1815</v>
      </c>
      <c r="B68" s="624" t="s">
        <v>310</v>
      </c>
      <c r="C68" s="488"/>
      <c r="D68"/>
      <c r="E68" s="493">
        <f t="shared" si="6"/>
        <v>0</v>
      </c>
      <c r="F68" s="836">
        <f>-0.5/12</f>
        <v>-0.041666666666666664</v>
      </c>
      <c r="G68" s="480">
        <f>E68*F68</f>
        <v>0</v>
      </c>
      <c r="I68" s="563"/>
    </row>
    <row r="69" spans="1:9" ht="12" customHeight="1">
      <c r="A69" s="733">
        <f t="shared" si="5"/>
        <v>1816</v>
      </c>
      <c r="B69" s="624" t="str">
        <f>CONCATENATE("Afschrijving ",Voorblad!D3)</f>
        <v>Afschrijving 2005</v>
      </c>
      <c r="C69"/>
      <c r="D69" s="489">
        <v>0</v>
      </c>
      <c r="E69" s="494">
        <f>D69</f>
        <v>0</v>
      </c>
      <c r="F69" s="652">
        <v>0.5</v>
      </c>
      <c r="G69" s="494">
        <f>E69*F69</f>
        <v>0</v>
      </c>
      <c r="I69" s="563"/>
    </row>
    <row r="70" spans="1:7" ht="12" customHeight="1">
      <c r="A70" s="733">
        <f t="shared" si="5"/>
        <v>1817</v>
      </c>
      <c r="B70" s="624" t="str">
        <f>CONCATENATE("Onderhanden werk per  31-12-",Voorblad!D3)</f>
        <v>Onderhanden werk per  31-12-2005</v>
      </c>
      <c r="C70" s="489">
        <v>0</v>
      </c>
      <c r="D70"/>
      <c r="E70" s="494">
        <f>C70</f>
        <v>0</v>
      </c>
      <c r="F70"/>
      <c r="G70"/>
    </row>
    <row r="71" spans="1:9" ht="12" customHeight="1">
      <c r="A71" s="733">
        <f t="shared" si="5"/>
        <v>1818</v>
      </c>
      <c r="B71" s="745" t="str">
        <f>CONCATENATE("Geactiveerd per 31-12-",Voorblad!D3," (",A54," t/m ",A70,")")</f>
        <v>Geactiveerd per 31-12-2005 (1801 t/m 1817)</v>
      </c>
      <c r="C71" s="741">
        <f>C54-C55+SUM(C56:C68)-C70</f>
        <v>0</v>
      </c>
      <c r="D71" s="744">
        <f>D54-D55+D69</f>
        <v>0</v>
      </c>
      <c r="E71" s="741">
        <f>E54+SUM(E56:E68)-E69-E70</f>
        <v>0</v>
      </c>
      <c r="F71"/>
      <c r="G71" s="741">
        <f>SUM(G54:G68)-G69</f>
        <v>0</v>
      </c>
      <c r="I71" s="458"/>
    </row>
    <row r="72" spans="1:5" ht="12" customHeight="1">
      <c r="A72" s="964"/>
      <c r="B72" s="1032"/>
      <c r="C72" s="1033"/>
      <c r="D72" s="1034"/>
      <c r="E72" s="1033"/>
    </row>
    <row r="73" spans="1:12" ht="12">
      <c r="A73" s="656"/>
      <c r="B73" s="570"/>
      <c r="C73" s="615" t="s">
        <v>93</v>
      </c>
      <c r="D73" s="657" t="s">
        <v>244</v>
      </c>
      <c r="E73" s="615" t="s">
        <v>242</v>
      </c>
      <c r="F73" s="657" t="s">
        <v>397</v>
      </c>
      <c r="G73" s="657" t="s">
        <v>93</v>
      </c>
      <c r="I73" s="687"/>
      <c r="J73" s="566"/>
      <c r="K73" s="484"/>
      <c r="L73" s="454"/>
    </row>
    <row r="74" spans="1:12" ht="12" customHeight="1">
      <c r="A74" s="656"/>
      <c r="B74" s="570"/>
      <c r="C74" s="616" t="s">
        <v>94</v>
      </c>
      <c r="D74" s="616"/>
      <c r="E74" s="616" t="s">
        <v>243</v>
      </c>
      <c r="F74" s="658"/>
      <c r="G74" s="658" t="s">
        <v>95</v>
      </c>
      <c r="I74" s="687"/>
      <c r="J74" s="566"/>
      <c r="K74" s="484"/>
      <c r="L74" s="454"/>
    </row>
    <row r="75" spans="1:12" ht="12" customHeight="1">
      <c r="A75" s="14"/>
      <c r="B75" s="659"/>
      <c r="C75" s="29"/>
      <c r="D75" s="29"/>
      <c r="E75" s="29"/>
      <c r="F75" s="570"/>
      <c r="G75" s="161"/>
      <c r="I75" s="687"/>
      <c r="J75" s="566"/>
      <c r="K75" s="484"/>
      <c r="L75" s="454"/>
    </row>
    <row r="76" spans="1:12" ht="12" customHeight="1">
      <c r="A76" s="41" t="s">
        <v>275</v>
      </c>
      <c r="B76" s="47" t="s">
        <v>480</v>
      </c>
      <c r="C76" s="163"/>
      <c r="D76" s="163"/>
      <c r="E76" s="163"/>
      <c r="F76" s="42"/>
      <c r="G76" s="42"/>
      <c r="I76" s="687"/>
      <c r="J76" s="566"/>
      <c r="K76" s="484"/>
      <c r="L76" s="454"/>
    </row>
    <row r="77" spans="1:12" ht="12" customHeight="1">
      <c r="A77" s="733">
        <f>A71+1</f>
        <v>1819</v>
      </c>
      <c r="B77" s="189">
        <f>Voorblad!D$3</f>
        <v>2005</v>
      </c>
      <c r="C77" s="432"/>
      <c r="D77" s="1047">
        <f aca="true" t="shared" si="8" ref="D77:D84">D78+1</f>
        <v>2015</v>
      </c>
      <c r="E77" s="432"/>
      <c r="F77" s="1064">
        <v>9.5</v>
      </c>
      <c r="G77" s="480">
        <f>(C77+E77)*F77</f>
        <v>0</v>
      </c>
      <c r="I77" s="687"/>
      <c r="J77" s="566"/>
      <c r="K77" s="484"/>
      <c r="L77" s="454"/>
    </row>
    <row r="78" spans="1:12" ht="12" customHeight="1">
      <c r="A78" s="733">
        <f>A77+1</f>
        <v>1820</v>
      </c>
      <c r="B78" s="189">
        <f>B77-1</f>
        <v>2004</v>
      </c>
      <c r="C78" s="432"/>
      <c r="D78" s="1047">
        <f t="shared" si="8"/>
        <v>2014</v>
      </c>
      <c r="E78" s="432"/>
      <c r="F78" s="1064">
        <v>8.5</v>
      </c>
      <c r="G78" s="480">
        <f aca="true" t="shared" si="9" ref="G78:G86">(C78+E78)*F78</f>
        <v>0</v>
      </c>
      <c r="I78" s="687"/>
      <c r="J78" s="566"/>
      <c r="K78" s="484"/>
      <c r="L78" s="454"/>
    </row>
    <row r="79" spans="1:12" ht="12" customHeight="1">
      <c r="A79" s="733">
        <f>A78+1</f>
        <v>1821</v>
      </c>
      <c r="B79" s="189">
        <f aca="true" t="shared" si="10" ref="B79:B86">B78-1</f>
        <v>2003</v>
      </c>
      <c r="C79" s="432"/>
      <c r="D79" s="1047">
        <f t="shared" si="8"/>
        <v>2013</v>
      </c>
      <c r="E79" s="432"/>
      <c r="F79" s="1064">
        <v>7.5</v>
      </c>
      <c r="G79" s="480">
        <f t="shared" si="9"/>
        <v>0</v>
      </c>
      <c r="I79" s="687"/>
      <c r="J79" s="566"/>
      <c r="K79" s="484"/>
      <c r="L79" s="454"/>
    </row>
    <row r="80" spans="1:12" ht="12" customHeight="1">
      <c r="A80" s="733">
        <f>A79+1</f>
        <v>1822</v>
      </c>
      <c r="B80" s="189">
        <f t="shared" si="10"/>
        <v>2002</v>
      </c>
      <c r="C80" s="432"/>
      <c r="D80" s="1047">
        <f t="shared" si="8"/>
        <v>2012</v>
      </c>
      <c r="E80" s="432"/>
      <c r="F80" s="1064">
        <v>6.5</v>
      </c>
      <c r="G80" s="480">
        <f t="shared" si="9"/>
        <v>0</v>
      </c>
      <c r="I80" s="687"/>
      <c r="J80" s="566"/>
      <c r="K80" s="484"/>
      <c r="L80" s="454"/>
    </row>
    <row r="81" spans="1:12" ht="12" customHeight="1">
      <c r="A81" s="733">
        <f aca="true" t="shared" si="11" ref="A81:A87">A80+1</f>
        <v>1823</v>
      </c>
      <c r="B81" s="189">
        <f t="shared" si="10"/>
        <v>2001</v>
      </c>
      <c r="C81" s="432"/>
      <c r="D81" s="1047">
        <f t="shared" si="8"/>
        <v>2011</v>
      </c>
      <c r="E81" s="432"/>
      <c r="F81" s="1064">
        <v>5.5</v>
      </c>
      <c r="G81" s="480">
        <f t="shared" si="9"/>
        <v>0</v>
      </c>
      <c r="I81" s="686"/>
      <c r="J81" s="456"/>
      <c r="K81" s="454"/>
      <c r="L81" s="454"/>
    </row>
    <row r="82" spans="1:12" ht="12" customHeight="1">
      <c r="A82" s="733">
        <f t="shared" si="11"/>
        <v>1824</v>
      </c>
      <c r="B82" s="189">
        <f t="shared" si="10"/>
        <v>2000</v>
      </c>
      <c r="C82" s="432"/>
      <c r="D82" s="1047">
        <f t="shared" si="8"/>
        <v>2010</v>
      </c>
      <c r="E82" s="432"/>
      <c r="F82" s="1064">
        <v>4.5</v>
      </c>
      <c r="G82" s="480">
        <f t="shared" si="9"/>
        <v>0</v>
      </c>
      <c r="I82" s="686"/>
      <c r="J82" s="458"/>
      <c r="K82" s="467"/>
      <c r="L82" s="454"/>
    </row>
    <row r="83" spans="1:12" ht="12" customHeight="1">
      <c r="A83" s="733">
        <f t="shared" si="11"/>
        <v>1825</v>
      </c>
      <c r="B83" s="189">
        <f t="shared" si="10"/>
        <v>1999</v>
      </c>
      <c r="C83" s="432"/>
      <c r="D83" s="1047">
        <f t="shared" si="8"/>
        <v>2009</v>
      </c>
      <c r="E83" s="432"/>
      <c r="F83" s="1064">
        <v>3.5</v>
      </c>
      <c r="G83" s="480">
        <f t="shared" si="9"/>
        <v>0</v>
      </c>
      <c r="I83" s="686"/>
      <c r="J83" s="458"/>
      <c r="K83" s="467"/>
      <c r="L83" s="454"/>
    </row>
    <row r="84" spans="1:12" ht="12" customHeight="1">
      <c r="A84" s="733">
        <f t="shared" si="11"/>
        <v>1826</v>
      </c>
      <c r="B84" s="189">
        <f t="shared" si="10"/>
        <v>1998</v>
      </c>
      <c r="C84" s="432"/>
      <c r="D84" s="1047">
        <f t="shared" si="8"/>
        <v>2008</v>
      </c>
      <c r="E84" s="432"/>
      <c r="F84" s="1064">
        <v>2.5</v>
      </c>
      <c r="G84" s="480">
        <f t="shared" si="9"/>
        <v>0</v>
      </c>
      <c r="I84" s="686"/>
      <c r="J84" s="456"/>
      <c r="K84" s="454"/>
      <c r="L84" s="454"/>
    </row>
    <row r="85" spans="1:12" ht="12" customHeight="1">
      <c r="A85" s="733">
        <f t="shared" si="11"/>
        <v>1827</v>
      </c>
      <c r="B85" s="189">
        <f t="shared" si="10"/>
        <v>1997</v>
      </c>
      <c r="C85" s="432"/>
      <c r="D85" s="1047">
        <f>D86+1</f>
        <v>2007</v>
      </c>
      <c r="E85" s="432"/>
      <c r="F85" s="1064">
        <v>1.5</v>
      </c>
      <c r="G85" s="480">
        <f t="shared" si="9"/>
        <v>0</v>
      </c>
      <c r="I85" s="686"/>
      <c r="J85" s="456"/>
      <c r="K85" s="454"/>
      <c r="L85" s="454"/>
    </row>
    <row r="86" spans="1:12" ht="12" customHeight="1">
      <c r="A86" s="733">
        <f t="shared" si="11"/>
        <v>1828</v>
      </c>
      <c r="B86" s="189">
        <f t="shared" si="10"/>
        <v>1996</v>
      </c>
      <c r="C86" s="734"/>
      <c r="D86" s="1048">
        <f>Voorblad!D3+1</f>
        <v>2006</v>
      </c>
      <c r="E86" s="734"/>
      <c r="F86" s="1065">
        <v>0.5</v>
      </c>
      <c r="G86" s="480">
        <f t="shared" si="9"/>
        <v>0</v>
      </c>
      <c r="I86" s="686"/>
      <c r="J86" s="456"/>
      <c r="K86" s="454"/>
      <c r="L86" s="454"/>
    </row>
    <row r="87" spans="1:9" ht="12" customHeight="1">
      <c r="A87" s="733">
        <f t="shared" si="11"/>
        <v>1829</v>
      </c>
      <c r="B87" s="1407" t="s">
        <v>328</v>
      </c>
      <c r="C87" s="1408"/>
      <c r="D87" s="1408"/>
      <c r="E87" s="1408"/>
      <c r="F87" s="1409"/>
      <c r="G87" s="975">
        <f>0.27*10*C77</f>
        <v>0</v>
      </c>
      <c r="I87" s="454"/>
    </row>
    <row r="88" spans="1:9" ht="12" customHeight="1">
      <c r="A88" s="733">
        <f>A87+1</f>
        <v>1830</v>
      </c>
      <c r="B88" s="1043" t="str">
        <f>CONCATENATE("Totaal (regel ",A77," t/m ",A87,")")</f>
        <v>Totaal (regel 1819 t/m 1829)</v>
      </c>
      <c r="C88" s="1044">
        <f>SUM(C77:C86)</f>
        <v>0</v>
      </c>
      <c r="D88" s="1045"/>
      <c r="E88" s="1044">
        <f>SUM(E77:E87)</f>
        <v>0</v>
      </c>
      <c r="F88" s="1046"/>
      <c r="G88" s="1133">
        <f>SUM(G77:G87)</f>
        <v>0</v>
      </c>
      <c r="I88" s="454"/>
    </row>
    <row r="89" spans="1:9" ht="12" customHeight="1">
      <c r="A89" s="166" t="str">
        <f>CONCATENATE("* zie onderbouwing regel 40 laatste rekenstaat ",Voorblad!D3,)</f>
        <v>* zie onderbouwing regel 40 laatste rekenstaat 2005</v>
      </c>
      <c r="C89" s="456"/>
      <c r="D89" s="456"/>
      <c r="E89" s="456"/>
      <c r="F89" s="456"/>
      <c r="G89" s="686"/>
      <c r="I89" s="454"/>
    </row>
    <row r="90" spans="1:7" ht="12" customHeight="1">
      <c r="A90" s="623"/>
      <c r="B90" s="570"/>
      <c r="C90" s="42"/>
      <c r="D90" s="42"/>
      <c r="E90" s="42"/>
      <c r="F90" s="42"/>
      <c r="G90" s="570"/>
    </row>
    <row r="91" spans="1:10" ht="12" customHeight="1">
      <c r="A91" s="584" t="str">
        <f>Inhoud!$A$2</f>
        <v>Nacalculatieformulier 2005</v>
      </c>
      <c r="B91" s="599"/>
      <c r="C91" s="601"/>
      <c r="D91" s="601"/>
      <c r="E91" s="602">
        <f>Voorblad!D122</f>
        <v>0</v>
      </c>
      <c r="F91" s="602"/>
      <c r="G91" s="598">
        <f>G48+1</f>
        <v>19</v>
      </c>
      <c r="H91" s="501"/>
      <c r="I91" s="501"/>
      <c r="J91" s="502"/>
    </row>
    <row r="92" spans="1:10" ht="12" customHeight="1">
      <c r="A92" s="596"/>
      <c r="B92" s="91"/>
      <c r="C92" s="593"/>
      <c r="D92" s="593"/>
      <c r="E92" s="594"/>
      <c r="F92" s="594"/>
      <c r="G92" s="595"/>
      <c r="H92" s="501"/>
      <c r="I92" s="501"/>
      <c r="J92" s="502"/>
    </row>
    <row r="93" spans="1:10" ht="12" customHeight="1">
      <c r="A93" s="596"/>
      <c r="B93" s="91"/>
      <c r="C93" s="593"/>
      <c r="D93" s="593"/>
      <c r="E93" s="594"/>
      <c r="F93" s="594"/>
      <c r="G93" s="595"/>
      <c r="H93" s="501"/>
      <c r="I93" s="501"/>
      <c r="J93" s="502"/>
    </row>
    <row r="94" spans="1:12" ht="12" customHeight="1">
      <c r="A94" s="656"/>
      <c r="B94" s="570"/>
      <c r="C94" s="615" t="s">
        <v>93</v>
      </c>
      <c r="D94" s="657" t="s">
        <v>245</v>
      </c>
      <c r="E94" s="657" t="s">
        <v>242</v>
      </c>
      <c r="F94" s="657" t="s">
        <v>397</v>
      </c>
      <c r="G94" s="657" t="s">
        <v>93</v>
      </c>
      <c r="I94" s="687"/>
      <c r="J94" s="566"/>
      <c r="K94" s="484"/>
      <c r="L94" s="502"/>
    </row>
    <row r="95" spans="1:12" ht="12" customHeight="1">
      <c r="A95" s="656"/>
      <c r="B95" s="570"/>
      <c r="C95" s="616" t="s">
        <v>94</v>
      </c>
      <c r="D95" s="658"/>
      <c r="E95" s="658" t="s">
        <v>243</v>
      </c>
      <c r="F95" s="658"/>
      <c r="G95" s="658" t="s">
        <v>95</v>
      </c>
      <c r="I95" s="687"/>
      <c r="J95" s="566"/>
      <c r="K95" s="484"/>
      <c r="L95" s="502"/>
    </row>
    <row r="96" spans="1:12" ht="12" customHeight="1">
      <c r="A96" s="14"/>
      <c r="B96" s="659"/>
      <c r="C96" s="29"/>
      <c r="D96" s="570"/>
      <c r="E96" s="570"/>
      <c r="F96" s="570"/>
      <c r="G96" s="161"/>
      <c r="I96" s="687"/>
      <c r="J96" s="566"/>
      <c r="K96" s="484"/>
      <c r="L96" s="502"/>
    </row>
    <row r="97" spans="1:12" ht="12" customHeight="1">
      <c r="A97" s="41" t="s">
        <v>479</v>
      </c>
      <c r="B97" s="47" t="s">
        <v>276</v>
      </c>
      <c r="C97" s="163"/>
      <c r="D97" s="42"/>
      <c r="E97" s="42"/>
      <c r="F97" s="42"/>
      <c r="G97" s="42"/>
      <c r="I97" s="687"/>
      <c r="J97" s="566"/>
      <c r="K97" s="484"/>
      <c r="L97" s="502"/>
    </row>
    <row r="98" spans="1:12" ht="12" customHeight="1">
      <c r="A98" s="976">
        <f>G91*100+1</f>
        <v>1901</v>
      </c>
      <c r="B98" s="189">
        <f>Voorblad!D$3</f>
        <v>2005</v>
      </c>
      <c r="C98" s="432"/>
      <c r="D98" s="1047">
        <f aca="true" t="shared" si="12" ref="D98:D105">D99+1</f>
        <v>2015</v>
      </c>
      <c r="E98" s="432"/>
      <c r="F98" s="498">
        <v>9.5</v>
      </c>
      <c r="G98" s="480">
        <f>(C98+E98)*F98</f>
        <v>0</v>
      </c>
      <c r="I98" s="687"/>
      <c r="J98" s="566"/>
      <c r="K98" s="484"/>
      <c r="L98" s="502"/>
    </row>
    <row r="99" spans="1:12" ht="12" customHeight="1">
      <c r="A99" s="733">
        <f>A98+1</f>
        <v>1902</v>
      </c>
      <c r="B99" s="189">
        <f>B98-1</f>
        <v>2004</v>
      </c>
      <c r="C99" s="432"/>
      <c r="D99" s="1047">
        <f t="shared" si="12"/>
        <v>2014</v>
      </c>
      <c r="E99" s="432"/>
      <c r="F99" s="498">
        <v>8.5</v>
      </c>
      <c r="G99" s="480">
        <f aca="true" t="shared" si="13" ref="G99:G107">(C99+E99)*F99</f>
        <v>0</v>
      </c>
      <c r="I99" s="687"/>
      <c r="J99" s="566"/>
      <c r="K99" s="484"/>
      <c r="L99" s="502"/>
    </row>
    <row r="100" spans="1:12" ht="12" customHeight="1">
      <c r="A100" s="733">
        <f>A99+1</f>
        <v>1903</v>
      </c>
      <c r="B100" s="189">
        <f aca="true" t="shared" si="14" ref="B100:B107">B99-1</f>
        <v>2003</v>
      </c>
      <c r="C100" s="432"/>
      <c r="D100" s="1047">
        <f t="shared" si="12"/>
        <v>2013</v>
      </c>
      <c r="E100" s="432"/>
      <c r="F100" s="498">
        <v>7.5</v>
      </c>
      <c r="G100" s="480">
        <f t="shared" si="13"/>
        <v>0</v>
      </c>
      <c r="I100" s="687"/>
      <c r="J100" s="566"/>
      <c r="K100" s="484"/>
      <c r="L100" s="502"/>
    </row>
    <row r="101" spans="1:12" ht="12" customHeight="1">
      <c r="A101" s="733">
        <f>A100+1</f>
        <v>1904</v>
      </c>
      <c r="B101" s="189">
        <f t="shared" si="14"/>
        <v>2002</v>
      </c>
      <c r="C101" s="432"/>
      <c r="D101" s="1047">
        <f t="shared" si="12"/>
        <v>2012</v>
      </c>
      <c r="E101" s="432"/>
      <c r="F101" s="498">
        <v>6.5</v>
      </c>
      <c r="G101" s="480">
        <f t="shared" si="13"/>
        <v>0</v>
      </c>
      <c r="I101" s="687"/>
      <c r="J101" s="566"/>
      <c r="K101" s="484"/>
      <c r="L101" s="502"/>
    </row>
    <row r="102" spans="1:12" ht="12" customHeight="1">
      <c r="A102" s="733">
        <f aca="true" t="shared" si="15" ref="A102:A107">A101+1</f>
        <v>1905</v>
      </c>
      <c r="B102" s="189">
        <f t="shared" si="14"/>
        <v>2001</v>
      </c>
      <c r="C102" s="432"/>
      <c r="D102" s="1047">
        <f t="shared" si="12"/>
        <v>2011</v>
      </c>
      <c r="E102" s="432"/>
      <c r="F102" s="498">
        <v>5.5</v>
      </c>
      <c r="G102" s="480">
        <f t="shared" si="13"/>
        <v>0</v>
      </c>
      <c r="I102" s="686"/>
      <c r="J102" s="456"/>
      <c r="K102" s="454"/>
      <c r="L102" s="502"/>
    </row>
    <row r="103" spans="1:12" ht="12" customHeight="1">
      <c r="A103" s="733">
        <f t="shared" si="15"/>
        <v>1906</v>
      </c>
      <c r="B103" s="189">
        <f t="shared" si="14"/>
        <v>2000</v>
      </c>
      <c r="C103" s="432"/>
      <c r="D103" s="1047">
        <f t="shared" si="12"/>
        <v>2010</v>
      </c>
      <c r="E103" s="432"/>
      <c r="F103" s="498">
        <v>4.5</v>
      </c>
      <c r="G103" s="480">
        <f t="shared" si="13"/>
        <v>0</v>
      </c>
      <c r="I103" s="686"/>
      <c r="J103" s="458"/>
      <c r="K103" s="467"/>
      <c r="L103" s="502"/>
    </row>
    <row r="104" spans="1:12" ht="12" customHeight="1">
      <c r="A104" s="733">
        <f t="shared" si="15"/>
        <v>1907</v>
      </c>
      <c r="B104" s="189">
        <f t="shared" si="14"/>
        <v>1999</v>
      </c>
      <c r="C104" s="432"/>
      <c r="D104" s="1047">
        <f t="shared" si="12"/>
        <v>2009</v>
      </c>
      <c r="E104" s="432"/>
      <c r="F104" s="498">
        <v>3.5</v>
      </c>
      <c r="G104" s="480">
        <f t="shared" si="13"/>
        <v>0</v>
      </c>
      <c r="I104" s="686"/>
      <c r="J104" s="458"/>
      <c r="K104" s="467"/>
      <c r="L104" s="502"/>
    </row>
    <row r="105" spans="1:12" ht="12" customHeight="1">
      <c r="A105" s="733">
        <f t="shared" si="15"/>
        <v>1908</v>
      </c>
      <c r="B105" s="189">
        <f t="shared" si="14"/>
        <v>1998</v>
      </c>
      <c r="C105" s="432"/>
      <c r="D105" s="1047">
        <f t="shared" si="12"/>
        <v>2008</v>
      </c>
      <c r="E105" s="432"/>
      <c r="F105" s="498">
        <v>2.5</v>
      </c>
      <c r="G105" s="480">
        <f t="shared" si="13"/>
        <v>0</v>
      </c>
      <c r="I105" s="686"/>
      <c r="J105" s="456"/>
      <c r="K105" s="454"/>
      <c r="L105" s="502"/>
    </row>
    <row r="106" spans="1:12" ht="12" customHeight="1">
      <c r="A106" s="733">
        <f t="shared" si="15"/>
        <v>1909</v>
      </c>
      <c r="B106" s="189">
        <f t="shared" si="14"/>
        <v>1997</v>
      </c>
      <c r="C106" s="432"/>
      <c r="D106" s="1047">
        <f>D107+1</f>
        <v>2007</v>
      </c>
      <c r="E106" s="432"/>
      <c r="F106" s="498">
        <v>1.5</v>
      </c>
      <c r="G106" s="480">
        <f t="shared" si="13"/>
        <v>0</v>
      </c>
      <c r="I106" s="686"/>
      <c r="J106" s="456"/>
      <c r="K106" s="454"/>
      <c r="L106" s="502"/>
    </row>
    <row r="107" spans="1:12" ht="12" customHeight="1">
      <c r="A107" s="733">
        <f t="shared" si="15"/>
        <v>1910</v>
      </c>
      <c r="B107" s="189">
        <f t="shared" si="14"/>
        <v>1996</v>
      </c>
      <c r="C107" s="734"/>
      <c r="D107" s="1048">
        <f>D86</f>
        <v>2006</v>
      </c>
      <c r="E107" s="432"/>
      <c r="F107" s="767">
        <v>0.5</v>
      </c>
      <c r="G107" s="480">
        <f t="shared" si="13"/>
        <v>0</v>
      </c>
      <c r="I107" s="686"/>
      <c r="J107" s="456"/>
      <c r="K107" s="454"/>
      <c r="L107" s="502"/>
    </row>
    <row r="108" spans="1:12" ht="12" customHeight="1">
      <c r="A108" s="733">
        <f>A107+1</f>
        <v>1911</v>
      </c>
      <c r="B108" s="745" t="str">
        <f>CONCATENATE("Totaal (regel ",A98," t/m ",A107,")")</f>
        <v>Totaal (regel 1901 t/m 1910)</v>
      </c>
      <c r="C108" s="1054">
        <f>SUM(C98:C107)</f>
        <v>0</v>
      </c>
      <c r="D108" s="1055"/>
      <c r="E108" s="1050"/>
      <c r="F108" s="1055"/>
      <c r="G108" s="1054">
        <f>SUM(G98:G107)</f>
        <v>0</v>
      </c>
      <c r="I108" s="686"/>
      <c r="J108" s="456"/>
      <c r="K108" s="454"/>
      <c r="L108" s="502"/>
    </row>
    <row r="109" spans="1:10" ht="12" customHeight="1">
      <c r="A109" s="166" t="str">
        <f>CONCATENATE("* zie onderbouwing regel 40 laatste rekenstaat ",Voorblad!D24,)</f>
        <v>* zie onderbouwing regel 40 laatste rekenstaat </v>
      </c>
      <c r="C109" s="456"/>
      <c r="D109" s="456"/>
      <c r="E109" s="1049"/>
      <c r="F109" s="456"/>
      <c r="G109" s="686"/>
      <c r="I109" s="454"/>
      <c r="J109" s="502"/>
    </row>
    <row r="110" spans="1:10" ht="12" customHeight="1">
      <c r="A110" s="596"/>
      <c r="B110" s="91"/>
      <c r="C110" s="593"/>
      <c r="D110" s="593"/>
      <c r="E110" s="1049"/>
      <c r="F110" s="594"/>
      <c r="G110" s="595"/>
      <c r="H110" s="501"/>
      <c r="I110" s="501"/>
      <c r="J110" s="502"/>
    </row>
    <row r="111" spans="1:10" ht="12" customHeight="1">
      <c r="A111" s="593" t="s">
        <v>277</v>
      </c>
      <c r="B111" s="977" t="s">
        <v>506</v>
      </c>
      <c r="C111" s="593"/>
      <c r="D111" s="593"/>
      <c r="E111" s="1049"/>
      <c r="F111" s="594"/>
      <c r="G111" s="595"/>
      <c r="H111" s="501"/>
      <c r="I111" s="501"/>
      <c r="J111" s="502"/>
    </row>
    <row r="112" spans="1:7" ht="12" customHeight="1">
      <c r="A112" s="766">
        <f>A108+1</f>
        <v>1912</v>
      </c>
      <c r="B112" s="1051" t="s">
        <v>497</v>
      </c>
      <c r="C112" s="1052"/>
      <c r="D112" s="1052"/>
      <c r="E112" s="351"/>
      <c r="F112" s="1053"/>
      <c r="G112" s="1066">
        <f>Mutaties!E22</f>
        <v>0</v>
      </c>
    </row>
    <row r="113" spans="1:7" ht="12" customHeight="1">
      <c r="A113" s="766">
        <f>A112+1</f>
        <v>1913</v>
      </c>
      <c r="B113" s="191" t="s">
        <v>3</v>
      </c>
      <c r="C113" s="653"/>
      <c r="D113" s="653"/>
      <c r="E113" s="654"/>
      <c r="F113" s="655"/>
      <c r="G113" s="1016"/>
    </row>
    <row r="114" spans="1:7" ht="12" customHeight="1">
      <c r="A114" s="766">
        <f>A113+1</f>
        <v>1914</v>
      </c>
      <c r="B114" s="974" t="str">
        <f>CONCATENATE("Normatief werkkapitaal (regel ",A113,") + (6,8% * regel ",A112,")")</f>
        <v>Normatief werkkapitaal (regel 1913) + (6,8% * regel 1912)</v>
      </c>
      <c r="C114" s="978"/>
      <c r="D114" s="978"/>
      <c r="E114" s="740"/>
      <c r="F114" s="979"/>
      <c r="G114" s="1017">
        <f>G113+(0.068*G112)</f>
        <v>0</v>
      </c>
    </row>
    <row r="115" spans="1:6" ht="12" customHeight="1">
      <c r="A115" s="456"/>
      <c r="C115" s="456"/>
      <c r="D115" s="456"/>
      <c r="E115" s="456"/>
      <c r="F115" s="456"/>
    </row>
    <row r="116" ht="12" customHeight="1">
      <c r="A116" s="818"/>
    </row>
    <row r="117" spans="1:7" ht="12" customHeight="1">
      <c r="A117" s="623"/>
      <c r="B117" s="570"/>
      <c r="C117" s="42"/>
      <c r="D117" s="42"/>
      <c r="E117" s="42"/>
      <c r="F117" s="42"/>
      <c r="G117" s="570"/>
    </row>
    <row r="118" spans="1:10" ht="12" customHeight="1">
      <c r="A118" s="584" t="str">
        <f>Inhoud!$A$2</f>
        <v>Nacalculatieformulier 2005</v>
      </c>
      <c r="B118" s="599"/>
      <c r="C118" s="601"/>
      <c r="D118" s="601"/>
      <c r="E118" s="602">
        <f>Voorblad!D149</f>
        <v>0</v>
      </c>
      <c r="F118" s="602"/>
      <c r="G118" s="598">
        <f>G91+1</f>
        <v>20</v>
      </c>
      <c r="H118" s="501"/>
      <c r="I118" s="501"/>
      <c r="J118" s="502"/>
    </row>
    <row r="119" spans="1:10" ht="12" customHeight="1">
      <c r="A119" s="596"/>
      <c r="B119" s="91"/>
      <c r="C119" s="593"/>
      <c r="D119" s="593"/>
      <c r="E119" s="594"/>
      <c r="F119" s="594"/>
      <c r="G119" s="595"/>
      <c r="H119" s="501"/>
      <c r="I119" s="501"/>
      <c r="J119" s="502"/>
    </row>
    <row r="120" spans="1:2" ht="12">
      <c r="A120" s="465" t="s">
        <v>509</v>
      </c>
      <c r="B120" s="466" t="s">
        <v>278</v>
      </c>
    </row>
    <row r="121" spans="1:6" ht="12">
      <c r="A121" s="563"/>
      <c r="B121" s="563"/>
      <c r="C121" s="1190" t="str">
        <f>CONCATENATE("saldo voor ",Voorblad!D3-2)</f>
        <v>saldo voor 2003</v>
      </c>
      <c r="D121" s="1190">
        <f>Voorblad!D3-2</f>
        <v>2003</v>
      </c>
      <c r="E121" s="1190">
        <f>D121+1</f>
        <v>2004</v>
      </c>
      <c r="F121" s="1190" t="str">
        <f>CONCATENATE("t/m ",Voorblad!D3-1)</f>
        <v>t/m 2004</v>
      </c>
    </row>
    <row r="122" spans="1:6" ht="12">
      <c r="A122" s="900">
        <f>(100*G118)+1</f>
        <v>2001</v>
      </c>
      <c r="B122" s="861" t="s">
        <v>129</v>
      </c>
      <c r="C122" s="734"/>
      <c r="D122" s="734"/>
      <c r="E122" s="734"/>
      <c r="F122" s="1015">
        <f>C122+D122+E122</f>
        <v>0</v>
      </c>
    </row>
    <row r="123" spans="1:6" ht="12">
      <c r="A123" s="900">
        <f>A122+1</f>
        <v>2002</v>
      </c>
      <c r="B123" s="861" t="s">
        <v>350</v>
      </c>
      <c r="C123" s="1058"/>
      <c r="D123" s="734"/>
      <c r="E123" s="734"/>
      <c r="F123" s="1003">
        <f>C123+D123+E123</f>
        <v>0</v>
      </c>
    </row>
    <row r="124" spans="1:6" ht="12">
      <c r="A124" s="900">
        <f>A123+1</f>
        <v>2003</v>
      </c>
      <c r="B124" s="942" t="s">
        <v>351</v>
      </c>
      <c r="C124" s="985">
        <f>C122-C123</f>
        <v>0</v>
      </c>
      <c r="D124" s="985">
        <f>D122-D123</f>
        <v>0</v>
      </c>
      <c r="E124" s="985">
        <f>E122-E123</f>
        <v>0</v>
      </c>
      <c r="F124" s="1004">
        <f>F122-F123</f>
        <v>0</v>
      </c>
    </row>
    <row r="125" spans="1:6" ht="12">
      <c r="A125" s="563"/>
      <c r="B125" s="563"/>
      <c r="C125" s="888"/>
      <c r="D125" s="888"/>
      <c r="E125" s="888"/>
      <c r="F125" s="888"/>
    </row>
    <row r="126" spans="1:8" ht="12">
      <c r="A126" s="939"/>
      <c r="B126" s="980"/>
      <c r="C126" s="992" t="s">
        <v>280</v>
      </c>
      <c r="D126" s="993" t="s">
        <v>281</v>
      </c>
      <c r="E126" s="993" t="s">
        <v>465</v>
      </c>
      <c r="F126" s="993" t="s">
        <v>397</v>
      </c>
      <c r="G126" s="994" t="s">
        <v>83</v>
      </c>
      <c r="H126" s="873"/>
    </row>
    <row r="127" spans="1:8" ht="12.75" customHeight="1">
      <c r="A127" s="973">
        <f>A124+1</f>
        <v>2004</v>
      </c>
      <c r="B127" s="988" t="s">
        <v>134</v>
      </c>
      <c r="C127" s="1392"/>
      <c r="D127" s="1393"/>
      <c r="E127" s="1393"/>
      <c r="F127" s="1394"/>
      <c r="G127" s="991">
        <f>F124</f>
        <v>0</v>
      </c>
      <c r="H127" s="889"/>
    </row>
    <row r="128" spans="1:8" ht="12.75" customHeight="1">
      <c r="A128" s="973">
        <f>A127+1</f>
        <v>2005</v>
      </c>
      <c r="B128" s="989" t="s">
        <v>279</v>
      </c>
      <c r="C128" s="1395"/>
      <c r="D128" s="1396"/>
      <c r="E128" s="1396"/>
      <c r="F128" s="1397"/>
      <c r="G128" s="734"/>
      <c r="H128" s="873"/>
    </row>
    <row r="129" spans="1:10" ht="12">
      <c r="A129" s="973">
        <f>A128+1</f>
        <v>2006</v>
      </c>
      <c r="B129" s="988" t="s">
        <v>352</v>
      </c>
      <c r="C129" s="987">
        <f>G$112/12</f>
        <v>0</v>
      </c>
      <c r="D129" s="734"/>
      <c r="E129" s="966">
        <f aca="true" t="shared" si="16" ref="E129:E140">C129-D129</f>
        <v>0</v>
      </c>
      <c r="F129" s="986">
        <v>0.9583</v>
      </c>
      <c r="G129" s="966">
        <f aca="true" t="shared" si="17" ref="G129:G140">ROUND(E129*F129,0)</f>
        <v>0</v>
      </c>
      <c r="H129" s="873"/>
      <c r="J129" s="456"/>
    </row>
    <row r="130" spans="1:10" ht="12">
      <c r="A130" s="973">
        <f aca="true" t="shared" si="18" ref="A130:A142">A129+1</f>
        <v>2007</v>
      </c>
      <c r="B130" s="988" t="s">
        <v>353</v>
      </c>
      <c r="C130" s="987">
        <f aca="true" t="shared" si="19" ref="C130:C140">G$112/12</f>
        <v>0</v>
      </c>
      <c r="D130" s="734"/>
      <c r="E130" s="966">
        <f t="shared" si="16"/>
        <v>0</v>
      </c>
      <c r="F130" s="986">
        <v>0.875</v>
      </c>
      <c r="G130" s="966">
        <f t="shared" si="17"/>
        <v>0</v>
      </c>
      <c r="H130" s="873"/>
      <c r="J130" s="563"/>
    </row>
    <row r="131" spans="1:10" ht="12">
      <c r="A131" s="973">
        <f t="shared" si="18"/>
        <v>2008</v>
      </c>
      <c r="B131" s="988" t="s">
        <v>354</v>
      </c>
      <c r="C131" s="987">
        <f t="shared" si="19"/>
        <v>0</v>
      </c>
      <c r="D131" s="734"/>
      <c r="E131" s="966">
        <f t="shared" si="16"/>
        <v>0</v>
      </c>
      <c r="F131" s="986">
        <v>0.7917</v>
      </c>
      <c r="G131" s="966">
        <f t="shared" si="17"/>
        <v>0</v>
      </c>
      <c r="H131" s="873"/>
      <c r="J131" s="563"/>
    </row>
    <row r="132" spans="1:10" ht="12">
      <c r="A132" s="973">
        <f t="shared" si="18"/>
        <v>2009</v>
      </c>
      <c r="B132" s="988" t="s">
        <v>355</v>
      </c>
      <c r="C132" s="987">
        <f t="shared" si="19"/>
        <v>0</v>
      </c>
      <c r="D132" s="734"/>
      <c r="E132" s="966">
        <f t="shared" si="16"/>
        <v>0</v>
      </c>
      <c r="F132" s="986">
        <v>0.7083</v>
      </c>
      <c r="G132" s="966">
        <f t="shared" si="17"/>
        <v>0</v>
      </c>
      <c r="H132" s="873"/>
      <c r="J132" s="496"/>
    </row>
    <row r="133" spans="1:10" ht="12">
      <c r="A133" s="973">
        <f t="shared" si="18"/>
        <v>2010</v>
      </c>
      <c r="B133" s="988" t="s">
        <v>356</v>
      </c>
      <c r="C133" s="987">
        <f t="shared" si="19"/>
        <v>0</v>
      </c>
      <c r="D133" s="734"/>
      <c r="E133" s="966">
        <f t="shared" si="16"/>
        <v>0</v>
      </c>
      <c r="F133" s="986">
        <v>0.625</v>
      </c>
      <c r="G133" s="966">
        <f t="shared" si="17"/>
        <v>0</v>
      </c>
      <c r="H133" s="873"/>
      <c r="J133" s="458"/>
    </row>
    <row r="134" spans="1:8" ht="12">
      <c r="A134" s="973">
        <f t="shared" si="18"/>
        <v>2011</v>
      </c>
      <c r="B134" s="988" t="s">
        <v>357</v>
      </c>
      <c r="C134" s="987">
        <f t="shared" si="19"/>
        <v>0</v>
      </c>
      <c r="D134" s="734"/>
      <c r="E134" s="966">
        <f t="shared" si="16"/>
        <v>0</v>
      </c>
      <c r="F134" s="986">
        <v>0.5417</v>
      </c>
      <c r="G134" s="966">
        <f t="shared" si="17"/>
        <v>0</v>
      </c>
      <c r="H134" s="873"/>
    </row>
    <row r="135" spans="1:8" ht="12" customHeight="1">
      <c r="A135" s="973">
        <f t="shared" si="18"/>
        <v>2012</v>
      </c>
      <c r="B135" s="988" t="s">
        <v>358</v>
      </c>
      <c r="C135" s="987">
        <f t="shared" si="19"/>
        <v>0</v>
      </c>
      <c r="D135" s="734"/>
      <c r="E135" s="966">
        <f t="shared" si="16"/>
        <v>0</v>
      </c>
      <c r="F135" s="986">
        <v>0.4583</v>
      </c>
      <c r="G135" s="966">
        <f t="shared" si="17"/>
        <v>0</v>
      </c>
      <c r="H135" s="873"/>
    </row>
    <row r="136" spans="1:8" ht="12">
      <c r="A136" s="973">
        <f t="shared" si="18"/>
        <v>2013</v>
      </c>
      <c r="B136" s="988" t="s">
        <v>359</v>
      </c>
      <c r="C136" s="987">
        <f t="shared" si="19"/>
        <v>0</v>
      </c>
      <c r="D136" s="734"/>
      <c r="E136" s="966">
        <f t="shared" si="16"/>
        <v>0</v>
      </c>
      <c r="F136" s="986">
        <v>0.375</v>
      </c>
      <c r="G136" s="966">
        <f t="shared" si="17"/>
        <v>0</v>
      </c>
      <c r="H136" s="873"/>
    </row>
    <row r="137" spans="1:8" ht="12">
      <c r="A137" s="973">
        <f t="shared" si="18"/>
        <v>2014</v>
      </c>
      <c r="B137" s="988" t="s">
        <v>360</v>
      </c>
      <c r="C137" s="987">
        <f t="shared" si="19"/>
        <v>0</v>
      </c>
      <c r="D137" s="734"/>
      <c r="E137" s="966">
        <f t="shared" si="16"/>
        <v>0</v>
      </c>
      <c r="F137" s="986">
        <v>0.2917</v>
      </c>
      <c r="G137" s="966">
        <f t="shared" si="17"/>
        <v>0</v>
      </c>
      <c r="H137" s="873"/>
    </row>
    <row r="138" spans="1:10" ht="12">
      <c r="A138" s="973">
        <f t="shared" si="18"/>
        <v>2015</v>
      </c>
      <c r="B138" s="988" t="s">
        <v>361</v>
      </c>
      <c r="C138" s="987">
        <f t="shared" si="19"/>
        <v>0</v>
      </c>
      <c r="D138" s="734"/>
      <c r="E138" s="966">
        <f t="shared" si="16"/>
        <v>0</v>
      </c>
      <c r="F138" s="986">
        <v>0.2083</v>
      </c>
      <c r="G138" s="966">
        <f t="shared" si="17"/>
        <v>0</v>
      </c>
      <c r="H138" s="873"/>
      <c r="J138" s="456"/>
    </row>
    <row r="139" spans="1:10" ht="12">
      <c r="A139" s="973">
        <f t="shared" si="18"/>
        <v>2016</v>
      </c>
      <c r="B139" s="988" t="s">
        <v>362</v>
      </c>
      <c r="C139" s="987">
        <f t="shared" si="19"/>
        <v>0</v>
      </c>
      <c r="D139" s="734"/>
      <c r="E139" s="966">
        <f t="shared" si="16"/>
        <v>0</v>
      </c>
      <c r="F139" s="986">
        <v>0.125</v>
      </c>
      <c r="G139" s="966">
        <f t="shared" si="17"/>
        <v>0</v>
      </c>
      <c r="H139" s="873"/>
      <c r="J139" s="456"/>
    </row>
    <row r="140" spans="1:10" ht="12">
      <c r="A140" s="973">
        <f t="shared" si="18"/>
        <v>2017</v>
      </c>
      <c r="B140" s="988" t="s">
        <v>363</v>
      </c>
      <c r="C140" s="987">
        <f t="shared" si="19"/>
        <v>0</v>
      </c>
      <c r="D140" s="734"/>
      <c r="E140" s="966">
        <f t="shared" si="16"/>
        <v>0</v>
      </c>
      <c r="F140" s="986">
        <v>0.0417</v>
      </c>
      <c r="G140" s="966">
        <f t="shared" si="17"/>
        <v>0</v>
      </c>
      <c r="H140" s="873"/>
      <c r="J140" s="456"/>
    </row>
    <row r="141" spans="1:8" s="466" customFormat="1" ht="12.75" customHeight="1">
      <c r="A141" s="973">
        <f t="shared" si="18"/>
        <v>2018</v>
      </c>
      <c r="B141" s="1010" t="s">
        <v>329</v>
      </c>
      <c r="C141" s="1011">
        <f>SUM(C129:C140)</f>
        <v>0</v>
      </c>
      <c r="D141" s="1134">
        <f>SUM(D129:D140)</f>
        <v>0</v>
      </c>
      <c r="E141" s="943">
        <f>SUM(E129:E140)</f>
        <v>0</v>
      </c>
      <c r="F141" s="1012"/>
      <c r="G141" s="943">
        <f>SUM(G127:G140)</f>
        <v>0</v>
      </c>
      <c r="H141" s="939"/>
    </row>
    <row r="142" spans="1:10" ht="12" customHeight="1">
      <c r="A142" s="973">
        <f t="shared" si="18"/>
        <v>2019</v>
      </c>
      <c r="B142" s="988" t="s">
        <v>331</v>
      </c>
      <c r="C142" s="981"/>
      <c r="D142" s="990">
        <f>Opbrengsten!J16</f>
        <v>0</v>
      </c>
      <c r="E142" s="981"/>
      <c r="F142" s="983"/>
      <c r="G142" s="984"/>
      <c r="H142" s="873"/>
      <c r="J142" s="456"/>
    </row>
    <row r="143" spans="1:10" ht="12" customHeight="1">
      <c r="A143" s="889"/>
      <c r="B143" s="456" t="s">
        <v>330</v>
      </c>
      <c r="C143" s="981"/>
      <c r="D143" s="981"/>
      <c r="E143" s="981"/>
      <c r="F143" s="983"/>
      <c r="G143" s="982"/>
      <c r="H143" s="873"/>
      <c r="J143" s="456"/>
    </row>
    <row r="144" spans="1:10" ht="12" customHeight="1">
      <c r="A144" s="889"/>
      <c r="B144" s="981"/>
      <c r="C144" s="981"/>
      <c r="D144" s="981"/>
      <c r="E144" s="981"/>
      <c r="F144" s="983"/>
      <c r="G144" s="982"/>
      <c r="H144" s="873"/>
      <c r="J144" s="456"/>
    </row>
    <row r="145" spans="1:10" ht="12" customHeight="1">
      <c r="A145" s="889"/>
      <c r="B145" s="981"/>
      <c r="C145" s="981"/>
      <c r="D145" s="981"/>
      <c r="E145" s="981"/>
      <c r="F145" s="983"/>
      <c r="G145" s="982"/>
      <c r="H145" s="873"/>
      <c r="J145" s="456"/>
    </row>
    <row r="146" spans="1:10" ht="12" customHeight="1">
      <c r="A146" s="889"/>
      <c r="B146" s="981"/>
      <c r="C146" s="981"/>
      <c r="D146" s="981"/>
      <c r="E146" s="981"/>
      <c r="F146" s="983"/>
      <c r="G146" s="982"/>
      <c r="H146" s="873"/>
      <c r="J146" s="458"/>
    </row>
    <row r="147" spans="1:10" ht="12" customHeight="1">
      <c r="A147" s="889"/>
      <c r="B147" s="981"/>
      <c r="C147" s="981"/>
      <c r="D147" s="981"/>
      <c r="E147" s="981"/>
      <c r="F147" s="983"/>
      <c r="G147" s="982"/>
      <c r="H147" s="873"/>
      <c r="J147" s="458"/>
    </row>
    <row r="148" spans="1:10" ht="12" customHeight="1">
      <c r="A148" s="889"/>
      <c r="B148" s="873"/>
      <c r="C148" s="981"/>
      <c r="D148" s="981"/>
      <c r="E148" s="981"/>
      <c r="F148" s="983"/>
      <c r="G148" s="982"/>
      <c r="H148" s="873"/>
      <c r="J148" s="456"/>
    </row>
    <row r="149" spans="1:10" ht="12" customHeight="1">
      <c r="A149" s="889"/>
      <c r="B149" s="981"/>
      <c r="C149" s="873"/>
      <c r="D149" s="873"/>
      <c r="E149" s="873"/>
      <c r="F149" s="873"/>
      <c r="G149" s="873"/>
      <c r="H149" s="873"/>
      <c r="J149" s="456"/>
    </row>
    <row r="150" spans="1:10" ht="12" customHeight="1">
      <c r="A150" s="873"/>
      <c r="B150" s="873"/>
      <c r="C150" s="873"/>
      <c r="D150" s="873"/>
      <c r="E150" s="873"/>
      <c r="F150" s="873"/>
      <c r="G150" s="873"/>
      <c r="H150" s="873"/>
      <c r="J150" s="456"/>
    </row>
    <row r="151" spans="1:10" ht="12" customHeight="1">
      <c r="A151" s="873"/>
      <c r="J151" s="456"/>
    </row>
    <row r="152" ht="12" customHeight="1">
      <c r="J152" s="456"/>
    </row>
    <row r="153" ht="12" customHeight="1"/>
    <row r="160" ht="12" customHeight="1"/>
    <row r="161" ht="12" customHeight="1"/>
    <row r="162" ht="12" customHeight="1"/>
    <row r="163" ht="12" customHeight="1"/>
    <row r="164" ht="12" customHeight="1"/>
  </sheetData>
  <sheetProtection password="CCBC" sheet="1" objects="1" scenarios="1"/>
  <mergeCells count="5">
    <mergeCell ref="C127:F128"/>
    <mergeCell ref="F5:G5"/>
    <mergeCell ref="F50:G50"/>
    <mergeCell ref="E27:G28"/>
    <mergeCell ref="B87:F87"/>
  </mergeCells>
  <conditionalFormatting sqref="C98:C107 C122 G113 D129:D140 G128 D122:E123 C77:C86 E77:E86 E98:E107 D69 C9:D22 C70 C56:C68 D33:D44 C54:D55 C32:C44">
    <cfRule type="expression" priority="1" dxfId="0" stopIfTrue="1">
      <formula>$E$2=TRUE</formula>
    </cfRule>
  </conditionalFormatting>
  <conditionalFormatting sqref="C25">
    <cfRule type="cellIs" priority="2" dxfId="2" operator="notEqual" stopIfTrue="1">
      <formula>0</formula>
    </cfRule>
  </conditionalFormatting>
  <printOptions/>
  <pageMargins left="0.3937007874015748" right="0.3937007874015748" top="0.1968503937007874" bottom="0.1968503937007874" header="0.6299212598425197" footer="0.11811023622047245"/>
  <pageSetup horizontalDpi="300" verticalDpi="300" orientation="landscape" paperSize="9" r:id="rId2"/>
  <headerFooter alignWithMargins="0">
    <oddHeader xml:space="preserve">&amp;R&amp;9 </oddHeader>
  </headerFooter>
  <rowBreaks count="3" manualBreakCount="3">
    <brk id="46" max="255" man="1"/>
    <brk id="89" max="7" man="1"/>
    <brk id="116" max="255" man="1"/>
  </rowBreaks>
  <drawing r:id="rId1"/>
</worksheet>
</file>

<file path=xl/worksheets/sheet16.xml><?xml version="1.0" encoding="utf-8"?>
<worksheet xmlns="http://schemas.openxmlformats.org/spreadsheetml/2006/main" xmlns:r="http://schemas.openxmlformats.org/officeDocument/2006/relationships">
  <sheetPr codeName="Blad19"/>
  <dimension ref="A1:AN81"/>
  <sheetViews>
    <sheetView showGridLines="0" showRowColHeaders="0" showZeros="0" showOutlineSymbols="0" view="pageBreakPreview" zoomScale="75" zoomScaleNormal="75" zoomScaleSheetLayoutView="75" workbookViewId="0" topLeftCell="A1">
      <selection activeCell="B8" sqref="B8"/>
    </sheetView>
  </sheetViews>
  <sheetFormatPr defaultColWidth="9.140625" defaultRowHeight="12.75"/>
  <cols>
    <col min="1" max="1" width="5.7109375" style="469" customWidth="1"/>
    <col min="2" max="2" width="12.7109375" style="438" customWidth="1"/>
    <col min="3" max="3" width="7.00390625" style="438" customWidth="1"/>
    <col min="4" max="4" width="7.7109375" style="435" customWidth="1"/>
    <col min="5" max="7" width="5.8515625" style="438" customWidth="1"/>
    <col min="8" max="8" width="11.28125" style="434" customWidth="1"/>
    <col min="9" max="9" width="10.7109375" style="434" customWidth="1"/>
    <col min="10" max="10" width="3.7109375" style="434" customWidth="1"/>
    <col min="11" max="16" width="2.7109375" style="434" customWidth="1"/>
    <col min="17" max="18" width="11.28125" style="434" customWidth="1"/>
    <col min="19" max="19" width="10.28125" style="438" customWidth="1"/>
    <col min="20" max="20" width="12.00390625" style="438" customWidth="1"/>
    <col min="21" max="21" width="0.13671875" style="438" hidden="1" customWidth="1"/>
    <col min="22" max="22" width="0.2890625" style="438" hidden="1" customWidth="1"/>
    <col min="23" max="23" width="14.28125" style="438" hidden="1" customWidth="1"/>
    <col min="24" max="24" width="14.7109375" style="438" hidden="1" customWidth="1"/>
    <col min="25" max="25" width="15.00390625" style="438" hidden="1" customWidth="1"/>
    <col min="26" max="26" width="15.28125" style="438" hidden="1" customWidth="1"/>
    <col min="27" max="27" width="13.7109375" style="438" hidden="1" customWidth="1"/>
    <col min="28" max="28" width="11.7109375" style="438" hidden="1" customWidth="1"/>
    <col min="29" max="29" width="15.28125" style="438" customWidth="1"/>
    <col min="30" max="30" width="13.7109375" style="438" customWidth="1"/>
    <col min="31" max="31" width="12.8515625" style="438" customWidth="1"/>
    <col min="32" max="32" width="13.28125" style="438" customWidth="1"/>
    <col min="33" max="33" width="12.421875" style="438" customWidth="1"/>
    <col min="34" max="34" width="12.8515625" style="438" customWidth="1"/>
    <col min="35" max="35" width="11.8515625" style="438" customWidth="1"/>
    <col min="36" max="40" width="10.28125" style="438" customWidth="1"/>
    <col min="41" max="16384" width="9.140625" style="438" customWidth="1"/>
  </cols>
  <sheetData>
    <row r="1" spans="1:27" ht="15.75" customHeight="1">
      <c r="A1" s="660"/>
      <c r="B1" s="639"/>
      <c r="C1" s="639"/>
      <c r="D1" s="2"/>
      <c r="E1" s="2"/>
      <c r="F1" s="2"/>
      <c r="G1" s="2"/>
      <c r="H1" s="2"/>
      <c r="I1" s="2"/>
      <c r="J1" s="2"/>
      <c r="K1" s="2"/>
      <c r="L1" s="2"/>
      <c r="M1" s="2"/>
      <c r="N1" s="2"/>
      <c r="O1" s="2"/>
      <c r="P1" s="2"/>
      <c r="Q1" s="2"/>
      <c r="R1" s="2"/>
      <c r="S1" s="639"/>
      <c r="T1" s="639"/>
      <c r="U1" s="439"/>
      <c r="V1" s="440"/>
      <c r="W1" s="439"/>
      <c r="X1" s="439"/>
      <c r="Y1" s="439"/>
      <c r="Z1" s="439"/>
      <c r="AA1" s="439"/>
    </row>
    <row r="2" spans="1:27" s="446" customFormat="1" ht="15.75" customHeight="1">
      <c r="A2" s="6" t="str">
        <f>Inhoud!$A$2</f>
        <v>Nacalculatieformulier 2005</v>
      </c>
      <c r="B2" s="7"/>
      <c r="C2" s="7"/>
      <c r="D2" s="7"/>
      <c r="E2" s="7"/>
      <c r="F2" s="7"/>
      <c r="G2" s="7"/>
      <c r="H2" s="7"/>
      <c r="I2" s="8" t="b">
        <f>Voorblad!D30</f>
        <v>1</v>
      </c>
      <c r="J2" s="8"/>
      <c r="K2" s="8"/>
      <c r="L2" s="634"/>
      <c r="M2" s="634"/>
      <c r="N2" s="8"/>
      <c r="O2" s="634"/>
      <c r="P2" s="634"/>
      <c r="Q2" s="8"/>
      <c r="R2" s="634"/>
      <c r="S2" s="634"/>
      <c r="T2" s="10">
        <f>'A-G'!G118+1</f>
        <v>21</v>
      </c>
      <c r="U2" s="447"/>
      <c r="V2" s="448"/>
      <c r="W2" s="447"/>
      <c r="X2" s="447"/>
      <c r="Y2" s="447"/>
      <c r="Z2" s="447"/>
      <c r="AA2" s="447"/>
    </row>
    <row r="3" spans="1:20" s="456" customFormat="1" ht="12.75" customHeight="1">
      <c r="A3" s="623"/>
      <c r="B3" s="661"/>
      <c r="C3" s="661"/>
      <c r="D3" s="167"/>
      <c r="E3" s="661"/>
      <c r="F3" s="661"/>
      <c r="G3" s="661"/>
      <c r="H3" s="168"/>
      <c r="I3" s="168"/>
      <c r="J3" s="168"/>
      <c r="K3" s="168"/>
      <c r="L3" s="168"/>
      <c r="M3" s="168"/>
      <c r="N3" s="168"/>
      <c r="O3" s="168"/>
      <c r="P3" s="168"/>
      <c r="Q3" s="168"/>
      <c r="R3" s="168"/>
      <c r="S3" s="570"/>
      <c r="T3" s="570"/>
    </row>
    <row r="4" spans="1:39" s="500" customFormat="1" ht="12.75" customHeight="1">
      <c r="A4" s="213"/>
      <c r="B4" s="662" t="s">
        <v>398</v>
      </c>
      <c r="C4" s="663" t="s">
        <v>406</v>
      </c>
      <c r="D4" s="214" t="s">
        <v>96</v>
      </c>
      <c r="E4" s="215" t="s">
        <v>417</v>
      </c>
      <c r="F4" s="215" t="s">
        <v>393</v>
      </c>
      <c r="G4" s="215" t="s">
        <v>99</v>
      </c>
      <c r="H4" s="215" t="s">
        <v>399</v>
      </c>
      <c r="I4" s="1414" t="str">
        <f>CONCATENATE("Storting/Aflossing ",Voorblad!D3)</f>
        <v>Storting/Aflossing 2005</v>
      </c>
      <c r="J4" s="1415"/>
      <c r="K4" s="1415"/>
      <c r="L4" s="1415"/>
      <c r="M4" s="1415"/>
      <c r="N4" s="1415"/>
      <c r="O4" s="1415"/>
      <c r="P4" s="1416"/>
      <c r="Q4" s="663" t="s">
        <v>399</v>
      </c>
      <c r="R4" s="215" t="s">
        <v>422</v>
      </c>
      <c r="S4" s="215" t="s">
        <v>132</v>
      </c>
      <c r="T4" s="198" t="s">
        <v>102</v>
      </c>
      <c r="U4" s="580"/>
      <c r="V4" s="580"/>
      <c r="W4" s="580"/>
      <c r="X4" s="580"/>
      <c r="Y4" s="580"/>
      <c r="Z4" s="580"/>
      <c r="AA4" s="580"/>
      <c r="AB4" s="580"/>
      <c r="AC4" s="580"/>
      <c r="AD4" s="580"/>
      <c r="AE4" s="580"/>
      <c r="AF4" s="580"/>
      <c r="AG4" s="580"/>
      <c r="AH4" s="580"/>
      <c r="AI4" s="580"/>
      <c r="AJ4" s="580"/>
      <c r="AK4" s="580"/>
      <c r="AL4" s="580"/>
      <c r="AM4" s="580"/>
    </row>
    <row r="5" spans="1:39" s="500" customFormat="1" ht="12.75" customHeight="1">
      <c r="A5" s="216"/>
      <c r="B5" s="664"/>
      <c r="C5" s="665" t="s">
        <v>138</v>
      </c>
      <c r="D5" s="1061" t="s">
        <v>141</v>
      </c>
      <c r="E5" s="217" t="s">
        <v>97</v>
      </c>
      <c r="F5" s="217" t="s">
        <v>98</v>
      </c>
      <c r="G5" s="217" t="s">
        <v>100</v>
      </c>
      <c r="H5" s="218" t="str">
        <f>CONCATENATE("31-12-",Voorblad!D3-1," ")</f>
        <v>31-12-2004 </v>
      </c>
      <c r="I5" s="219" t="s">
        <v>246</v>
      </c>
      <c r="J5" s="220" t="s">
        <v>414</v>
      </c>
      <c r="K5" s="1414" t="s">
        <v>415</v>
      </c>
      <c r="L5" s="1419"/>
      <c r="M5" s="1419"/>
      <c r="N5" s="1419"/>
      <c r="O5" s="1419"/>
      <c r="P5" s="1420"/>
      <c r="Q5" s="218" t="str">
        <f>CONCATENATE("31-12-",Voorblad!D3," ")</f>
        <v>31-12-2005 </v>
      </c>
      <c r="R5" s="109" t="s">
        <v>139</v>
      </c>
      <c r="S5" s="109" t="s">
        <v>101</v>
      </c>
      <c r="T5" s="109" t="s">
        <v>101</v>
      </c>
      <c r="U5" s="580"/>
      <c r="V5" s="580"/>
      <c r="W5" s="580"/>
      <c r="X5" s="580"/>
      <c r="Y5" s="580"/>
      <c r="Z5" s="580"/>
      <c r="AA5" s="580"/>
      <c r="AB5" s="580"/>
      <c r="AC5" s="580"/>
      <c r="AD5" s="580"/>
      <c r="AE5" s="580"/>
      <c r="AF5" s="580"/>
      <c r="AG5" s="580"/>
      <c r="AH5" s="580"/>
      <c r="AI5" s="580"/>
      <c r="AJ5" s="580"/>
      <c r="AK5" s="580"/>
      <c r="AL5" s="580"/>
      <c r="AM5" s="580"/>
    </row>
    <row r="6" spans="1:20" s="501" customFormat="1" ht="12.75" customHeight="1">
      <c r="A6" s="169"/>
      <c r="B6" s="92"/>
      <c r="C6" s="92"/>
      <c r="D6" s="92"/>
      <c r="E6" s="92"/>
      <c r="F6" s="92"/>
      <c r="G6" s="92"/>
      <c r="H6" s="92"/>
      <c r="I6" s="92"/>
      <c r="J6" s="92"/>
      <c r="K6" s="92"/>
      <c r="L6" s="91"/>
      <c r="M6" s="92"/>
      <c r="N6" s="92"/>
      <c r="O6" s="92"/>
      <c r="P6" s="92"/>
      <c r="Q6" s="92"/>
      <c r="R6" s="92"/>
      <c r="S6" s="92"/>
      <c r="T6" s="92" t="s">
        <v>142</v>
      </c>
    </row>
    <row r="7" spans="1:20" s="456" customFormat="1" ht="12.75" customHeight="1">
      <c r="A7" s="623" t="s">
        <v>510</v>
      </c>
      <c r="B7" s="666" t="s">
        <v>508</v>
      </c>
      <c r="C7" s="666"/>
      <c r="D7" s="167"/>
      <c r="E7" s="661"/>
      <c r="F7" s="661"/>
      <c r="G7" s="661"/>
      <c r="H7" s="168"/>
      <c r="I7" s="168"/>
      <c r="J7" s="168"/>
      <c r="K7" s="168"/>
      <c r="L7" s="168"/>
      <c r="M7" s="168"/>
      <c r="N7" s="168"/>
      <c r="O7" s="168"/>
      <c r="P7" s="168"/>
      <c r="Q7" s="168"/>
      <c r="R7" s="168"/>
      <c r="S7" s="570"/>
      <c r="T7" s="570"/>
    </row>
    <row r="8" spans="1:39" s="456" customFormat="1" ht="12.75" customHeight="1">
      <c r="A8" s="733">
        <f>(100*T2)+1</f>
        <v>2101</v>
      </c>
      <c r="B8" s="769"/>
      <c r="C8" s="555"/>
      <c r="D8" s="555"/>
      <c r="E8" s="510"/>
      <c r="F8" s="510"/>
      <c r="G8" s="877"/>
      <c r="H8" s="571"/>
      <c r="I8" s="571"/>
      <c r="J8" s="503"/>
      <c r="K8" s="503"/>
      <c r="L8" s="503"/>
      <c r="M8" s="503"/>
      <c r="N8" s="503"/>
      <c r="O8" s="503"/>
      <c r="P8" s="503"/>
      <c r="Q8" s="574">
        <f>H8-AB8</f>
        <v>0</v>
      </c>
      <c r="R8" s="573">
        <f aca="true" t="shared" si="0" ref="R8:R34">R47</f>
        <v>0</v>
      </c>
      <c r="S8" s="574">
        <f>R8*F8/100</f>
        <v>0</v>
      </c>
      <c r="T8" s="573">
        <f>IF(G8="n",S8,E8/100*R8)</f>
        <v>0</v>
      </c>
      <c r="U8" s="576">
        <f aca="true" t="shared" si="1" ref="U8:Z8">IF(K8&gt;0,1,0)</f>
        <v>0</v>
      </c>
      <c r="V8" s="576">
        <f t="shared" si="1"/>
        <v>0</v>
      </c>
      <c r="W8" s="576">
        <f t="shared" si="1"/>
        <v>0</v>
      </c>
      <c r="X8" s="576">
        <f t="shared" si="1"/>
        <v>0</v>
      </c>
      <c r="Y8" s="576">
        <f t="shared" si="1"/>
        <v>0</v>
      </c>
      <c r="Z8" s="576">
        <f t="shared" si="1"/>
        <v>0</v>
      </c>
      <c r="AA8" s="576">
        <f>SUM(U8:Z8)</f>
        <v>0</v>
      </c>
      <c r="AB8" s="576">
        <f>AA8*I8</f>
        <v>0</v>
      </c>
      <c r="AC8"/>
      <c r="AD8"/>
      <c r="AE8"/>
      <c r="AF8"/>
      <c r="AG8"/>
      <c r="AH8"/>
      <c r="AI8"/>
      <c r="AJ8" s="575"/>
      <c r="AK8" s="575"/>
      <c r="AL8" s="575"/>
      <c r="AM8" s="575"/>
    </row>
    <row r="9" spans="1:39" s="456" customFormat="1" ht="12.75" customHeight="1">
      <c r="A9" s="733">
        <f>A8+1</f>
        <v>2102</v>
      </c>
      <c r="B9" s="769"/>
      <c r="C9" s="555"/>
      <c r="D9" s="555"/>
      <c r="E9" s="510"/>
      <c r="F9" s="554"/>
      <c r="G9" s="877"/>
      <c r="H9" s="571"/>
      <c r="I9" s="571"/>
      <c r="J9" s="503"/>
      <c r="K9" s="503"/>
      <c r="L9" s="503"/>
      <c r="M9" s="503"/>
      <c r="N9" s="503"/>
      <c r="O9" s="503"/>
      <c r="P9" s="503"/>
      <c r="Q9" s="574">
        <f aca="true" t="shared" si="2" ref="Q9:Q34">H9-AB9</f>
        <v>0</v>
      </c>
      <c r="R9" s="573">
        <f t="shared" si="0"/>
        <v>0</v>
      </c>
      <c r="S9" s="574">
        <f>R9*F9/100</f>
        <v>0</v>
      </c>
      <c r="T9" s="573">
        <f aca="true" t="shared" si="3" ref="T9:T34">IF(G9="n",S9,E9/100*R9)</f>
        <v>0</v>
      </c>
      <c r="U9" s="576">
        <f aca="true" t="shared" si="4" ref="U9:U34">IF(K9&gt;0,1,0)</f>
        <v>0</v>
      </c>
      <c r="V9" s="576">
        <f aca="true" t="shared" si="5" ref="V9:V34">IF(L9&gt;0,1,0)</f>
        <v>0</v>
      </c>
      <c r="W9" s="576">
        <f aca="true" t="shared" si="6" ref="W9:W34">IF(M9&gt;0,1,0)</f>
        <v>0</v>
      </c>
      <c r="X9" s="576">
        <f aca="true" t="shared" si="7" ref="X9:X34">IF(N9&gt;0,1,0)</f>
        <v>0</v>
      </c>
      <c r="Y9" s="576">
        <f aca="true" t="shared" si="8" ref="Y9:Y34">IF(O9&gt;0,1,0)</f>
        <v>0</v>
      </c>
      <c r="Z9" s="576">
        <f aca="true" t="shared" si="9" ref="Z9:Z34">IF(P9&gt;0,1,0)</f>
        <v>0</v>
      </c>
      <c r="AA9" s="576">
        <f aca="true" t="shared" si="10" ref="AA9:AA34">SUM(U9:Z9)</f>
        <v>0</v>
      </c>
      <c r="AB9" s="576">
        <f aca="true" t="shared" si="11" ref="AB9:AB34">AA9*I9</f>
        <v>0</v>
      </c>
      <c r="AC9"/>
      <c r="AD9"/>
      <c r="AE9"/>
      <c r="AF9"/>
      <c r="AG9"/>
      <c r="AH9"/>
      <c r="AI9"/>
      <c r="AJ9" s="575"/>
      <c r="AK9" s="575"/>
      <c r="AL9" s="575"/>
      <c r="AM9" s="575"/>
    </row>
    <row r="10" spans="1:39" s="456" customFormat="1" ht="12.75" customHeight="1">
      <c r="A10" s="733">
        <f>A9+1</f>
        <v>2103</v>
      </c>
      <c r="B10" s="769"/>
      <c r="C10" s="555"/>
      <c r="D10" s="555"/>
      <c r="E10" s="510"/>
      <c r="F10" s="554"/>
      <c r="G10" s="877"/>
      <c r="H10" s="571"/>
      <c r="I10" s="571"/>
      <c r="J10" s="503"/>
      <c r="K10" s="503"/>
      <c r="L10" s="503"/>
      <c r="M10" s="503"/>
      <c r="N10" s="503"/>
      <c r="O10" s="503"/>
      <c r="P10" s="503"/>
      <c r="Q10" s="574">
        <f t="shared" si="2"/>
        <v>0</v>
      </c>
      <c r="R10" s="573">
        <f t="shared" si="0"/>
        <v>0</v>
      </c>
      <c r="S10" s="574">
        <f aca="true" t="shared" si="12" ref="S10:S34">R10*F10/100</f>
        <v>0</v>
      </c>
      <c r="T10" s="573">
        <f t="shared" si="3"/>
        <v>0</v>
      </c>
      <c r="U10" s="576">
        <f t="shared" si="4"/>
        <v>0</v>
      </c>
      <c r="V10" s="576">
        <f t="shared" si="5"/>
        <v>0</v>
      </c>
      <c r="W10" s="576">
        <f t="shared" si="6"/>
        <v>0</v>
      </c>
      <c r="X10" s="576">
        <f t="shared" si="7"/>
        <v>0</v>
      </c>
      <c r="Y10" s="576">
        <f t="shared" si="8"/>
        <v>0</v>
      </c>
      <c r="Z10" s="576">
        <f t="shared" si="9"/>
        <v>0</v>
      </c>
      <c r="AA10" s="576">
        <f t="shared" si="10"/>
        <v>0</v>
      </c>
      <c r="AB10" s="576">
        <f t="shared" si="11"/>
        <v>0</v>
      </c>
      <c r="AC10"/>
      <c r="AD10"/>
      <c r="AE10"/>
      <c r="AF10"/>
      <c r="AG10"/>
      <c r="AH10"/>
      <c r="AI10"/>
      <c r="AJ10" s="575"/>
      <c r="AK10" s="575"/>
      <c r="AL10" s="575"/>
      <c r="AM10" s="575"/>
    </row>
    <row r="11" spans="1:39" s="456" customFormat="1" ht="12.75" customHeight="1">
      <c r="A11" s="733">
        <f aca="true" t="shared" si="13" ref="A11:A17">A10+1</f>
        <v>2104</v>
      </c>
      <c r="B11" s="769"/>
      <c r="C11" s="555"/>
      <c r="D11" s="555"/>
      <c r="E11" s="510"/>
      <c r="F11" s="554"/>
      <c r="G11" s="877"/>
      <c r="H11" s="571"/>
      <c r="I11" s="571"/>
      <c r="J11" s="503"/>
      <c r="K11" s="503"/>
      <c r="L11" s="503"/>
      <c r="M11" s="503"/>
      <c r="N11" s="503"/>
      <c r="O11" s="503"/>
      <c r="P11" s="503"/>
      <c r="Q11" s="574">
        <f t="shared" si="2"/>
        <v>0</v>
      </c>
      <c r="R11" s="573">
        <f t="shared" si="0"/>
        <v>0</v>
      </c>
      <c r="S11" s="574">
        <f t="shared" si="12"/>
        <v>0</v>
      </c>
      <c r="T11" s="573">
        <f t="shared" si="3"/>
        <v>0</v>
      </c>
      <c r="U11" s="576">
        <f t="shared" si="4"/>
        <v>0</v>
      </c>
      <c r="V11" s="576">
        <f t="shared" si="5"/>
        <v>0</v>
      </c>
      <c r="W11" s="576">
        <f t="shared" si="6"/>
        <v>0</v>
      </c>
      <c r="X11" s="576">
        <f t="shared" si="7"/>
        <v>0</v>
      </c>
      <c r="Y11" s="576">
        <f t="shared" si="8"/>
        <v>0</v>
      </c>
      <c r="Z11" s="576">
        <f t="shared" si="9"/>
        <v>0</v>
      </c>
      <c r="AA11" s="576">
        <f t="shared" si="10"/>
        <v>0</v>
      </c>
      <c r="AB11" s="576">
        <f t="shared" si="11"/>
        <v>0</v>
      </c>
      <c r="AC11"/>
      <c r="AD11"/>
      <c r="AE11"/>
      <c r="AF11"/>
      <c r="AG11"/>
      <c r="AH11"/>
      <c r="AI11"/>
      <c r="AJ11" s="575"/>
      <c r="AK11" s="575"/>
      <c r="AL11" s="575"/>
      <c r="AM11" s="575"/>
    </row>
    <row r="12" spans="1:39" s="456" customFormat="1" ht="12.75" customHeight="1">
      <c r="A12" s="733">
        <f t="shared" si="13"/>
        <v>2105</v>
      </c>
      <c r="B12" s="769"/>
      <c r="C12" s="555"/>
      <c r="D12" s="555"/>
      <c r="E12" s="510"/>
      <c r="F12" s="554"/>
      <c r="G12" s="877"/>
      <c r="H12" s="571"/>
      <c r="I12" s="571"/>
      <c r="J12" s="503"/>
      <c r="K12" s="503"/>
      <c r="L12" s="503"/>
      <c r="M12" s="503"/>
      <c r="N12" s="503"/>
      <c r="O12" s="503"/>
      <c r="P12" s="503"/>
      <c r="Q12" s="574">
        <f t="shared" si="2"/>
        <v>0</v>
      </c>
      <c r="R12" s="573">
        <f t="shared" si="0"/>
        <v>0</v>
      </c>
      <c r="S12" s="574">
        <f t="shared" si="12"/>
        <v>0</v>
      </c>
      <c r="T12" s="573">
        <f t="shared" si="3"/>
        <v>0</v>
      </c>
      <c r="U12" s="576">
        <f t="shared" si="4"/>
        <v>0</v>
      </c>
      <c r="V12" s="576">
        <f t="shared" si="5"/>
        <v>0</v>
      </c>
      <c r="W12" s="576">
        <f t="shared" si="6"/>
        <v>0</v>
      </c>
      <c r="X12" s="576">
        <f t="shared" si="7"/>
        <v>0</v>
      </c>
      <c r="Y12" s="576">
        <f t="shared" si="8"/>
        <v>0</v>
      </c>
      <c r="Z12" s="576">
        <f t="shared" si="9"/>
        <v>0</v>
      </c>
      <c r="AA12" s="576">
        <f t="shared" si="10"/>
        <v>0</v>
      </c>
      <c r="AB12" s="576">
        <f t="shared" si="11"/>
        <v>0</v>
      </c>
      <c r="AC12"/>
      <c r="AD12"/>
      <c r="AE12"/>
      <c r="AF12"/>
      <c r="AG12"/>
      <c r="AH12"/>
      <c r="AI12"/>
      <c r="AJ12" s="575"/>
      <c r="AK12" s="575"/>
      <c r="AL12" s="575"/>
      <c r="AM12" s="575"/>
    </row>
    <row r="13" spans="1:39" s="456" customFormat="1" ht="12.75" customHeight="1">
      <c r="A13" s="733">
        <f t="shared" si="13"/>
        <v>2106</v>
      </c>
      <c r="B13" s="769"/>
      <c r="C13" s="555"/>
      <c r="D13" s="555"/>
      <c r="E13" s="510"/>
      <c r="F13" s="554"/>
      <c r="G13" s="877"/>
      <c r="H13" s="571"/>
      <c r="I13" s="571"/>
      <c r="J13" s="503"/>
      <c r="K13" s="503"/>
      <c r="L13" s="503"/>
      <c r="M13" s="503"/>
      <c r="N13" s="503"/>
      <c r="O13" s="503"/>
      <c r="P13" s="503"/>
      <c r="Q13" s="574">
        <f t="shared" si="2"/>
        <v>0</v>
      </c>
      <c r="R13" s="573">
        <f t="shared" si="0"/>
        <v>0</v>
      </c>
      <c r="S13" s="574">
        <f t="shared" si="12"/>
        <v>0</v>
      </c>
      <c r="T13" s="573">
        <f t="shared" si="3"/>
        <v>0</v>
      </c>
      <c r="U13" s="576">
        <f t="shared" si="4"/>
        <v>0</v>
      </c>
      <c r="V13" s="576">
        <f t="shared" si="5"/>
        <v>0</v>
      </c>
      <c r="W13" s="576">
        <f t="shared" si="6"/>
        <v>0</v>
      </c>
      <c r="X13" s="576">
        <f t="shared" si="7"/>
        <v>0</v>
      </c>
      <c r="Y13" s="576">
        <f t="shared" si="8"/>
        <v>0</v>
      </c>
      <c r="Z13" s="576">
        <f t="shared" si="9"/>
        <v>0</v>
      </c>
      <c r="AA13" s="576">
        <f t="shared" si="10"/>
        <v>0</v>
      </c>
      <c r="AB13" s="576">
        <f t="shared" si="11"/>
        <v>0</v>
      </c>
      <c r="AC13"/>
      <c r="AD13"/>
      <c r="AE13"/>
      <c r="AF13"/>
      <c r="AG13"/>
      <c r="AH13"/>
      <c r="AI13"/>
      <c r="AJ13" s="575"/>
      <c r="AK13" s="575"/>
      <c r="AL13" s="575"/>
      <c r="AM13" s="575"/>
    </row>
    <row r="14" spans="1:39" s="456" customFormat="1" ht="12.75" customHeight="1">
      <c r="A14" s="733">
        <f t="shared" si="13"/>
        <v>2107</v>
      </c>
      <c r="B14" s="769"/>
      <c r="C14" s="555"/>
      <c r="D14" s="555"/>
      <c r="E14" s="510"/>
      <c r="F14" s="554"/>
      <c r="G14" s="877"/>
      <c r="H14" s="571"/>
      <c r="I14" s="571"/>
      <c r="J14" s="503"/>
      <c r="K14" s="503"/>
      <c r="L14" s="503"/>
      <c r="M14" s="503"/>
      <c r="N14" s="503"/>
      <c r="O14" s="503"/>
      <c r="P14" s="503"/>
      <c r="Q14" s="574">
        <f t="shared" si="2"/>
        <v>0</v>
      </c>
      <c r="R14" s="573">
        <f t="shared" si="0"/>
        <v>0</v>
      </c>
      <c r="S14" s="574">
        <f t="shared" si="12"/>
        <v>0</v>
      </c>
      <c r="T14" s="573">
        <f t="shared" si="3"/>
        <v>0</v>
      </c>
      <c r="U14" s="576">
        <f t="shared" si="4"/>
        <v>0</v>
      </c>
      <c r="V14" s="576">
        <f t="shared" si="5"/>
        <v>0</v>
      </c>
      <c r="W14" s="576">
        <f t="shared" si="6"/>
        <v>0</v>
      </c>
      <c r="X14" s="576">
        <f t="shared" si="7"/>
        <v>0</v>
      </c>
      <c r="Y14" s="576">
        <f t="shared" si="8"/>
        <v>0</v>
      </c>
      <c r="Z14" s="576">
        <f t="shared" si="9"/>
        <v>0</v>
      </c>
      <c r="AA14" s="576">
        <f t="shared" si="10"/>
        <v>0</v>
      </c>
      <c r="AB14" s="576">
        <f t="shared" si="11"/>
        <v>0</v>
      </c>
      <c r="AC14"/>
      <c r="AD14"/>
      <c r="AE14"/>
      <c r="AF14"/>
      <c r="AG14"/>
      <c r="AH14"/>
      <c r="AI14"/>
      <c r="AJ14" s="575"/>
      <c r="AK14" s="575"/>
      <c r="AL14" s="575"/>
      <c r="AM14" s="575"/>
    </row>
    <row r="15" spans="1:39" s="456" customFormat="1" ht="12.75" customHeight="1">
      <c r="A15" s="733">
        <f t="shared" si="13"/>
        <v>2108</v>
      </c>
      <c r="B15" s="769"/>
      <c r="C15" s="555"/>
      <c r="D15" s="555"/>
      <c r="E15" s="510"/>
      <c r="F15" s="554"/>
      <c r="G15" s="877"/>
      <c r="H15" s="571"/>
      <c r="I15" s="571"/>
      <c r="J15" s="503"/>
      <c r="K15" s="503"/>
      <c r="L15" s="503"/>
      <c r="M15" s="503"/>
      <c r="N15" s="503"/>
      <c r="O15" s="503"/>
      <c r="P15" s="503"/>
      <c r="Q15" s="574">
        <f t="shared" si="2"/>
        <v>0</v>
      </c>
      <c r="R15" s="573">
        <f t="shared" si="0"/>
        <v>0</v>
      </c>
      <c r="S15" s="574">
        <f t="shared" si="12"/>
        <v>0</v>
      </c>
      <c r="T15" s="573">
        <f t="shared" si="3"/>
        <v>0</v>
      </c>
      <c r="U15" s="576">
        <f t="shared" si="4"/>
        <v>0</v>
      </c>
      <c r="V15" s="576">
        <f t="shared" si="5"/>
        <v>0</v>
      </c>
      <c r="W15" s="576">
        <f t="shared" si="6"/>
        <v>0</v>
      </c>
      <c r="X15" s="576">
        <f t="shared" si="7"/>
        <v>0</v>
      </c>
      <c r="Y15" s="576">
        <f t="shared" si="8"/>
        <v>0</v>
      </c>
      <c r="Z15" s="576">
        <f t="shared" si="9"/>
        <v>0</v>
      </c>
      <c r="AA15" s="576">
        <f t="shared" si="10"/>
        <v>0</v>
      </c>
      <c r="AB15" s="576">
        <f t="shared" si="11"/>
        <v>0</v>
      </c>
      <c r="AC15"/>
      <c r="AD15"/>
      <c r="AE15"/>
      <c r="AF15"/>
      <c r="AG15"/>
      <c r="AH15"/>
      <c r="AI15"/>
      <c r="AJ15" s="575"/>
      <c r="AK15" s="575"/>
      <c r="AL15" s="575"/>
      <c r="AM15" s="575"/>
    </row>
    <row r="16" spans="1:39" s="456" customFormat="1" ht="12.75" customHeight="1">
      <c r="A16" s="733">
        <f t="shared" si="13"/>
        <v>2109</v>
      </c>
      <c r="B16" s="769"/>
      <c r="C16" s="555"/>
      <c r="D16" s="555"/>
      <c r="E16" s="510"/>
      <c r="F16" s="554"/>
      <c r="G16" s="877"/>
      <c r="H16" s="571"/>
      <c r="I16" s="571"/>
      <c r="J16" s="503"/>
      <c r="K16" s="503"/>
      <c r="L16" s="503"/>
      <c r="M16" s="503"/>
      <c r="N16" s="503"/>
      <c r="O16" s="503"/>
      <c r="P16" s="503"/>
      <c r="Q16" s="574">
        <f t="shared" si="2"/>
        <v>0</v>
      </c>
      <c r="R16" s="573">
        <f t="shared" si="0"/>
        <v>0</v>
      </c>
      <c r="S16" s="574">
        <f t="shared" si="12"/>
        <v>0</v>
      </c>
      <c r="T16" s="573">
        <f t="shared" si="3"/>
        <v>0</v>
      </c>
      <c r="U16" s="576">
        <f t="shared" si="4"/>
        <v>0</v>
      </c>
      <c r="V16" s="576">
        <f t="shared" si="5"/>
        <v>0</v>
      </c>
      <c r="W16" s="576">
        <f t="shared" si="6"/>
        <v>0</v>
      </c>
      <c r="X16" s="576">
        <f t="shared" si="7"/>
        <v>0</v>
      </c>
      <c r="Y16" s="576">
        <f t="shared" si="8"/>
        <v>0</v>
      </c>
      <c r="Z16" s="576">
        <f t="shared" si="9"/>
        <v>0</v>
      </c>
      <c r="AA16" s="576">
        <f t="shared" si="10"/>
        <v>0</v>
      </c>
      <c r="AB16" s="576">
        <f t="shared" si="11"/>
        <v>0</v>
      </c>
      <c r="AC16"/>
      <c r="AD16"/>
      <c r="AE16"/>
      <c r="AF16"/>
      <c r="AG16"/>
      <c r="AH16"/>
      <c r="AI16"/>
      <c r="AJ16" s="575"/>
      <c r="AK16" s="575"/>
      <c r="AL16" s="575"/>
      <c r="AM16" s="575"/>
    </row>
    <row r="17" spans="1:39" s="456" customFormat="1" ht="12.75" customHeight="1">
      <c r="A17" s="733">
        <f t="shared" si="13"/>
        <v>2110</v>
      </c>
      <c r="B17" s="769"/>
      <c r="C17" s="555"/>
      <c r="D17" s="555"/>
      <c r="E17" s="510"/>
      <c r="F17" s="554"/>
      <c r="G17" s="877"/>
      <c r="H17" s="571"/>
      <c r="I17" s="571"/>
      <c r="J17" s="503"/>
      <c r="K17" s="503"/>
      <c r="L17" s="503"/>
      <c r="M17" s="503"/>
      <c r="N17" s="503"/>
      <c r="O17" s="503"/>
      <c r="P17" s="503"/>
      <c r="Q17" s="574">
        <f t="shared" si="2"/>
        <v>0</v>
      </c>
      <c r="R17" s="573">
        <f t="shared" si="0"/>
        <v>0</v>
      </c>
      <c r="S17" s="574">
        <f t="shared" si="12"/>
        <v>0</v>
      </c>
      <c r="T17" s="573">
        <f t="shared" si="3"/>
        <v>0</v>
      </c>
      <c r="U17" s="576">
        <f t="shared" si="4"/>
        <v>0</v>
      </c>
      <c r="V17" s="576">
        <f t="shared" si="5"/>
        <v>0</v>
      </c>
      <c r="W17" s="576">
        <f t="shared" si="6"/>
        <v>0</v>
      </c>
      <c r="X17" s="576">
        <f t="shared" si="7"/>
        <v>0</v>
      </c>
      <c r="Y17" s="576">
        <f t="shared" si="8"/>
        <v>0</v>
      </c>
      <c r="Z17" s="576">
        <f t="shared" si="9"/>
        <v>0</v>
      </c>
      <c r="AA17" s="576">
        <f t="shared" si="10"/>
        <v>0</v>
      </c>
      <c r="AB17" s="576">
        <f t="shared" si="11"/>
        <v>0</v>
      </c>
      <c r="AC17"/>
      <c r="AD17"/>
      <c r="AE17"/>
      <c r="AF17"/>
      <c r="AG17"/>
      <c r="AH17"/>
      <c r="AI17"/>
      <c r="AJ17" s="575"/>
      <c r="AK17" s="575"/>
      <c r="AL17" s="575"/>
      <c r="AM17" s="575"/>
    </row>
    <row r="18" spans="1:39" s="456" customFormat="1" ht="12.75" customHeight="1">
      <c r="A18" s="733">
        <f aca="true" t="shared" si="14" ref="A18:A23">A17+1</f>
        <v>2111</v>
      </c>
      <c r="B18" s="769"/>
      <c r="C18" s="555"/>
      <c r="D18" s="555"/>
      <c r="E18" s="510"/>
      <c r="F18" s="554"/>
      <c r="G18" s="877"/>
      <c r="H18" s="571"/>
      <c r="I18" s="571"/>
      <c r="J18" s="503"/>
      <c r="K18" s="503"/>
      <c r="L18" s="503"/>
      <c r="M18" s="503"/>
      <c r="N18" s="503"/>
      <c r="O18" s="503"/>
      <c r="P18" s="503"/>
      <c r="Q18" s="574">
        <f t="shared" si="2"/>
        <v>0</v>
      </c>
      <c r="R18" s="573">
        <f t="shared" si="0"/>
        <v>0</v>
      </c>
      <c r="S18" s="574">
        <f t="shared" si="12"/>
        <v>0</v>
      </c>
      <c r="T18" s="573">
        <f t="shared" si="3"/>
        <v>0</v>
      </c>
      <c r="U18" s="576">
        <f t="shared" si="4"/>
        <v>0</v>
      </c>
      <c r="V18" s="576">
        <f t="shared" si="5"/>
        <v>0</v>
      </c>
      <c r="W18" s="576">
        <f t="shared" si="6"/>
        <v>0</v>
      </c>
      <c r="X18" s="576">
        <f t="shared" si="7"/>
        <v>0</v>
      </c>
      <c r="Y18" s="576">
        <f t="shared" si="8"/>
        <v>0</v>
      </c>
      <c r="Z18" s="576">
        <f t="shared" si="9"/>
        <v>0</v>
      </c>
      <c r="AA18" s="576">
        <f t="shared" si="10"/>
        <v>0</v>
      </c>
      <c r="AB18" s="576">
        <f t="shared" si="11"/>
        <v>0</v>
      </c>
      <c r="AC18"/>
      <c r="AD18"/>
      <c r="AE18"/>
      <c r="AF18"/>
      <c r="AG18"/>
      <c r="AH18"/>
      <c r="AI18"/>
      <c r="AJ18" s="575"/>
      <c r="AK18" s="575"/>
      <c r="AL18" s="575"/>
      <c r="AM18" s="575"/>
    </row>
    <row r="19" spans="1:39" s="456" customFormat="1" ht="12.75" customHeight="1">
      <c r="A19" s="733">
        <f t="shared" si="14"/>
        <v>2112</v>
      </c>
      <c r="B19" s="769"/>
      <c r="C19" s="555"/>
      <c r="D19" s="555"/>
      <c r="E19" s="510"/>
      <c r="F19" s="554"/>
      <c r="G19" s="877"/>
      <c r="H19" s="571"/>
      <c r="I19" s="571"/>
      <c r="J19" s="503"/>
      <c r="K19" s="503"/>
      <c r="L19" s="503"/>
      <c r="M19" s="503"/>
      <c r="N19" s="503"/>
      <c r="O19" s="503"/>
      <c r="P19" s="503"/>
      <c r="Q19" s="574">
        <f t="shared" si="2"/>
        <v>0</v>
      </c>
      <c r="R19" s="573">
        <f t="shared" si="0"/>
        <v>0</v>
      </c>
      <c r="S19" s="574">
        <f t="shared" si="12"/>
        <v>0</v>
      </c>
      <c r="T19" s="573">
        <f t="shared" si="3"/>
        <v>0</v>
      </c>
      <c r="U19" s="576">
        <f t="shared" si="4"/>
        <v>0</v>
      </c>
      <c r="V19" s="576">
        <f t="shared" si="5"/>
        <v>0</v>
      </c>
      <c r="W19" s="576">
        <f t="shared" si="6"/>
        <v>0</v>
      </c>
      <c r="X19" s="576">
        <f t="shared" si="7"/>
        <v>0</v>
      </c>
      <c r="Y19" s="576">
        <f t="shared" si="8"/>
        <v>0</v>
      </c>
      <c r="Z19" s="576">
        <f t="shared" si="9"/>
        <v>0</v>
      </c>
      <c r="AA19" s="576">
        <f t="shared" si="10"/>
        <v>0</v>
      </c>
      <c r="AB19" s="576">
        <f t="shared" si="11"/>
        <v>0</v>
      </c>
      <c r="AC19"/>
      <c r="AD19"/>
      <c r="AE19"/>
      <c r="AF19"/>
      <c r="AG19"/>
      <c r="AH19"/>
      <c r="AI19"/>
      <c r="AJ19" s="575"/>
      <c r="AK19" s="575"/>
      <c r="AL19" s="575"/>
      <c r="AM19" s="575"/>
    </row>
    <row r="20" spans="1:39" s="456" customFormat="1" ht="12.75" customHeight="1">
      <c r="A20" s="733">
        <f t="shared" si="14"/>
        <v>2113</v>
      </c>
      <c r="B20" s="769"/>
      <c r="C20" s="555"/>
      <c r="D20" s="555"/>
      <c r="E20" s="510"/>
      <c r="F20" s="554"/>
      <c r="G20" s="877"/>
      <c r="H20" s="571"/>
      <c r="I20" s="571"/>
      <c r="J20" s="503"/>
      <c r="K20" s="503"/>
      <c r="L20" s="503"/>
      <c r="M20" s="503"/>
      <c r="N20" s="503"/>
      <c r="O20" s="503"/>
      <c r="P20" s="503"/>
      <c r="Q20" s="574">
        <f t="shared" si="2"/>
        <v>0</v>
      </c>
      <c r="R20" s="573">
        <f t="shared" si="0"/>
        <v>0</v>
      </c>
      <c r="S20" s="574">
        <f t="shared" si="12"/>
        <v>0</v>
      </c>
      <c r="T20" s="573">
        <f t="shared" si="3"/>
        <v>0</v>
      </c>
      <c r="U20" s="576">
        <f t="shared" si="4"/>
        <v>0</v>
      </c>
      <c r="V20" s="576">
        <f t="shared" si="5"/>
        <v>0</v>
      </c>
      <c r="W20" s="576">
        <f t="shared" si="6"/>
        <v>0</v>
      </c>
      <c r="X20" s="576">
        <f t="shared" si="7"/>
        <v>0</v>
      </c>
      <c r="Y20" s="576">
        <f t="shared" si="8"/>
        <v>0</v>
      </c>
      <c r="Z20" s="576">
        <f t="shared" si="9"/>
        <v>0</v>
      </c>
      <c r="AA20" s="576">
        <f t="shared" si="10"/>
        <v>0</v>
      </c>
      <c r="AB20" s="576">
        <f t="shared" si="11"/>
        <v>0</v>
      </c>
      <c r="AC20"/>
      <c r="AD20"/>
      <c r="AE20"/>
      <c r="AF20"/>
      <c r="AG20"/>
      <c r="AH20"/>
      <c r="AI20"/>
      <c r="AJ20" s="575"/>
      <c r="AK20" s="575"/>
      <c r="AL20" s="575"/>
      <c r="AM20" s="575"/>
    </row>
    <row r="21" spans="1:39" s="456" customFormat="1" ht="12.75" customHeight="1">
      <c r="A21" s="733">
        <f t="shared" si="14"/>
        <v>2114</v>
      </c>
      <c r="B21" s="769"/>
      <c r="C21" s="555"/>
      <c r="D21" s="555"/>
      <c r="E21" s="510"/>
      <c r="F21" s="554"/>
      <c r="G21" s="877"/>
      <c r="H21" s="571"/>
      <c r="I21" s="571"/>
      <c r="J21" s="503"/>
      <c r="K21" s="503"/>
      <c r="L21" s="503"/>
      <c r="M21" s="503"/>
      <c r="N21" s="503"/>
      <c r="O21" s="503"/>
      <c r="P21" s="503"/>
      <c r="Q21" s="574">
        <f t="shared" si="2"/>
        <v>0</v>
      </c>
      <c r="R21" s="573">
        <f t="shared" si="0"/>
        <v>0</v>
      </c>
      <c r="S21" s="574">
        <f t="shared" si="12"/>
        <v>0</v>
      </c>
      <c r="T21" s="573">
        <f t="shared" si="3"/>
        <v>0</v>
      </c>
      <c r="U21" s="576">
        <f t="shared" si="4"/>
        <v>0</v>
      </c>
      <c r="V21" s="576">
        <f t="shared" si="5"/>
        <v>0</v>
      </c>
      <c r="W21" s="576">
        <f t="shared" si="6"/>
        <v>0</v>
      </c>
      <c r="X21" s="576">
        <f t="shared" si="7"/>
        <v>0</v>
      </c>
      <c r="Y21" s="576">
        <f t="shared" si="8"/>
        <v>0</v>
      </c>
      <c r="Z21" s="576">
        <f t="shared" si="9"/>
        <v>0</v>
      </c>
      <c r="AA21" s="576">
        <f t="shared" si="10"/>
        <v>0</v>
      </c>
      <c r="AB21" s="576">
        <f t="shared" si="11"/>
        <v>0</v>
      </c>
      <c r="AC21"/>
      <c r="AD21"/>
      <c r="AE21"/>
      <c r="AF21"/>
      <c r="AG21"/>
      <c r="AH21"/>
      <c r="AI21"/>
      <c r="AJ21" s="575"/>
      <c r="AK21" s="575"/>
      <c r="AL21" s="575"/>
      <c r="AM21" s="575"/>
    </row>
    <row r="22" spans="1:39" s="456" customFormat="1" ht="12.75" customHeight="1">
      <c r="A22" s="733">
        <f t="shared" si="14"/>
        <v>2115</v>
      </c>
      <c r="B22" s="769"/>
      <c r="C22" s="555"/>
      <c r="D22" s="555"/>
      <c r="E22" s="510"/>
      <c r="F22" s="554"/>
      <c r="G22" s="877"/>
      <c r="H22" s="571"/>
      <c r="I22" s="571"/>
      <c r="J22" s="503"/>
      <c r="K22" s="503"/>
      <c r="L22" s="503"/>
      <c r="M22" s="503"/>
      <c r="N22" s="503"/>
      <c r="O22" s="503"/>
      <c r="P22" s="503"/>
      <c r="Q22" s="574">
        <f t="shared" si="2"/>
        <v>0</v>
      </c>
      <c r="R22" s="573">
        <f t="shared" si="0"/>
        <v>0</v>
      </c>
      <c r="S22" s="574">
        <f t="shared" si="12"/>
        <v>0</v>
      </c>
      <c r="T22" s="573">
        <f t="shared" si="3"/>
        <v>0</v>
      </c>
      <c r="U22" s="576">
        <f t="shared" si="4"/>
        <v>0</v>
      </c>
      <c r="V22" s="576">
        <f t="shared" si="5"/>
        <v>0</v>
      </c>
      <c r="W22" s="576">
        <f t="shared" si="6"/>
        <v>0</v>
      </c>
      <c r="X22" s="576">
        <f t="shared" si="7"/>
        <v>0</v>
      </c>
      <c r="Y22" s="576">
        <f t="shared" si="8"/>
        <v>0</v>
      </c>
      <c r="Z22" s="576">
        <f t="shared" si="9"/>
        <v>0</v>
      </c>
      <c r="AA22" s="576">
        <f t="shared" si="10"/>
        <v>0</v>
      </c>
      <c r="AB22" s="576">
        <f t="shared" si="11"/>
        <v>0</v>
      </c>
      <c r="AC22"/>
      <c r="AD22"/>
      <c r="AE22"/>
      <c r="AF22"/>
      <c r="AG22"/>
      <c r="AH22"/>
      <c r="AI22"/>
      <c r="AJ22" s="575"/>
      <c r="AK22" s="575"/>
      <c r="AL22" s="575"/>
      <c r="AM22" s="575"/>
    </row>
    <row r="23" spans="1:39" s="456" customFormat="1" ht="12.75" customHeight="1">
      <c r="A23" s="733">
        <f t="shared" si="14"/>
        <v>2116</v>
      </c>
      <c r="B23" s="769"/>
      <c r="C23" s="555"/>
      <c r="D23" s="555"/>
      <c r="E23" s="510"/>
      <c r="F23" s="554"/>
      <c r="G23" s="877"/>
      <c r="H23" s="571"/>
      <c r="I23" s="571"/>
      <c r="J23" s="503"/>
      <c r="K23" s="503"/>
      <c r="L23" s="503"/>
      <c r="M23" s="503"/>
      <c r="N23" s="503"/>
      <c r="O23" s="503"/>
      <c r="P23" s="503"/>
      <c r="Q23" s="574">
        <f t="shared" si="2"/>
        <v>0</v>
      </c>
      <c r="R23" s="573">
        <f t="shared" si="0"/>
        <v>0</v>
      </c>
      <c r="S23" s="574">
        <f t="shared" si="12"/>
        <v>0</v>
      </c>
      <c r="T23" s="573">
        <f t="shared" si="3"/>
        <v>0</v>
      </c>
      <c r="U23" s="576">
        <f t="shared" si="4"/>
        <v>0</v>
      </c>
      <c r="V23" s="576">
        <f t="shared" si="5"/>
        <v>0</v>
      </c>
      <c r="W23" s="576">
        <f t="shared" si="6"/>
        <v>0</v>
      </c>
      <c r="X23" s="576">
        <f t="shared" si="7"/>
        <v>0</v>
      </c>
      <c r="Y23" s="576">
        <f t="shared" si="8"/>
        <v>0</v>
      </c>
      <c r="Z23" s="576">
        <f t="shared" si="9"/>
        <v>0</v>
      </c>
      <c r="AA23" s="576">
        <f t="shared" si="10"/>
        <v>0</v>
      </c>
      <c r="AB23" s="576">
        <f t="shared" si="11"/>
        <v>0</v>
      </c>
      <c r="AC23"/>
      <c r="AD23"/>
      <c r="AE23"/>
      <c r="AF23"/>
      <c r="AG23"/>
      <c r="AH23"/>
      <c r="AI23"/>
      <c r="AJ23" s="575"/>
      <c r="AK23" s="575"/>
      <c r="AL23" s="575"/>
      <c r="AM23" s="575"/>
    </row>
    <row r="24" spans="1:39" s="456" customFormat="1" ht="12.75" customHeight="1">
      <c r="A24" s="733">
        <f aca="true" t="shared" si="15" ref="A24:A34">A23+1</f>
        <v>2117</v>
      </c>
      <c r="B24" s="769"/>
      <c r="C24" s="555"/>
      <c r="D24" s="555"/>
      <c r="E24" s="510"/>
      <c r="F24" s="554"/>
      <c r="G24" s="877"/>
      <c r="H24" s="571"/>
      <c r="I24" s="571"/>
      <c r="J24" s="503"/>
      <c r="K24" s="503"/>
      <c r="L24" s="503"/>
      <c r="M24" s="503"/>
      <c r="N24" s="503"/>
      <c r="O24" s="503"/>
      <c r="P24" s="503"/>
      <c r="Q24" s="574">
        <f t="shared" si="2"/>
        <v>0</v>
      </c>
      <c r="R24" s="573">
        <f t="shared" si="0"/>
        <v>0</v>
      </c>
      <c r="S24" s="574">
        <f t="shared" si="12"/>
        <v>0</v>
      </c>
      <c r="T24" s="573">
        <f t="shared" si="3"/>
        <v>0</v>
      </c>
      <c r="U24" s="576">
        <f t="shared" si="4"/>
        <v>0</v>
      </c>
      <c r="V24" s="576">
        <f t="shared" si="5"/>
        <v>0</v>
      </c>
      <c r="W24" s="576">
        <f t="shared" si="6"/>
        <v>0</v>
      </c>
      <c r="X24" s="576">
        <f t="shared" si="7"/>
        <v>0</v>
      </c>
      <c r="Y24" s="576">
        <f t="shared" si="8"/>
        <v>0</v>
      </c>
      <c r="Z24" s="576">
        <f t="shared" si="9"/>
        <v>0</v>
      </c>
      <c r="AA24" s="576">
        <f t="shared" si="10"/>
        <v>0</v>
      </c>
      <c r="AB24" s="576">
        <f t="shared" si="11"/>
        <v>0</v>
      </c>
      <c r="AC24"/>
      <c r="AD24"/>
      <c r="AE24"/>
      <c r="AF24"/>
      <c r="AG24"/>
      <c r="AH24"/>
      <c r="AI24"/>
      <c r="AJ24" s="575"/>
      <c r="AK24" s="575"/>
      <c r="AL24" s="575"/>
      <c r="AM24" s="575"/>
    </row>
    <row r="25" spans="1:39" s="456" customFormat="1" ht="12.75" customHeight="1">
      <c r="A25" s="733">
        <f t="shared" si="15"/>
        <v>2118</v>
      </c>
      <c r="B25" s="769"/>
      <c r="C25" s="555"/>
      <c r="D25" s="555"/>
      <c r="E25" s="510"/>
      <c r="F25" s="554"/>
      <c r="G25" s="877"/>
      <c r="H25" s="571"/>
      <c r="I25" s="571"/>
      <c r="J25" s="503"/>
      <c r="K25" s="503"/>
      <c r="L25" s="503"/>
      <c r="M25" s="503"/>
      <c r="N25" s="503"/>
      <c r="O25" s="503"/>
      <c r="P25" s="503"/>
      <c r="Q25" s="574">
        <f t="shared" si="2"/>
        <v>0</v>
      </c>
      <c r="R25" s="573">
        <f t="shared" si="0"/>
        <v>0</v>
      </c>
      <c r="S25" s="574">
        <f t="shared" si="12"/>
        <v>0</v>
      </c>
      <c r="T25" s="573">
        <f t="shared" si="3"/>
        <v>0</v>
      </c>
      <c r="U25" s="576">
        <f t="shared" si="4"/>
        <v>0</v>
      </c>
      <c r="V25" s="576">
        <f t="shared" si="5"/>
        <v>0</v>
      </c>
      <c r="W25" s="576">
        <f t="shared" si="6"/>
        <v>0</v>
      </c>
      <c r="X25" s="576">
        <f t="shared" si="7"/>
        <v>0</v>
      </c>
      <c r="Y25" s="576">
        <f t="shared" si="8"/>
        <v>0</v>
      </c>
      <c r="Z25" s="576">
        <f t="shared" si="9"/>
        <v>0</v>
      </c>
      <c r="AA25" s="576">
        <f t="shared" si="10"/>
        <v>0</v>
      </c>
      <c r="AB25" s="576">
        <f t="shared" si="11"/>
        <v>0</v>
      </c>
      <c r="AC25"/>
      <c r="AD25"/>
      <c r="AE25"/>
      <c r="AF25"/>
      <c r="AG25"/>
      <c r="AH25"/>
      <c r="AI25"/>
      <c r="AJ25" s="575"/>
      <c r="AK25" s="575"/>
      <c r="AL25" s="575"/>
      <c r="AM25" s="575"/>
    </row>
    <row r="26" spans="1:39" s="456" customFormat="1" ht="12.75" customHeight="1">
      <c r="A26" s="733">
        <f t="shared" si="15"/>
        <v>2119</v>
      </c>
      <c r="B26" s="769"/>
      <c r="C26" s="555"/>
      <c r="D26" s="555"/>
      <c r="E26" s="510"/>
      <c r="F26" s="554"/>
      <c r="G26" s="877"/>
      <c r="H26" s="571"/>
      <c r="I26" s="571"/>
      <c r="J26" s="503"/>
      <c r="K26" s="503"/>
      <c r="L26" s="503"/>
      <c r="M26" s="503"/>
      <c r="N26" s="503"/>
      <c r="O26" s="503"/>
      <c r="P26" s="503"/>
      <c r="Q26" s="574">
        <f t="shared" si="2"/>
        <v>0</v>
      </c>
      <c r="R26" s="573">
        <f t="shared" si="0"/>
        <v>0</v>
      </c>
      <c r="S26" s="574">
        <f t="shared" si="12"/>
        <v>0</v>
      </c>
      <c r="T26" s="573">
        <f t="shared" si="3"/>
        <v>0</v>
      </c>
      <c r="U26" s="576">
        <f t="shared" si="4"/>
        <v>0</v>
      </c>
      <c r="V26" s="576">
        <f t="shared" si="5"/>
        <v>0</v>
      </c>
      <c r="W26" s="576">
        <f t="shared" si="6"/>
        <v>0</v>
      </c>
      <c r="X26" s="576">
        <f t="shared" si="7"/>
        <v>0</v>
      </c>
      <c r="Y26" s="576">
        <f t="shared" si="8"/>
        <v>0</v>
      </c>
      <c r="Z26" s="576">
        <f t="shared" si="9"/>
        <v>0</v>
      </c>
      <c r="AA26" s="576">
        <f t="shared" si="10"/>
        <v>0</v>
      </c>
      <c r="AB26" s="576">
        <f t="shared" si="11"/>
        <v>0</v>
      </c>
      <c r="AC26"/>
      <c r="AD26"/>
      <c r="AE26"/>
      <c r="AF26"/>
      <c r="AG26"/>
      <c r="AH26"/>
      <c r="AI26"/>
      <c r="AJ26" s="575"/>
      <c r="AK26" s="575"/>
      <c r="AL26" s="575"/>
      <c r="AM26" s="575"/>
    </row>
    <row r="27" spans="1:39" s="456" customFormat="1" ht="12.75" customHeight="1">
      <c r="A27" s="733">
        <f t="shared" si="15"/>
        <v>2120</v>
      </c>
      <c r="B27" s="769"/>
      <c r="C27" s="555"/>
      <c r="D27" s="555"/>
      <c r="E27" s="510"/>
      <c r="F27" s="554"/>
      <c r="G27" s="877"/>
      <c r="H27" s="571"/>
      <c r="I27" s="571"/>
      <c r="J27" s="503"/>
      <c r="K27" s="503"/>
      <c r="L27" s="503"/>
      <c r="M27" s="503"/>
      <c r="N27" s="503"/>
      <c r="O27" s="503"/>
      <c r="P27" s="503"/>
      <c r="Q27" s="574">
        <f t="shared" si="2"/>
        <v>0</v>
      </c>
      <c r="R27" s="573">
        <f t="shared" si="0"/>
        <v>0</v>
      </c>
      <c r="S27" s="574">
        <f t="shared" si="12"/>
        <v>0</v>
      </c>
      <c r="T27" s="573">
        <f t="shared" si="3"/>
        <v>0</v>
      </c>
      <c r="U27" s="576">
        <f t="shared" si="4"/>
        <v>0</v>
      </c>
      <c r="V27" s="576">
        <f t="shared" si="5"/>
        <v>0</v>
      </c>
      <c r="W27" s="576">
        <f t="shared" si="6"/>
        <v>0</v>
      </c>
      <c r="X27" s="576">
        <f t="shared" si="7"/>
        <v>0</v>
      </c>
      <c r="Y27" s="576">
        <f t="shared" si="8"/>
        <v>0</v>
      </c>
      <c r="Z27" s="576">
        <f t="shared" si="9"/>
        <v>0</v>
      </c>
      <c r="AA27" s="576">
        <f t="shared" si="10"/>
        <v>0</v>
      </c>
      <c r="AB27" s="576">
        <f t="shared" si="11"/>
        <v>0</v>
      </c>
      <c r="AC27"/>
      <c r="AD27"/>
      <c r="AE27"/>
      <c r="AF27"/>
      <c r="AG27"/>
      <c r="AH27"/>
      <c r="AI27"/>
      <c r="AJ27" s="575"/>
      <c r="AK27" s="575"/>
      <c r="AL27" s="575"/>
      <c r="AM27" s="575"/>
    </row>
    <row r="28" spans="1:39" s="456" customFormat="1" ht="12.75" customHeight="1">
      <c r="A28" s="733">
        <f t="shared" si="15"/>
        <v>2121</v>
      </c>
      <c r="B28" s="769"/>
      <c r="C28" s="555"/>
      <c r="D28" s="555"/>
      <c r="E28" s="510"/>
      <c r="F28" s="554"/>
      <c r="G28" s="877"/>
      <c r="H28" s="571"/>
      <c r="I28" s="571"/>
      <c r="J28" s="503"/>
      <c r="K28" s="503"/>
      <c r="L28" s="503"/>
      <c r="M28" s="503"/>
      <c r="N28" s="503"/>
      <c r="O28" s="503"/>
      <c r="P28" s="503"/>
      <c r="Q28" s="574">
        <f t="shared" si="2"/>
        <v>0</v>
      </c>
      <c r="R28" s="573">
        <f t="shared" si="0"/>
        <v>0</v>
      </c>
      <c r="S28" s="574">
        <f t="shared" si="12"/>
        <v>0</v>
      </c>
      <c r="T28" s="573">
        <f t="shared" si="3"/>
        <v>0</v>
      </c>
      <c r="U28" s="576">
        <f t="shared" si="4"/>
        <v>0</v>
      </c>
      <c r="V28" s="576">
        <f t="shared" si="5"/>
        <v>0</v>
      </c>
      <c r="W28" s="576">
        <f t="shared" si="6"/>
        <v>0</v>
      </c>
      <c r="X28" s="576">
        <f t="shared" si="7"/>
        <v>0</v>
      </c>
      <c r="Y28" s="576">
        <f t="shared" si="8"/>
        <v>0</v>
      </c>
      <c r="Z28" s="576">
        <f t="shared" si="9"/>
        <v>0</v>
      </c>
      <c r="AA28" s="576">
        <f t="shared" si="10"/>
        <v>0</v>
      </c>
      <c r="AB28" s="576">
        <f t="shared" si="11"/>
        <v>0</v>
      </c>
      <c r="AC28"/>
      <c r="AD28"/>
      <c r="AE28"/>
      <c r="AF28"/>
      <c r="AG28"/>
      <c r="AH28"/>
      <c r="AI28"/>
      <c r="AJ28" s="575"/>
      <c r="AK28" s="575"/>
      <c r="AL28" s="575"/>
      <c r="AM28" s="575"/>
    </row>
    <row r="29" spans="1:39" s="456" customFormat="1" ht="12.75" customHeight="1">
      <c r="A29" s="733">
        <f t="shared" si="15"/>
        <v>2122</v>
      </c>
      <c r="B29" s="769"/>
      <c r="C29" s="555"/>
      <c r="D29" s="555"/>
      <c r="E29" s="510"/>
      <c r="F29" s="554"/>
      <c r="G29" s="877"/>
      <c r="H29" s="571"/>
      <c r="I29" s="571"/>
      <c r="J29" s="503"/>
      <c r="K29" s="503"/>
      <c r="L29" s="503"/>
      <c r="M29" s="503"/>
      <c r="N29" s="503"/>
      <c r="O29" s="503"/>
      <c r="P29" s="503"/>
      <c r="Q29" s="574">
        <f t="shared" si="2"/>
        <v>0</v>
      </c>
      <c r="R29" s="573">
        <f t="shared" si="0"/>
        <v>0</v>
      </c>
      <c r="S29" s="574">
        <f t="shared" si="12"/>
        <v>0</v>
      </c>
      <c r="T29" s="573">
        <f t="shared" si="3"/>
        <v>0</v>
      </c>
      <c r="U29" s="576">
        <f t="shared" si="4"/>
        <v>0</v>
      </c>
      <c r="V29" s="576">
        <f t="shared" si="5"/>
        <v>0</v>
      </c>
      <c r="W29" s="576">
        <f t="shared" si="6"/>
        <v>0</v>
      </c>
      <c r="X29" s="576">
        <f t="shared" si="7"/>
        <v>0</v>
      </c>
      <c r="Y29" s="576">
        <f t="shared" si="8"/>
        <v>0</v>
      </c>
      <c r="Z29" s="576">
        <f t="shared" si="9"/>
        <v>0</v>
      </c>
      <c r="AA29" s="576">
        <f t="shared" si="10"/>
        <v>0</v>
      </c>
      <c r="AB29" s="576">
        <f t="shared" si="11"/>
        <v>0</v>
      </c>
      <c r="AC29"/>
      <c r="AD29"/>
      <c r="AE29"/>
      <c r="AF29"/>
      <c r="AG29"/>
      <c r="AH29"/>
      <c r="AI29"/>
      <c r="AJ29" s="575"/>
      <c r="AK29" s="575"/>
      <c r="AL29" s="575"/>
      <c r="AM29" s="575"/>
    </row>
    <row r="30" spans="1:39" s="456" customFormat="1" ht="12.75" customHeight="1">
      <c r="A30" s="733">
        <f t="shared" si="15"/>
        <v>2123</v>
      </c>
      <c r="B30" s="769"/>
      <c r="C30" s="555"/>
      <c r="D30" s="555"/>
      <c r="E30" s="510"/>
      <c r="F30" s="554"/>
      <c r="G30" s="877"/>
      <c r="H30" s="571"/>
      <c r="I30" s="571"/>
      <c r="J30" s="503"/>
      <c r="K30" s="503"/>
      <c r="L30" s="503"/>
      <c r="M30" s="503"/>
      <c r="N30" s="503"/>
      <c r="O30" s="503"/>
      <c r="P30" s="503"/>
      <c r="Q30" s="574">
        <f t="shared" si="2"/>
        <v>0</v>
      </c>
      <c r="R30" s="573">
        <f t="shared" si="0"/>
        <v>0</v>
      </c>
      <c r="S30" s="574">
        <f t="shared" si="12"/>
        <v>0</v>
      </c>
      <c r="T30" s="573">
        <f t="shared" si="3"/>
        <v>0</v>
      </c>
      <c r="U30" s="576">
        <f aca="true" t="shared" si="16" ref="U30:Z31">IF(K30&gt;0,1,0)</f>
        <v>0</v>
      </c>
      <c r="V30" s="576">
        <f t="shared" si="16"/>
        <v>0</v>
      </c>
      <c r="W30" s="576">
        <f t="shared" si="16"/>
        <v>0</v>
      </c>
      <c r="X30" s="576">
        <f t="shared" si="16"/>
        <v>0</v>
      </c>
      <c r="Y30" s="576">
        <f t="shared" si="16"/>
        <v>0</v>
      </c>
      <c r="Z30" s="576">
        <f t="shared" si="16"/>
        <v>0</v>
      </c>
      <c r="AA30" s="576">
        <f>SUM(U30:Z30)</f>
        <v>0</v>
      </c>
      <c r="AB30" s="576">
        <f t="shared" si="11"/>
        <v>0</v>
      </c>
      <c r="AC30"/>
      <c r="AD30"/>
      <c r="AE30"/>
      <c r="AF30"/>
      <c r="AG30"/>
      <c r="AH30"/>
      <c r="AI30"/>
      <c r="AJ30" s="575"/>
      <c r="AK30" s="575"/>
      <c r="AL30" s="575"/>
      <c r="AM30" s="575"/>
    </row>
    <row r="31" spans="1:39" s="456" customFormat="1" ht="12.75" customHeight="1">
      <c r="A31" s="733">
        <f t="shared" si="15"/>
        <v>2124</v>
      </c>
      <c r="B31" s="769"/>
      <c r="C31" s="555"/>
      <c r="D31" s="555"/>
      <c r="E31" s="510"/>
      <c r="F31" s="554"/>
      <c r="G31" s="877"/>
      <c r="H31" s="571"/>
      <c r="I31" s="571"/>
      <c r="J31" s="503"/>
      <c r="K31" s="503"/>
      <c r="L31" s="503"/>
      <c r="M31" s="503"/>
      <c r="N31" s="503"/>
      <c r="O31" s="503"/>
      <c r="P31" s="503"/>
      <c r="Q31" s="574">
        <f t="shared" si="2"/>
        <v>0</v>
      </c>
      <c r="R31" s="573">
        <f t="shared" si="0"/>
        <v>0</v>
      </c>
      <c r="S31" s="574">
        <f t="shared" si="12"/>
        <v>0</v>
      </c>
      <c r="T31" s="573">
        <f t="shared" si="3"/>
        <v>0</v>
      </c>
      <c r="U31" s="576">
        <f t="shared" si="16"/>
        <v>0</v>
      </c>
      <c r="V31" s="576">
        <f t="shared" si="16"/>
        <v>0</v>
      </c>
      <c r="W31" s="576">
        <f t="shared" si="16"/>
        <v>0</v>
      </c>
      <c r="X31" s="576">
        <f t="shared" si="16"/>
        <v>0</v>
      </c>
      <c r="Y31" s="576">
        <f t="shared" si="16"/>
        <v>0</v>
      </c>
      <c r="Z31" s="576">
        <f t="shared" si="16"/>
        <v>0</v>
      </c>
      <c r="AA31" s="576">
        <f>SUM(U31:Z31)</f>
        <v>0</v>
      </c>
      <c r="AB31" s="576">
        <f t="shared" si="11"/>
        <v>0</v>
      </c>
      <c r="AC31"/>
      <c r="AD31"/>
      <c r="AE31"/>
      <c r="AF31"/>
      <c r="AG31"/>
      <c r="AH31"/>
      <c r="AI31"/>
      <c r="AJ31" s="575"/>
      <c r="AK31" s="575"/>
      <c r="AL31" s="575"/>
      <c r="AM31" s="575"/>
    </row>
    <row r="32" spans="1:39" s="456" customFormat="1" ht="12.75" customHeight="1">
      <c r="A32" s="733">
        <f t="shared" si="15"/>
        <v>2125</v>
      </c>
      <c r="B32" s="769"/>
      <c r="C32" s="555"/>
      <c r="D32" s="555"/>
      <c r="E32" s="510"/>
      <c r="F32" s="554"/>
      <c r="G32" s="877"/>
      <c r="H32" s="571"/>
      <c r="I32" s="571"/>
      <c r="J32" s="503"/>
      <c r="K32" s="503"/>
      <c r="L32" s="503"/>
      <c r="M32" s="503"/>
      <c r="N32" s="503"/>
      <c r="O32" s="503"/>
      <c r="P32" s="503"/>
      <c r="Q32" s="574">
        <f t="shared" si="2"/>
        <v>0</v>
      </c>
      <c r="R32" s="573">
        <f t="shared" si="0"/>
        <v>0</v>
      </c>
      <c r="S32" s="574">
        <f t="shared" si="12"/>
        <v>0</v>
      </c>
      <c r="T32" s="573">
        <f t="shared" si="3"/>
        <v>0</v>
      </c>
      <c r="U32" s="576">
        <f t="shared" si="4"/>
        <v>0</v>
      </c>
      <c r="V32" s="576">
        <f t="shared" si="5"/>
        <v>0</v>
      </c>
      <c r="W32" s="576">
        <f t="shared" si="6"/>
        <v>0</v>
      </c>
      <c r="X32" s="576">
        <f t="shared" si="7"/>
        <v>0</v>
      </c>
      <c r="Y32" s="576">
        <f t="shared" si="8"/>
        <v>0</v>
      </c>
      <c r="Z32" s="576">
        <f t="shared" si="9"/>
        <v>0</v>
      </c>
      <c r="AA32" s="576">
        <f t="shared" si="10"/>
        <v>0</v>
      </c>
      <c r="AB32" s="576">
        <f t="shared" si="11"/>
        <v>0</v>
      </c>
      <c r="AC32"/>
      <c r="AD32"/>
      <c r="AE32"/>
      <c r="AF32"/>
      <c r="AG32"/>
      <c r="AH32"/>
      <c r="AI32"/>
      <c r="AJ32" s="575"/>
      <c r="AK32" s="575"/>
      <c r="AL32" s="575"/>
      <c r="AM32" s="575"/>
    </row>
    <row r="33" spans="1:39" s="456" customFormat="1" ht="12.75" customHeight="1">
      <c r="A33" s="733">
        <f t="shared" si="15"/>
        <v>2126</v>
      </c>
      <c r="B33" s="769"/>
      <c r="C33" s="555"/>
      <c r="D33" s="555"/>
      <c r="E33" s="510"/>
      <c r="F33" s="554"/>
      <c r="G33" s="877"/>
      <c r="H33" s="571"/>
      <c r="I33" s="571"/>
      <c r="J33" s="503"/>
      <c r="K33" s="503"/>
      <c r="L33" s="503"/>
      <c r="M33" s="503"/>
      <c r="N33" s="503"/>
      <c r="O33" s="503"/>
      <c r="P33" s="503"/>
      <c r="Q33" s="574">
        <f t="shared" si="2"/>
        <v>0</v>
      </c>
      <c r="R33" s="573">
        <f t="shared" si="0"/>
        <v>0</v>
      </c>
      <c r="S33" s="574">
        <f t="shared" si="12"/>
        <v>0</v>
      </c>
      <c r="T33" s="573">
        <f t="shared" si="3"/>
        <v>0</v>
      </c>
      <c r="U33" s="576">
        <f t="shared" si="4"/>
        <v>0</v>
      </c>
      <c r="V33" s="576">
        <f t="shared" si="5"/>
        <v>0</v>
      </c>
      <c r="W33" s="576">
        <f t="shared" si="6"/>
        <v>0</v>
      </c>
      <c r="X33" s="576">
        <f t="shared" si="7"/>
        <v>0</v>
      </c>
      <c r="Y33" s="576">
        <f t="shared" si="8"/>
        <v>0</v>
      </c>
      <c r="Z33" s="576">
        <f t="shared" si="9"/>
        <v>0</v>
      </c>
      <c r="AA33" s="576">
        <f t="shared" si="10"/>
        <v>0</v>
      </c>
      <c r="AB33" s="576">
        <f t="shared" si="11"/>
        <v>0</v>
      </c>
      <c r="AC33"/>
      <c r="AD33"/>
      <c r="AE33"/>
      <c r="AF33"/>
      <c r="AG33"/>
      <c r="AH33"/>
      <c r="AI33"/>
      <c r="AJ33" s="575"/>
      <c r="AK33" s="575"/>
      <c r="AL33" s="575"/>
      <c r="AM33" s="575"/>
    </row>
    <row r="34" spans="1:39" s="456" customFormat="1" ht="12.75" customHeight="1">
      <c r="A34" s="733">
        <f t="shared" si="15"/>
        <v>2127</v>
      </c>
      <c r="B34" s="770"/>
      <c r="C34" s="771"/>
      <c r="D34" s="771"/>
      <c r="E34" s="772"/>
      <c r="F34" s="773"/>
      <c r="G34" s="878"/>
      <c r="H34" s="571"/>
      <c r="I34" s="571"/>
      <c r="J34" s="503"/>
      <c r="K34" s="503"/>
      <c r="L34" s="503"/>
      <c r="M34" s="503"/>
      <c r="N34" s="503"/>
      <c r="O34" s="503"/>
      <c r="P34" s="503"/>
      <c r="Q34" s="574">
        <f t="shared" si="2"/>
        <v>0</v>
      </c>
      <c r="R34" s="573">
        <f t="shared" si="0"/>
        <v>0</v>
      </c>
      <c r="S34" s="574">
        <f t="shared" si="12"/>
        <v>0</v>
      </c>
      <c r="T34" s="573">
        <f t="shared" si="3"/>
        <v>0</v>
      </c>
      <c r="U34" s="576">
        <f t="shared" si="4"/>
        <v>0</v>
      </c>
      <c r="V34" s="576">
        <f t="shared" si="5"/>
        <v>0</v>
      </c>
      <c r="W34" s="576">
        <f t="shared" si="6"/>
        <v>0</v>
      </c>
      <c r="X34" s="576">
        <f t="shared" si="7"/>
        <v>0</v>
      </c>
      <c r="Y34" s="576">
        <f t="shared" si="8"/>
        <v>0</v>
      </c>
      <c r="Z34" s="576">
        <f t="shared" si="9"/>
        <v>0</v>
      </c>
      <c r="AA34" s="576">
        <f t="shared" si="10"/>
        <v>0</v>
      </c>
      <c r="AB34" s="576">
        <f t="shared" si="11"/>
        <v>0</v>
      </c>
      <c r="AC34"/>
      <c r="AD34"/>
      <c r="AE34"/>
      <c r="AF34"/>
      <c r="AG34"/>
      <c r="AH34"/>
      <c r="AI34"/>
      <c r="AJ34" s="575"/>
      <c r="AK34" s="575"/>
      <c r="AL34" s="575"/>
      <c r="AM34" s="575"/>
    </row>
    <row r="35" spans="1:39" s="456" customFormat="1" ht="12.75" customHeight="1">
      <c r="A35" s="733">
        <f>A34+1</f>
        <v>2128</v>
      </c>
      <c r="B35" s="801" t="str">
        <f>CONCATENATE("Sub(totaal) regel ",A8," t/m ",A34)</f>
        <v>Sub(totaal) regel 2101 t/m 2127</v>
      </c>
      <c r="C35" s="801"/>
      <c r="D35" s="816"/>
      <c r="E35" s="742"/>
      <c r="F35" s="814"/>
      <c r="G35" s="815"/>
      <c r="H35" s="802">
        <f>SUM(H8:H34)</f>
        <v>0</v>
      </c>
      <c r="I35" s="803">
        <f>AB35</f>
        <v>0</v>
      </c>
      <c r="J35" s="798"/>
      <c r="K35" s="799"/>
      <c r="L35" s="799"/>
      <c r="M35" s="799"/>
      <c r="N35" s="799"/>
      <c r="O35" s="799"/>
      <c r="P35" s="800"/>
      <c r="Q35" s="774">
        <f>SUM(Q8:Q34)</f>
        <v>0</v>
      </c>
      <c r="R35" s="774">
        <f>SUM(R8:R34)</f>
        <v>0</v>
      </c>
      <c r="S35" s="774">
        <f>SUM(S8:S34)</f>
        <v>0</v>
      </c>
      <c r="T35" s="774">
        <f>SUM(T8:T34)</f>
        <v>0</v>
      </c>
      <c r="U35" s="576"/>
      <c r="V35" s="576"/>
      <c r="W35" s="576"/>
      <c r="X35" s="576"/>
      <c r="Y35" s="576"/>
      <c r="Z35" s="576"/>
      <c r="AA35" s="576"/>
      <c r="AB35" s="830">
        <f>SUM(AB8:AB34)</f>
        <v>0</v>
      </c>
      <c r="AC35" s="576"/>
      <c r="AD35" s="575"/>
      <c r="AE35" s="575"/>
      <c r="AF35" s="575"/>
      <c r="AG35" s="575"/>
      <c r="AH35" s="575"/>
      <c r="AI35" s="575"/>
      <c r="AJ35" s="575"/>
      <c r="AK35" s="575"/>
      <c r="AL35" s="575"/>
      <c r="AM35" s="575"/>
    </row>
    <row r="36" spans="1:40" s="456" customFormat="1" ht="12.75" customHeight="1">
      <c r="A36" s="733">
        <f>A35+1</f>
        <v>2129</v>
      </c>
      <c r="B36" s="804" t="s">
        <v>416</v>
      </c>
      <c r="C36" s="805"/>
      <c r="D36" s="805"/>
      <c r="E36" s="805"/>
      <c r="F36" s="805"/>
      <c r="G36" s="805"/>
      <c r="H36" s="806"/>
      <c r="I36" s="806"/>
      <c r="J36" s="806"/>
      <c r="K36" s="806"/>
      <c r="L36" s="806"/>
      <c r="M36" s="806"/>
      <c r="N36" s="806"/>
      <c r="O36" s="806"/>
      <c r="P36" s="807"/>
      <c r="Q36" s="775"/>
      <c r="R36" s="577">
        <v>0</v>
      </c>
      <c r="S36" s="576"/>
      <c r="T36" s="575"/>
      <c r="U36" s="576"/>
      <c r="V36" s="575"/>
      <c r="W36" s="575"/>
      <c r="X36" s="575"/>
      <c r="Y36" s="575"/>
      <c r="Z36" s="575"/>
      <c r="AA36" s="575"/>
      <c r="AB36" s="575"/>
      <c r="AC36" s="576"/>
      <c r="AD36" s="575"/>
      <c r="AE36" s="575"/>
      <c r="AF36" s="575"/>
      <c r="AG36" s="575"/>
      <c r="AH36" s="575"/>
      <c r="AI36" s="575"/>
      <c r="AJ36" s="575"/>
      <c r="AK36" s="575"/>
      <c r="AL36" s="575"/>
      <c r="AM36" s="575"/>
      <c r="AN36" s="575"/>
    </row>
    <row r="37" spans="1:40" s="456" customFormat="1" ht="12.75" customHeight="1">
      <c r="A37" s="733">
        <f>A36+1</f>
        <v>2130</v>
      </c>
      <c r="B37" s="808" t="s">
        <v>400</v>
      </c>
      <c r="C37" s="740"/>
      <c r="D37" s="805"/>
      <c r="E37" s="740"/>
      <c r="F37" s="740"/>
      <c r="G37" s="740"/>
      <c r="H37" s="809"/>
      <c r="I37" s="809"/>
      <c r="J37" s="809"/>
      <c r="K37" s="809"/>
      <c r="L37" s="809"/>
      <c r="M37" s="809"/>
      <c r="N37" s="809"/>
      <c r="O37" s="809"/>
      <c r="P37" s="810"/>
      <c r="Q37" s="776"/>
      <c r="R37" s="573"/>
      <c r="S37" s="575"/>
      <c r="T37" s="575"/>
      <c r="U37" s="575"/>
      <c r="V37" s="575"/>
      <c r="W37" s="575"/>
      <c r="X37" s="575"/>
      <c r="Y37" s="575"/>
      <c r="Z37" s="575"/>
      <c r="AA37" s="575"/>
      <c r="AB37" s="575"/>
      <c r="AC37" s="575"/>
      <c r="AD37" s="575"/>
      <c r="AE37" s="575"/>
      <c r="AF37" s="575"/>
      <c r="AG37" s="575"/>
      <c r="AH37" s="575"/>
      <c r="AI37" s="575"/>
      <c r="AJ37" s="575"/>
      <c r="AK37" s="575"/>
      <c r="AL37" s="575"/>
      <c r="AM37" s="575"/>
      <c r="AN37" s="575"/>
    </row>
    <row r="38" spans="1:40" s="466" customFormat="1" ht="12.75" customHeight="1">
      <c r="A38" s="733">
        <f>A37+1</f>
        <v>2131</v>
      </c>
      <c r="B38" s="765" t="str">
        <f>CONCATENATE("Totaal regel ",A35," t/m ",A37)</f>
        <v>Totaal regel 2128 t/m 2130</v>
      </c>
      <c r="C38" s="762"/>
      <c r="D38" s="811"/>
      <c r="E38" s="811"/>
      <c r="F38" s="811"/>
      <c r="G38" s="811"/>
      <c r="H38" s="812"/>
      <c r="I38" s="812"/>
      <c r="J38" s="812"/>
      <c r="K38" s="812"/>
      <c r="L38" s="812"/>
      <c r="M38" s="812"/>
      <c r="N38" s="812"/>
      <c r="O38" s="812"/>
      <c r="P38" s="813"/>
      <c r="Q38" s="777"/>
      <c r="R38" s="774">
        <f>R35-R36+R37</f>
        <v>0</v>
      </c>
      <c r="S38" s="578"/>
      <c r="T38" s="578"/>
      <c r="U38" s="578"/>
      <c r="V38" s="578"/>
      <c r="W38" s="578"/>
      <c r="X38" s="578"/>
      <c r="Y38" s="578"/>
      <c r="Z38" s="578"/>
      <c r="AA38" s="578"/>
      <c r="AB38" s="578"/>
      <c r="AC38" s="578"/>
      <c r="AD38" s="578"/>
      <c r="AE38" s="578"/>
      <c r="AF38" s="578"/>
      <c r="AG38" s="578"/>
      <c r="AH38" s="578"/>
      <c r="AI38" s="578"/>
      <c r="AJ38" s="578"/>
      <c r="AK38" s="578"/>
      <c r="AL38" s="578"/>
      <c r="AM38" s="578"/>
      <c r="AN38" s="578"/>
    </row>
    <row r="39" spans="1:18" s="456" customFormat="1" ht="12.75" customHeight="1">
      <c r="A39" s="481" t="s">
        <v>154</v>
      </c>
      <c r="B39" s="454"/>
      <c r="C39" s="454"/>
      <c r="D39" s="477"/>
      <c r="E39" s="454"/>
      <c r="F39" s="454"/>
      <c r="G39" s="454"/>
      <c r="H39" s="504"/>
      <c r="I39" s="504"/>
      <c r="J39" s="504"/>
      <c r="K39" s="504"/>
      <c r="L39" s="504"/>
      <c r="M39" s="504"/>
      <c r="N39" s="504"/>
      <c r="O39" s="504"/>
      <c r="P39" s="504"/>
      <c r="Q39" s="504"/>
      <c r="R39" s="492"/>
    </row>
    <row r="40" spans="1:27" ht="15.75" customHeight="1">
      <c r="A40" s="1059" t="s">
        <v>247</v>
      </c>
      <c r="D40" s="434"/>
      <c r="E40" s="434"/>
      <c r="F40" s="434"/>
      <c r="G40" s="434"/>
      <c r="U40" s="439"/>
      <c r="V40" s="440"/>
      <c r="W40" s="439"/>
      <c r="X40" s="439"/>
      <c r="Y40" s="439"/>
      <c r="Z40" s="439"/>
      <c r="AA40" s="439"/>
    </row>
    <row r="41" spans="1:27" ht="15.75" customHeight="1">
      <c r="A41" s="1059"/>
      <c r="D41" s="434"/>
      <c r="E41" s="434"/>
      <c r="F41" s="434"/>
      <c r="G41" s="434"/>
      <c r="U41" s="439"/>
      <c r="V41" s="440"/>
      <c r="W41" s="439"/>
      <c r="X41" s="439"/>
      <c r="Y41" s="439"/>
      <c r="Z41" s="439"/>
      <c r="AA41" s="439"/>
    </row>
    <row r="42" spans="1:27" s="446" customFormat="1" ht="15.75" customHeight="1">
      <c r="A42" s="6" t="str">
        <f>A2</f>
        <v>Nacalculatieformulier 2005</v>
      </c>
      <c r="B42" s="7"/>
      <c r="C42" s="7"/>
      <c r="D42" s="7"/>
      <c r="E42" s="7"/>
      <c r="F42" s="7"/>
      <c r="G42" s="7"/>
      <c r="H42" s="8"/>
      <c r="I42" s="634"/>
      <c r="J42" s="8"/>
      <c r="K42" s="8"/>
      <c r="L42" s="634"/>
      <c r="M42" s="634"/>
      <c r="N42" s="8"/>
      <c r="O42" s="634"/>
      <c r="P42" s="634"/>
      <c r="Q42" s="8"/>
      <c r="R42" s="634"/>
      <c r="S42" s="442"/>
      <c r="T42" s="10">
        <f>T2+1</f>
        <v>22</v>
      </c>
      <c r="U42" s="447"/>
      <c r="V42" s="448"/>
      <c r="W42" s="447"/>
      <c r="X42" s="447"/>
      <c r="Y42" s="447"/>
      <c r="Z42" s="447"/>
      <c r="AA42" s="447"/>
    </row>
    <row r="43" spans="1:19" s="456" customFormat="1" ht="12.75" customHeight="1">
      <c r="A43" s="623"/>
      <c r="B43" s="661"/>
      <c r="C43" s="661"/>
      <c r="D43" s="167"/>
      <c r="E43" s="661"/>
      <c r="F43" s="661"/>
      <c r="G43" s="661"/>
      <c r="H43" s="168"/>
      <c r="I43" s="168"/>
      <c r="J43" s="168"/>
      <c r="K43" s="168"/>
      <c r="L43" s="168"/>
      <c r="M43" s="168"/>
      <c r="N43" s="168"/>
      <c r="O43" s="168"/>
      <c r="P43" s="168"/>
      <c r="Q43" s="168"/>
      <c r="R43" s="168"/>
      <c r="S43" s="570"/>
    </row>
    <row r="44" spans="1:19" s="456" customFormat="1" ht="12.75" customHeight="1">
      <c r="A44" s="643"/>
      <c r="B44" s="629" t="s">
        <v>136</v>
      </c>
      <c r="C44" s="667"/>
      <c r="D44" s="668"/>
      <c r="E44" s="557"/>
      <c r="F44" s="669"/>
      <c r="G44" s="669"/>
      <c r="H44" s="670"/>
      <c r="I44" s="670"/>
      <c r="J44" s="670"/>
      <c r="K44" s="670"/>
      <c r="L44" s="670"/>
      <c r="M44" s="670"/>
      <c r="N44" s="670"/>
      <c r="O44" s="670"/>
      <c r="P44" s="670"/>
      <c r="Q44" s="671"/>
      <c r="R44" s="621" t="s">
        <v>449</v>
      </c>
      <c r="S44" s="631" t="s">
        <v>130</v>
      </c>
    </row>
    <row r="45" spans="1:19" s="456" customFormat="1" ht="12.75" customHeight="1">
      <c r="A45" s="643"/>
      <c r="B45" s="617"/>
      <c r="C45" s="617"/>
      <c r="D45" s="635"/>
      <c r="E45" s="617"/>
      <c r="F45" s="641"/>
      <c r="G45" s="641"/>
      <c r="H45" s="672"/>
      <c r="I45" s="672"/>
      <c r="J45" s="672"/>
      <c r="K45" s="672"/>
      <c r="L45" s="672"/>
      <c r="M45" s="672"/>
      <c r="N45" s="672"/>
      <c r="O45" s="672"/>
      <c r="P45" s="672"/>
      <c r="Q45" s="672"/>
      <c r="R45" s="673"/>
      <c r="S45" s="622" t="s">
        <v>131</v>
      </c>
    </row>
    <row r="46" spans="1:19" s="505" customFormat="1" ht="12.75" customHeight="1">
      <c r="A46" s="174"/>
      <c r="B46" s="674" t="s">
        <v>137</v>
      </c>
      <c r="C46" s="674"/>
      <c r="D46" s="675"/>
      <c r="E46" s="676"/>
      <c r="F46" s="677"/>
      <c r="G46" s="677"/>
      <c r="H46" s="676"/>
      <c r="I46" s="1417"/>
      <c r="J46" s="1418"/>
      <c r="K46" s="1417"/>
      <c r="L46" s="1418"/>
      <c r="M46" s="1418"/>
      <c r="N46" s="1418"/>
      <c r="O46" s="1418"/>
      <c r="P46" s="1418"/>
      <c r="Q46" s="677"/>
      <c r="R46" s="678"/>
      <c r="S46" s="678"/>
    </row>
    <row r="47" spans="1:28" s="505" customFormat="1" ht="12.75" customHeight="1">
      <c r="A47" s="778">
        <f>T42*100+1</f>
        <v>2201</v>
      </c>
      <c r="B47" s="1410">
        <f>IF(I8=0,H8,(((DATE(Voorblad!$D$3,K8,J8)-DATE(Voorblad!$D$3,1,1))*H8)/Voorblad!L$3))</f>
        <v>0</v>
      </c>
      <c r="C47" s="1410"/>
      <c r="D47" s="1412">
        <f>IF(K8=0,0,(IF(L8=0,((DATE(Voorblad!D$3+1,1,1)-DATE(Voorblad!$D$3,(K8),J8))*(H8-(1*I8)))/Voorblad!L$3,((DATE(Voorblad!$D$3,(L8),J8)-DATE(Voorblad!$D$3,(K8),J8))*(H8-(1*I8)))/Voorblad!L$3)))</f>
        <v>0</v>
      </c>
      <c r="E47" s="1412"/>
      <c r="F47" s="1412">
        <f>IF(L8=0,0,(IF(M8=0,((DATE(Voorblad!D$3+1,1,1)-DATE(Voorblad!$D$3,(L8),J8))*(H8-(2*I8)))/365,((DATE(Voorblad!$D$3,(M8),J8)-DATE(Voorblad!$D$3,(L8),J8))*(H8-(2*I8)))/Voorblad!L$3)))</f>
        <v>0</v>
      </c>
      <c r="G47" s="1412"/>
      <c r="H47" s="506">
        <f>IF(M8=0,0,(IF(N8=0,((DATE(Voorblad!D$3+1,1,1)-DATE(Voorblad!$D$3,(M8),J8))*(H8-(3*I8)))/Voorblad!L$3,((DATE(Voorblad!$D$3,(N8),J8)-DATE(Voorblad!$D$3,(M8),J8))*(H8-(3*I8)))/Voorblad!L$3)))</f>
        <v>0</v>
      </c>
      <c r="I47" s="1412">
        <f>IF(N8=0,0,(IF(O8=0,((DATE(Voorblad!D$3+1,1,1)-DATE(Voorblad!$D$3,(N8),J8))*(H8-(4*I8)))/Voorblad!L$3,((DATE(Voorblad!$D$3,(O8),J8)-DATE(Voorblad!$D$3,(N8),J8))*(H8-(4*I8)))/Voorblad!L$3)))</f>
        <v>0</v>
      </c>
      <c r="J47" s="1412"/>
      <c r="K47" s="1412">
        <f>IF(O8=0,0,(IF(P8=0,((DATE(Voorblad!D$3+1,1,1)-DATE(Voorblad!$D$3,(O8),J8))*(H8-(5*I8)))/Voorblad!L$3,((DATE(Voorblad!$D$3,(P8),J8)-DATE(Voorblad!$D$3,(O8),J8))*(H8-(5*I8)))/Voorblad!L$3)))</f>
        <v>0</v>
      </c>
      <c r="L47" s="1412"/>
      <c r="M47" s="1412"/>
      <c r="N47" s="1412"/>
      <c r="O47" s="1412"/>
      <c r="P47" s="1412"/>
      <c r="Q47" s="507">
        <f>IF(P8=0,0,((DATE(Voorblad!D$3+1,1,1)-DATE(Voorblad!$D$3,(P8),J8))*(H8-(6*I8)))/Voorblad!L$3)</f>
        <v>0</v>
      </c>
      <c r="R47" s="579">
        <f aca="true" t="shared" si="17" ref="R47:R56">SUM(B47:Q47)</f>
        <v>0</v>
      </c>
      <c r="S47" s="573">
        <f aca="true" t="shared" si="18" ref="S47:S73">IF(G8="n",R47*(F8/100),R47*(E8/100))</f>
        <v>0</v>
      </c>
      <c r="T47"/>
      <c r="U47"/>
      <c r="V47"/>
      <c r="W47"/>
      <c r="X47"/>
      <c r="Y47"/>
      <c r="Z47"/>
      <c r="AA47" s="508">
        <f aca="true" t="shared" si="19" ref="AA47:AA73">Q47</f>
        <v>0</v>
      </c>
      <c r="AB47" s="508">
        <f aca="true" t="shared" si="20" ref="AB47:AB73">L47</f>
        <v>0</v>
      </c>
    </row>
    <row r="48" spans="1:28" s="505" customFormat="1" ht="12.75" customHeight="1">
      <c r="A48" s="778">
        <f>A47+1</f>
        <v>2202</v>
      </c>
      <c r="B48" s="1410">
        <f>IF(I9=0,H9,(((DATE(Voorblad!$D$3,K9,J9)-DATE(Voorblad!$D$3,1,1))*H9)/Voorblad!L$3))</f>
        <v>0</v>
      </c>
      <c r="C48" s="1410"/>
      <c r="D48" s="1412">
        <f>IF(K9=0,0,(IF(L9=0,((DATE(Voorblad!D$3+1,1,1)-DATE(Voorblad!$D$3,(K9),J9))*(H9-(1*I9)))/Voorblad!L$3,((DATE(Voorblad!$D$3,(L9),J9)-DATE(Voorblad!$D$3,(K9),J9))*(H9-(1*I9)))/Voorblad!L$3)))</f>
        <v>0</v>
      </c>
      <c r="E48" s="1412"/>
      <c r="F48" s="1412">
        <f>IF(L9=0,0,(IF(M9=0,((DATE(Voorblad!D$3+1,1,1)-DATE(Voorblad!$D$3,(L9),J9))*(H9-(2*I9)))/365,((DATE(Voorblad!$D$3,(M9),J9)-DATE(Voorblad!$D$3,(L9),J9))*(H9-(2*I9)))/Voorblad!L$3)))</f>
        <v>0</v>
      </c>
      <c r="G48" s="1412"/>
      <c r="H48" s="506">
        <f>IF(M9=0,0,(IF(N9=0,((DATE(Voorblad!D$3+1,1,1)-DATE(Voorblad!$D$3,(M9),J9))*(H9-(3*I9)))/Voorblad!L$3,((DATE(Voorblad!$D$3,(N9),J9)-DATE(Voorblad!$D$3,(M9),J9))*(H9-(3*I9)))/Voorblad!L$3)))</f>
        <v>0</v>
      </c>
      <c r="I48" s="1412">
        <f>IF(N9=0,0,(IF(O9=0,((DATE(Voorblad!D$3+1,1,1)-DATE(Voorblad!$D$3,(N9),J9))*(H9-(4*I9)))/Voorblad!L$3,((DATE(Voorblad!$D$3,(O9),J9)-DATE(Voorblad!$D$3,(N9),J9))*(H9-(4*I9)))/Voorblad!L$3)))</f>
        <v>0</v>
      </c>
      <c r="J48" s="1412"/>
      <c r="K48" s="1412">
        <f>IF(O9=0,0,(IF(P9=0,((DATE(Voorblad!D$3+1,1,1)-DATE(Voorblad!$D$3,(O9),J9))*(H9-(5*I9)))/Voorblad!L$3,((DATE(Voorblad!$D$3,(P9),J9)-DATE(Voorblad!$D$3,(O9),J9))*(H9-(5*I9)))/Voorblad!L$3)))</f>
        <v>0</v>
      </c>
      <c r="L48" s="1412"/>
      <c r="M48" s="1412"/>
      <c r="N48" s="1412"/>
      <c r="O48" s="1412"/>
      <c r="P48" s="1412"/>
      <c r="Q48" s="507">
        <f>IF(P9=0,0,((DATE(Voorblad!D$3+1,1,1)-DATE(Voorblad!$D$3,(P9),J9))*(H9-(6*I9)))/Voorblad!L$3)</f>
        <v>0</v>
      </c>
      <c r="R48" s="579">
        <f t="shared" si="17"/>
        <v>0</v>
      </c>
      <c r="S48" s="573">
        <f t="shared" si="18"/>
        <v>0</v>
      </c>
      <c r="T48"/>
      <c r="U48"/>
      <c r="V48"/>
      <c r="W48"/>
      <c r="X48"/>
      <c r="Y48"/>
      <c r="Z48"/>
      <c r="AA48" s="508">
        <f t="shared" si="19"/>
        <v>0</v>
      </c>
      <c r="AB48" s="508">
        <f t="shared" si="20"/>
        <v>0</v>
      </c>
    </row>
    <row r="49" spans="1:28" s="505" customFormat="1" ht="12.75" customHeight="1">
      <c r="A49" s="778">
        <f>A48+1</f>
        <v>2203</v>
      </c>
      <c r="B49" s="1410">
        <f>IF(I10=0,H10,(((DATE(Voorblad!$D$3,K10,J10)-DATE(Voorblad!$D$3,1,1))*H10)/Voorblad!L$3))</f>
        <v>0</v>
      </c>
      <c r="C49" s="1410"/>
      <c r="D49" s="1412">
        <f>IF(K10=0,0,(IF(L10=0,((DATE(Voorblad!D$3+1,1,1)-DATE(Voorblad!$D$3,(K10),J10))*(H10-(1*I10)))/Voorblad!L$3,((DATE(Voorblad!$D$3,(L10),J10)-DATE(Voorblad!$D$3,(K10),J10))*(H10-(1*I10)))/Voorblad!L$3)))</f>
        <v>0</v>
      </c>
      <c r="E49" s="1412"/>
      <c r="F49" s="1412">
        <f>IF(L10=0,0,(IF(M10=0,((DATE(Voorblad!D$3+1,1,1)-DATE(Voorblad!$D$3,(L10),J10))*(H10-(2*I10)))/365,((DATE(Voorblad!$D$3,(M10),J10)-DATE(Voorblad!$D$3,(L10),J10))*(H10-(2*I10)))/Voorblad!L$3)))</f>
        <v>0</v>
      </c>
      <c r="G49" s="1412"/>
      <c r="H49" s="506">
        <f>IF(M10=0,0,(IF(N10=0,((DATE(Voorblad!D$3+1,1,1)-DATE(Voorblad!$D$3,(M10),J10))*(H10-(3*I10)))/Voorblad!L$3,((DATE(Voorblad!$D$3,(N10),J10)-DATE(Voorblad!$D$3,(M10),J10))*(H10-(3*I10)))/Voorblad!L$3)))</f>
        <v>0</v>
      </c>
      <c r="I49" s="1412">
        <f>IF(N10=0,0,(IF(O10=0,((DATE(Voorblad!D$3+1,1,1)-DATE(Voorblad!$D$3,(N10),J10))*(H10-(4*I10)))/Voorblad!L$3,((DATE(Voorblad!$D$3,(O10),J10)-DATE(Voorblad!$D$3,(N10),J10))*(H10-(4*I10)))/Voorblad!L$3)))</f>
        <v>0</v>
      </c>
      <c r="J49" s="1412"/>
      <c r="K49" s="1412">
        <f>IF(O10=0,0,(IF(P10=0,((DATE(Voorblad!D$3+1,1,1)-DATE(Voorblad!$D$3,(O10),J10))*(H10-(5*I10)))/Voorblad!L$3,((DATE(Voorblad!$D$3,(P10),J10)-DATE(Voorblad!$D$3,(O10),J10))*(H10-(5*I10)))/Voorblad!L$3)))</f>
        <v>0</v>
      </c>
      <c r="L49" s="1412"/>
      <c r="M49" s="1412"/>
      <c r="N49" s="1412"/>
      <c r="O49" s="1412"/>
      <c r="P49" s="1412"/>
      <c r="Q49" s="507">
        <f>IF(P10=0,0,((DATE(Voorblad!D$3+1,1,1)-DATE(Voorblad!$D$3,(P10),J10))*(H10-(6*I10)))/Voorblad!L$3)</f>
        <v>0</v>
      </c>
      <c r="R49" s="579">
        <f t="shared" si="17"/>
        <v>0</v>
      </c>
      <c r="S49" s="573">
        <f t="shared" si="18"/>
        <v>0</v>
      </c>
      <c r="T49"/>
      <c r="U49"/>
      <c r="V49"/>
      <c r="W49"/>
      <c r="X49"/>
      <c r="Y49"/>
      <c r="Z49"/>
      <c r="AA49" s="508">
        <f t="shared" si="19"/>
        <v>0</v>
      </c>
      <c r="AB49" s="508">
        <f t="shared" si="20"/>
        <v>0</v>
      </c>
    </row>
    <row r="50" spans="1:28" s="505" customFormat="1" ht="12.75" customHeight="1">
      <c r="A50" s="778">
        <f aca="true" t="shared" si="21" ref="A50:A74">A49+1</f>
        <v>2204</v>
      </c>
      <c r="B50" s="1410">
        <f>IF(I11=0,H11,(((DATE(Voorblad!$D$3,K11,J11)-DATE(Voorblad!$D$3,1,1))*H11)/Voorblad!L$3))</f>
        <v>0</v>
      </c>
      <c r="C50" s="1410"/>
      <c r="D50" s="1412">
        <f>IF(K11=0,0,(IF(L11=0,((DATE(Voorblad!D$3+1,1,1)-DATE(Voorblad!$D$3,(K11),J11))*(H11-(1*I11)))/Voorblad!L$3,((DATE(Voorblad!$D$3,(L11),J11)-DATE(Voorblad!$D$3,(K11),J11))*(H11-(1*I11)))/Voorblad!L$3)))</f>
        <v>0</v>
      </c>
      <c r="E50" s="1412"/>
      <c r="F50" s="1412">
        <f>IF(L11=0,0,(IF(M11=0,((DATE(Voorblad!D$3+1,1,1)-DATE(Voorblad!$D$3,(L11),J11))*(H11-(2*I11)))/365,((DATE(Voorblad!$D$3,(M11),J11)-DATE(Voorblad!$D$3,(L11),J11))*(H11-(2*I11)))/Voorblad!L$3)))</f>
        <v>0</v>
      </c>
      <c r="G50" s="1412"/>
      <c r="H50" s="506">
        <f>IF(M11=0,0,(IF(N11=0,((DATE(Voorblad!D$3+1,1,1)-DATE(Voorblad!$D$3,(M11),J11))*(H11-(3*I11)))/Voorblad!L$3,((DATE(Voorblad!$D$3,(N11),J11)-DATE(Voorblad!$D$3,(M11),J11))*(H11-(3*I11)))/Voorblad!L$3)))</f>
        <v>0</v>
      </c>
      <c r="I50" s="1412">
        <f>IF(N11=0,0,(IF(O11=0,((DATE(Voorblad!D$3+1,1,1)-DATE(Voorblad!$D$3,(N11),J11))*(H11-(4*I11)))/Voorblad!L$3,((DATE(Voorblad!$D$3,(O11),J11)-DATE(Voorblad!$D$3,(N11),J11))*(H11-(4*I11)))/Voorblad!L$3)))</f>
        <v>0</v>
      </c>
      <c r="J50" s="1412"/>
      <c r="K50" s="1412">
        <f>IF(O11=0,0,(IF(P11=0,((DATE(Voorblad!D$3+1,1,1)-DATE(Voorblad!$D$3,(O11),J11))*(H11-(5*I11)))/Voorblad!L$3,((DATE(Voorblad!$D$3,(P11),J11)-DATE(Voorblad!$D$3,(O11),J11))*(H11-(5*I11)))/Voorblad!L$3)))</f>
        <v>0</v>
      </c>
      <c r="L50" s="1412"/>
      <c r="M50" s="1412"/>
      <c r="N50" s="1412"/>
      <c r="O50" s="1412"/>
      <c r="P50" s="1412"/>
      <c r="Q50" s="507">
        <f>IF(P11=0,0,((DATE(Voorblad!D$3+1,1,1)-DATE(Voorblad!$D$3,(P11),J11))*(H11-(6*I11)))/Voorblad!L$3)</f>
        <v>0</v>
      </c>
      <c r="R50" s="579">
        <f t="shared" si="17"/>
        <v>0</v>
      </c>
      <c r="S50" s="573">
        <f t="shared" si="18"/>
        <v>0</v>
      </c>
      <c r="T50"/>
      <c r="U50"/>
      <c r="V50"/>
      <c r="W50"/>
      <c r="X50"/>
      <c r="Y50"/>
      <c r="Z50"/>
      <c r="AA50" s="508">
        <f t="shared" si="19"/>
        <v>0</v>
      </c>
      <c r="AB50" s="508">
        <f t="shared" si="20"/>
        <v>0</v>
      </c>
    </row>
    <row r="51" spans="1:28" s="505" customFormat="1" ht="12.75" customHeight="1">
      <c r="A51" s="778">
        <f t="shared" si="21"/>
        <v>2205</v>
      </c>
      <c r="B51" s="1410">
        <f>IF(I12=0,H12,(((DATE(Voorblad!$D$3,K12,J12)-DATE(Voorblad!$D$3,1,1))*H12)/Voorblad!L$3))</f>
        <v>0</v>
      </c>
      <c r="C51" s="1410"/>
      <c r="D51" s="1412">
        <f>IF(K12=0,0,(IF(L12=0,((DATE(Voorblad!D$3+1,1,1)-DATE(Voorblad!$D$3,(K12),J12))*(H12-(1*I12)))/Voorblad!L$3,((DATE(Voorblad!$D$3,(L12),J12)-DATE(Voorblad!$D$3,(K12),J12))*(H12-(1*I12)))/Voorblad!L$3)))</f>
        <v>0</v>
      </c>
      <c r="E51" s="1412"/>
      <c r="F51" s="1412">
        <f>IF(L12=0,0,(IF(M12=0,((DATE(Voorblad!D$3+1,1,1)-DATE(Voorblad!$D$3,(L12),J12))*(H12-(2*I12)))/365,((DATE(Voorblad!$D$3,(M12),J12)-DATE(Voorblad!$D$3,(L12),J12))*(H12-(2*I12)))/Voorblad!L$3)))</f>
        <v>0</v>
      </c>
      <c r="G51" s="1412"/>
      <c r="H51" s="506">
        <f>IF(M12=0,0,(IF(N12=0,((DATE(Voorblad!D$3+1,1,1)-DATE(Voorblad!$D$3,(M12),J12))*(H12-(3*I12)))/Voorblad!L$3,((DATE(Voorblad!$D$3,(N12),J12)-DATE(Voorblad!$D$3,(M12),J12))*(H12-(3*I12)))/Voorblad!L$3)))</f>
        <v>0</v>
      </c>
      <c r="I51" s="1412">
        <f>IF(N12=0,0,(IF(O12=0,((DATE(Voorblad!D$3+1,1,1)-DATE(Voorblad!$D$3,(N12),J12))*(H12-(4*I12)))/Voorblad!L$3,((DATE(Voorblad!$D$3,(O12),J12)-DATE(Voorblad!$D$3,(N12),J12))*(H12-(4*I12)))/Voorblad!L$3)))</f>
        <v>0</v>
      </c>
      <c r="J51" s="1412"/>
      <c r="K51" s="1412">
        <f>IF(O12=0,0,(IF(P12=0,((DATE(Voorblad!D$3+1,1,1)-DATE(Voorblad!$D$3,(O12),J12))*(H12-(5*I12)))/Voorblad!L$3,((DATE(Voorblad!$D$3,(P12),J12)-DATE(Voorblad!$D$3,(O12),J12))*(H12-(5*I12)))/Voorblad!L$3)))</f>
        <v>0</v>
      </c>
      <c r="L51" s="1412"/>
      <c r="M51" s="1412"/>
      <c r="N51" s="1412"/>
      <c r="O51" s="1412"/>
      <c r="P51" s="1412"/>
      <c r="Q51" s="507">
        <f>IF(P12=0,0,((DATE(Voorblad!D$3+1,1,1)-DATE(Voorblad!$D$3,(P12),J12))*(H12-(6*I12)))/Voorblad!L$3)</f>
        <v>0</v>
      </c>
      <c r="R51" s="579">
        <f t="shared" si="17"/>
        <v>0</v>
      </c>
      <c r="S51" s="573">
        <f t="shared" si="18"/>
        <v>0</v>
      </c>
      <c r="T51"/>
      <c r="U51"/>
      <c r="V51"/>
      <c r="W51"/>
      <c r="X51"/>
      <c r="Y51"/>
      <c r="Z51"/>
      <c r="AA51" s="508">
        <f t="shared" si="19"/>
        <v>0</v>
      </c>
      <c r="AB51" s="508">
        <f t="shared" si="20"/>
        <v>0</v>
      </c>
    </row>
    <row r="52" spans="1:28" s="505" customFormat="1" ht="12.75" customHeight="1">
      <c r="A52" s="778">
        <f t="shared" si="21"/>
        <v>2206</v>
      </c>
      <c r="B52" s="1410">
        <f>IF(I13=0,H13,(((DATE(Voorblad!$D$3,K13,J13)-DATE(Voorblad!$D$3,1,1))*H13)/Voorblad!L$3))</f>
        <v>0</v>
      </c>
      <c r="C52" s="1410"/>
      <c r="D52" s="1412">
        <f>IF(K13=0,0,(IF(L13=0,((DATE(Voorblad!D$3+1,1,1)-DATE(Voorblad!$D$3,(K13),J13))*(H13-(1*I13)))/Voorblad!L$3,((DATE(Voorblad!$D$3,(L13),J13)-DATE(Voorblad!$D$3,(K13),J13))*(H13-(1*I13)))/Voorblad!L$3)))</f>
        <v>0</v>
      </c>
      <c r="E52" s="1412"/>
      <c r="F52" s="1412">
        <f>IF(L13=0,0,(IF(M13=0,((DATE(Voorblad!D$3+1,1,1)-DATE(Voorblad!$D$3,(L13),J13))*(H13-(2*I13)))/365,((DATE(Voorblad!$D$3,(M13),J13)-DATE(Voorblad!$D$3,(L13),J13))*(H13-(2*I13)))/Voorblad!L$3)))</f>
        <v>0</v>
      </c>
      <c r="G52" s="1412"/>
      <c r="H52" s="506">
        <f>IF(M13=0,0,(IF(N13=0,((DATE(Voorblad!D$3+1,1,1)-DATE(Voorblad!$D$3,(M13),J13))*(H13-(3*I13)))/Voorblad!L$3,((DATE(Voorblad!$D$3,(N13),J13)-DATE(Voorblad!$D$3,(M13),J13))*(H13-(3*I13)))/Voorblad!L$3)))</f>
        <v>0</v>
      </c>
      <c r="I52" s="1412">
        <f>IF(N13=0,0,(IF(O13=0,((DATE(Voorblad!D$3+1,1,1)-DATE(Voorblad!$D$3,(N13),J13))*(H13-(4*I13)))/Voorblad!L$3,((DATE(Voorblad!$D$3,(O13),J13)-DATE(Voorblad!$D$3,(N13),J13))*(H13-(4*I13)))/Voorblad!L$3)))</f>
        <v>0</v>
      </c>
      <c r="J52" s="1412"/>
      <c r="K52" s="1412">
        <f>IF(O13=0,0,(IF(P13=0,((DATE(Voorblad!D$3+1,1,1)-DATE(Voorblad!$D$3,(O13),J13))*(H13-(5*I13)))/Voorblad!L$3,((DATE(Voorblad!$D$3,(P13),J13)-DATE(Voorblad!$D$3,(O13),J13))*(H13-(5*I13)))/Voorblad!L$3)))</f>
        <v>0</v>
      </c>
      <c r="L52" s="1412"/>
      <c r="M52" s="1412"/>
      <c r="N52" s="1412"/>
      <c r="O52" s="1412"/>
      <c r="P52" s="1412"/>
      <c r="Q52" s="507">
        <f>IF(P13=0,0,((DATE(Voorblad!D$3+1,1,1)-DATE(Voorblad!$D$3,(P13),J13))*(H13-(6*I13)))/Voorblad!L$3)</f>
        <v>0</v>
      </c>
      <c r="R52" s="579">
        <f t="shared" si="17"/>
        <v>0</v>
      </c>
      <c r="S52" s="573">
        <f t="shared" si="18"/>
        <v>0</v>
      </c>
      <c r="T52"/>
      <c r="U52"/>
      <c r="V52"/>
      <c r="W52"/>
      <c r="X52"/>
      <c r="Y52"/>
      <c r="Z52"/>
      <c r="AA52" s="508">
        <f t="shared" si="19"/>
        <v>0</v>
      </c>
      <c r="AB52" s="508">
        <f t="shared" si="20"/>
        <v>0</v>
      </c>
    </row>
    <row r="53" spans="1:28" s="505" customFormat="1" ht="12.75" customHeight="1">
      <c r="A53" s="778">
        <f t="shared" si="21"/>
        <v>2207</v>
      </c>
      <c r="B53" s="1410">
        <f>IF(I14=0,H14,(((DATE(Voorblad!$D$3,K14,J14)-DATE(Voorblad!$D$3,1,1))*H14)/Voorblad!L$3))</f>
        <v>0</v>
      </c>
      <c r="C53" s="1410"/>
      <c r="D53" s="1412">
        <f>IF(K14=0,0,(IF(L14=0,((DATE(Voorblad!D$3+1,1,1)-DATE(Voorblad!$D$3,(K14),J14))*(H14-(1*I14)))/Voorblad!L$3,((DATE(Voorblad!$D$3,(L14),J14)-DATE(Voorblad!$D$3,(K14),J14))*(H14-(1*I14)))/Voorblad!L$3)))</f>
        <v>0</v>
      </c>
      <c r="E53" s="1412"/>
      <c r="F53" s="1412">
        <f>IF(L14=0,0,(IF(M14=0,((DATE(Voorblad!D$3+1,1,1)-DATE(Voorblad!$D$3,(L14),J14))*(H14-(2*I14)))/365,((DATE(Voorblad!$D$3,(M14),J14)-DATE(Voorblad!$D$3,(L14),J14))*(H14-(2*I14)))/Voorblad!L$3)))</f>
        <v>0</v>
      </c>
      <c r="G53" s="1412"/>
      <c r="H53" s="506">
        <f>IF(M14=0,0,(IF(N14=0,((DATE(Voorblad!D$3+1,1,1)-DATE(Voorblad!$D$3,(M14),J14))*(H14-(3*I14)))/Voorblad!L$3,((DATE(Voorblad!$D$3,(N14),J14)-DATE(Voorblad!$D$3,(M14),J14))*(H14-(3*I14)))/Voorblad!L$3)))</f>
        <v>0</v>
      </c>
      <c r="I53" s="1412">
        <f>IF(N14=0,0,(IF(O14=0,((DATE(Voorblad!D$3+1,1,1)-DATE(Voorblad!$D$3,(N14),J14))*(H14-(4*I14)))/Voorblad!L$3,((DATE(Voorblad!$D$3,(O14),J14)-DATE(Voorblad!$D$3,(N14),J14))*(H14-(4*I14)))/Voorblad!L$3)))</f>
        <v>0</v>
      </c>
      <c r="J53" s="1412"/>
      <c r="K53" s="1412">
        <f>IF(O14=0,0,(IF(P14=0,((DATE(Voorblad!D$3+1,1,1)-DATE(Voorblad!$D$3,(O14),J14))*(H14-(5*I14)))/Voorblad!L$3,((DATE(Voorblad!$D$3,(P14),J14)-DATE(Voorblad!$D$3,(O14),J14))*(H14-(5*I14)))/Voorblad!L$3)))</f>
        <v>0</v>
      </c>
      <c r="L53" s="1412"/>
      <c r="M53" s="1412"/>
      <c r="N53" s="1412"/>
      <c r="O53" s="1412"/>
      <c r="P53" s="1412"/>
      <c r="Q53" s="507">
        <f>IF(P14=0,0,((DATE(Voorblad!D$3+1,1,1)-DATE(Voorblad!$D$3,(P14),J14))*(H14-(6*I14)))/Voorblad!L$3)</f>
        <v>0</v>
      </c>
      <c r="R53" s="579">
        <f t="shared" si="17"/>
        <v>0</v>
      </c>
      <c r="S53" s="573">
        <f t="shared" si="18"/>
        <v>0</v>
      </c>
      <c r="T53"/>
      <c r="U53"/>
      <c r="V53"/>
      <c r="W53"/>
      <c r="X53"/>
      <c r="Y53"/>
      <c r="Z53"/>
      <c r="AA53" s="508">
        <f t="shared" si="19"/>
        <v>0</v>
      </c>
      <c r="AB53" s="508">
        <f t="shared" si="20"/>
        <v>0</v>
      </c>
    </row>
    <row r="54" spans="1:28" s="505" customFormat="1" ht="12.75" customHeight="1">
      <c r="A54" s="778">
        <f t="shared" si="21"/>
        <v>2208</v>
      </c>
      <c r="B54" s="1410">
        <f>IF(I15=0,H15,(((DATE(Voorblad!$D$3,K15,J15)-DATE(Voorblad!$D$3,1,1))*H15)/Voorblad!L$3))</f>
        <v>0</v>
      </c>
      <c r="C54" s="1410"/>
      <c r="D54" s="1412">
        <f>IF(K15=0,0,(IF(L15=0,((DATE(Voorblad!D$3+1,1,1)-DATE(Voorblad!$D$3,(K15),J15))*(H15-(1*I15)))/Voorblad!L$3,((DATE(Voorblad!$D$3,(L15),J15)-DATE(Voorblad!$D$3,(K15),J15))*(H15-(1*I15)))/Voorblad!L$3)))</f>
        <v>0</v>
      </c>
      <c r="E54" s="1412"/>
      <c r="F54" s="1412">
        <f>IF(L15=0,0,(IF(M15=0,((DATE(Voorblad!D$3+1,1,1)-DATE(Voorblad!$D$3,(L15),J15))*(H15-(2*I15)))/365,((DATE(Voorblad!$D$3,(M15),J15)-DATE(Voorblad!$D$3,(L15),J15))*(H15-(2*I15)))/Voorblad!L$3)))</f>
        <v>0</v>
      </c>
      <c r="G54" s="1412"/>
      <c r="H54" s="506">
        <f>IF(M15=0,0,(IF(N15=0,((DATE(Voorblad!D$3+1,1,1)-DATE(Voorblad!$D$3,(M15),J15))*(H15-(3*I15)))/Voorblad!L$3,((DATE(Voorblad!$D$3,(N15),J15)-DATE(Voorblad!$D$3,(M15),J15))*(H15-(3*I15)))/Voorblad!L$3)))</f>
        <v>0</v>
      </c>
      <c r="I54" s="1412">
        <f>IF(N15=0,0,(IF(O15=0,((DATE(Voorblad!D$3+1,1,1)-DATE(Voorblad!$D$3,(N15),J15))*(H15-(4*I15)))/Voorblad!L$3,((DATE(Voorblad!$D$3,(O15),J15)-DATE(Voorblad!$D$3,(N15),J15))*(H15-(4*I15)))/Voorblad!L$3)))</f>
        <v>0</v>
      </c>
      <c r="J54" s="1412"/>
      <c r="K54" s="1412">
        <f>IF(O15=0,0,(IF(P15=0,((DATE(Voorblad!D$3+1,1,1)-DATE(Voorblad!$D$3,(O15),J15))*(H15-(5*I15)))/Voorblad!L$3,((DATE(Voorblad!$D$3,(P15),J15)-DATE(Voorblad!$D$3,(O15),J15))*(H15-(5*I15)))/Voorblad!L$3)))</f>
        <v>0</v>
      </c>
      <c r="L54" s="1412"/>
      <c r="M54" s="1412"/>
      <c r="N54" s="1412"/>
      <c r="O54" s="1412"/>
      <c r="P54" s="1412"/>
      <c r="Q54" s="507">
        <f>IF(P15=0,0,((DATE(Voorblad!D$3+1,1,1)-DATE(Voorblad!$D$3,(P15),J15))*(H15-(6*I15)))/Voorblad!L$3)</f>
        <v>0</v>
      </c>
      <c r="R54" s="579">
        <f t="shared" si="17"/>
        <v>0</v>
      </c>
      <c r="S54" s="573">
        <f t="shared" si="18"/>
        <v>0</v>
      </c>
      <c r="T54"/>
      <c r="U54"/>
      <c r="V54"/>
      <c r="W54"/>
      <c r="X54"/>
      <c r="Y54"/>
      <c r="Z54"/>
      <c r="AA54" s="508">
        <f t="shared" si="19"/>
        <v>0</v>
      </c>
      <c r="AB54" s="508">
        <f t="shared" si="20"/>
        <v>0</v>
      </c>
    </row>
    <row r="55" spans="1:28" s="505" customFormat="1" ht="12.75" customHeight="1">
      <c r="A55" s="778">
        <f t="shared" si="21"/>
        <v>2209</v>
      </c>
      <c r="B55" s="1410">
        <f>IF(I16=0,H16,(((DATE(Voorblad!$D$3,K16,J16)-DATE(Voorblad!$D$3,1,1))*H16)/Voorblad!L$3))</f>
        <v>0</v>
      </c>
      <c r="C55" s="1410"/>
      <c r="D55" s="1412">
        <f>IF(K16=0,0,(IF(L16=0,((DATE(Voorblad!D$3+1,1,1)-DATE(Voorblad!$D$3,(K16),J16))*(H16-(1*I16)))/Voorblad!L$3,((DATE(Voorblad!$D$3,(L16),J16)-DATE(Voorblad!$D$3,(K16),J16))*(H16-(1*I16)))/Voorblad!L$3)))</f>
        <v>0</v>
      </c>
      <c r="E55" s="1412"/>
      <c r="F55" s="1412">
        <f>IF(L16=0,0,(IF(M16=0,((DATE(Voorblad!D$3+1,1,1)-DATE(Voorblad!$D$3,(L16),J16))*(H16-(2*I16)))/365,((DATE(Voorblad!$D$3,(M16),J16)-DATE(Voorblad!$D$3,(L16),J16))*(H16-(2*I16)))/Voorblad!L$3)))</f>
        <v>0</v>
      </c>
      <c r="G55" s="1412"/>
      <c r="H55" s="506">
        <f>IF(M16=0,0,(IF(N16=0,((DATE(Voorblad!D$3+1,1,1)-DATE(Voorblad!$D$3,(M16),J16))*(H16-(3*I16)))/Voorblad!L$3,((DATE(Voorblad!$D$3,(N16),J16)-DATE(Voorblad!$D$3,(M16),J16))*(H16-(3*I16)))/Voorblad!L$3)))</f>
        <v>0</v>
      </c>
      <c r="I55" s="1412">
        <f>IF(N16=0,0,(IF(O16=0,((DATE(Voorblad!D$3+1,1,1)-DATE(Voorblad!$D$3,(N16),J16))*(H16-(4*I16)))/Voorblad!L$3,((DATE(Voorblad!$D$3,(O16),J16)-DATE(Voorblad!$D$3,(N16),J16))*(H16-(4*I16)))/Voorblad!L$3)))</f>
        <v>0</v>
      </c>
      <c r="J55" s="1412"/>
      <c r="K55" s="1412">
        <f>IF(O16=0,0,(IF(P16=0,((DATE(Voorblad!D$3+1,1,1)-DATE(Voorblad!$D$3,(O16),J16))*(H16-(5*I16)))/Voorblad!L$3,((DATE(Voorblad!$D$3,(P16),J16)-DATE(Voorblad!$D$3,(O16),J16))*(H16-(5*I16)))/Voorblad!L$3)))</f>
        <v>0</v>
      </c>
      <c r="L55" s="1412"/>
      <c r="M55" s="1412"/>
      <c r="N55" s="1412"/>
      <c r="O55" s="1412"/>
      <c r="P55" s="1412"/>
      <c r="Q55" s="507">
        <f>IF(P16=0,0,((DATE(Voorblad!D$3+1,1,1)-DATE(Voorblad!$D$3,(P16),J16))*(H16-(6*I16)))/Voorblad!L$3)</f>
        <v>0</v>
      </c>
      <c r="R55" s="579">
        <f t="shared" si="17"/>
        <v>0</v>
      </c>
      <c r="S55" s="573">
        <f t="shared" si="18"/>
        <v>0</v>
      </c>
      <c r="T55"/>
      <c r="U55"/>
      <c r="V55"/>
      <c r="W55"/>
      <c r="X55"/>
      <c r="Y55"/>
      <c r="Z55"/>
      <c r="AA55" s="508"/>
      <c r="AB55" s="508"/>
    </row>
    <row r="56" spans="1:28" s="505" customFormat="1" ht="12.75" customHeight="1">
      <c r="A56" s="778">
        <f t="shared" si="21"/>
        <v>2210</v>
      </c>
      <c r="B56" s="1410">
        <f>IF(I17=0,H17,(((DATE(Voorblad!$D$3,K17,J17)-DATE(Voorblad!$D$3,1,1))*H17)/Voorblad!L$3))</f>
        <v>0</v>
      </c>
      <c r="C56" s="1410"/>
      <c r="D56" s="1412">
        <f>IF(K17=0,0,(IF(L17=0,((DATE(Voorblad!D$3+1,1,1)-DATE(Voorblad!$D$3,(K17),J17))*(H17-(1*I17)))/Voorblad!L$3,((DATE(Voorblad!$D$3,(L17),J17)-DATE(Voorblad!$D$3,(K17),J17))*(H17-(1*I17)))/Voorblad!L$3)))</f>
        <v>0</v>
      </c>
      <c r="E56" s="1412"/>
      <c r="F56" s="1412">
        <f>IF(L17=0,0,(IF(M17=0,((DATE(Voorblad!D$3+1,1,1)-DATE(Voorblad!$D$3,(L17),J17))*(H17-(2*I17)))/365,((DATE(Voorblad!$D$3,(M17),J17)-DATE(Voorblad!$D$3,(L17),J17))*(H17-(2*I17)))/Voorblad!L$3)))</f>
        <v>0</v>
      </c>
      <c r="G56" s="1412"/>
      <c r="H56" s="506">
        <f>IF(M17=0,0,(IF(N17=0,((DATE(Voorblad!D$3+1,1,1)-DATE(Voorblad!$D$3,(M17),J17))*(H17-(3*I17)))/Voorblad!L$3,((DATE(Voorblad!$D$3,(N17),J17)-DATE(Voorblad!$D$3,(M17),J17))*(H17-(3*I17)))/Voorblad!L$3)))</f>
        <v>0</v>
      </c>
      <c r="I56" s="1412">
        <f>IF(N17=0,0,(IF(O17=0,((DATE(Voorblad!D$3+1,1,1)-DATE(Voorblad!$D$3,(N17),J17))*(H17-(4*I17)))/Voorblad!L$3,((DATE(Voorblad!$D$3,(O17),J17)-DATE(Voorblad!$D$3,(N17),J17))*(H17-(4*I17)))/Voorblad!L$3)))</f>
        <v>0</v>
      </c>
      <c r="J56" s="1412"/>
      <c r="K56" s="1412">
        <f>IF(O17=0,0,(IF(P17=0,((DATE(Voorblad!D$3+1,1,1)-DATE(Voorblad!$D$3,(O17),J17))*(H17-(5*I17)))/Voorblad!L$3,((DATE(Voorblad!$D$3,(P17),J17)-DATE(Voorblad!$D$3,(O17),J17))*(H17-(5*I17)))/Voorblad!L$3)))</f>
        <v>0</v>
      </c>
      <c r="L56" s="1412"/>
      <c r="M56" s="1412"/>
      <c r="N56" s="1412"/>
      <c r="O56" s="1412"/>
      <c r="P56" s="1412"/>
      <c r="Q56" s="507">
        <f>IF(P17=0,0,((DATE(Voorblad!D$3+1,1,1)-DATE(Voorblad!$D$3,(P17),J17))*(H17-(6*I17)))/Voorblad!L$3)</f>
        <v>0</v>
      </c>
      <c r="R56" s="579">
        <f t="shared" si="17"/>
        <v>0</v>
      </c>
      <c r="S56" s="573">
        <f t="shared" si="18"/>
        <v>0</v>
      </c>
      <c r="T56"/>
      <c r="U56"/>
      <c r="V56"/>
      <c r="W56"/>
      <c r="X56"/>
      <c r="Y56"/>
      <c r="Z56"/>
      <c r="AA56" s="508"/>
      <c r="AB56" s="508"/>
    </row>
    <row r="57" spans="1:28" s="505" customFormat="1" ht="12.75" customHeight="1">
      <c r="A57" s="778">
        <f t="shared" si="21"/>
        <v>2211</v>
      </c>
      <c r="B57" s="1410">
        <f>IF(I18=0,H18,(((DATE(Voorblad!$D$3,K18,J18)-DATE(Voorblad!$D$3,1,1))*H18)/Voorblad!L$3))</f>
        <v>0</v>
      </c>
      <c r="C57" s="1410"/>
      <c r="D57" s="1412">
        <f>IF(K18=0,0,(IF(L18=0,((DATE(Voorblad!D$3+1,1,1)-DATE(Voorblad!$D$3,(K18),J18))*(H18-(1*I18)))/Voorblad!L$3,((DATE(Voorblad!$D$3,(L18),J18)-DATE(Voorblad!$D$3,(K18),J18))*(H18-(1*I18)))/Voorblad!L$3)))</f>
        <v>0</v>
      </c>
      <c r="E57" s="1412"/>
      <c r="F57" s="1412">
        <f>IF(L18=0,0,(IF(M18=0,((DATE(Voorblad!D$3+1,1,1)-DATE(Voorblad!$D$3,(L18),J18))*(H18-(2*I18)))/365,((DATE(Voorblad!$D$3,(M18),J18)-DATE(Voorblad!$D$3,(L18),J18))*(H18-(2*I18)))/Voorblad!L$3)))</f>
        <v>0</v>
      </c>
      <c r="G57" s="1412"/>
      <c r="H57" s="506">
        <f>IF(M18=0,0,(IF(N18=0,((DATE(Voorblad!D$3+1,1,1)-DATE(Voorblad!$D$3,(M18),J18))*(H18-(3*I18)))/Voorblad!L$3,((DATE(Voorblad!$D$3,(N18),J18)-DATE(Voorblad!$D$3,(M18),J18))*(H18-(3*I18)))/Voorblad!L$3)))</f>
        <v>0</v>
      </c>
      <c r="I57" s="1412">
        <f>IF(N18=0,0,(IF(O18=0,((DATE(Voorblad!D$3+1,1,1)-DATE(Voorblad!$D$3,(N18),J18))*(H18-(4*I18)))/Voorblad!L$3,((DATE(Voorblad!$D$3,(O18),J18)-DATE(Voorblad!$D$3,(N18),J18))*(H18-(4*I18)))/Voorblad!L$3)))</f>
        <v>0</v>
      </c>
      <c r="J57" s="1412"/>
      <c r="K57" s="1412">
        <f>IF(O18=0,0,(IF(P18=0,((DATE(Voorblad!D$3+1,1,1)-DATE(Voorblad!$D$3,(O18),J18))*(H18-(5*I18)))/Voorblad!L$3,((DATE(Voorblad!$D$3,(P18),J18)-DATE(Voorblad!$D$3,(O18),J18))*(H18-(5*I18)))/Voorblad!L$3)))</f>
        <v>0</v>
      </c>
      <c r="L57" s="1412"/>
      <c r="M57" s="1412"/>
      <c r="N57" s="1412"/>
      <c r="O57" s="1412"/>
      <c r="P57" s="1412"/>
      <c r="Q57" s="507">
        <f>IF(P18=0,0,((DATE(Voorblad!D$3+1,1,1)-DATE(Voorblad!$D$3,(P18),J18))*(H18-(6*I18)))/Voorblad!L$3)</f>
        <v>0</v>
      </c>
      <c r="R57" s="579">
        <f>SUM(B57:Q57)</f>
        <v>0</v>
      </c>
      <c r="S57" s="573">
        <f t="shared" si="18"/>
        <v>0</v>
      </c>
      <c r="T57"/>
      <c r="U57"/>
      <c r="V57"/>
      <c r="W57"/>
      <c r="X57"/>
      <c r="Y57"/>
      <c r="Z57"/>
      <c r="AA57" s="508"/>
      <c r="AB57" s="508"/>
    </row>
    <row r="58" spans="1:28" s="505" customFormat="1" ht="12.75" customHeight="1">
      <c r="A58" s="778">
        <f t="shared" si="21"/>
        <v>2212</v>
      </c>
      <c r="B58" s="1410">
        <f>IF(I19=0,H19,(((DATE(Voorblad!$D$3,K19,J19)-DATE(Voorblad!$D$3,1,1))*H19)/Voorblad!L$3))</f>
        <v>0</v>
      </c>
      <c r="C58" s="1410"/>
      <c r="D58" s="1412">
        <f>IF(K19=0,0,(IF(L19=0,((DATE(Voorblad!D$3+1,1,1)-DATE(Voorblad!$D$3,(K19),J19))*(H19-(1*I19)))/Voorblad!L$3,((DATE(Voorblad!$D$3,(L19),J19)-DATE(Voorblad!$D$3,(K19),J19))*(H19-(1*I19)))/Voorblad!L$3)))</f>
        <v>0</v>
      </c>
      <c r="E58" s="1412"/>
      <c r="F58" s="1412">
        <f>IF(L19=0,0,(IF(M19=0,((DATE(Voorblad!D$3+1,1,1)-DATE(Voorblad!$D$3,(L19),J19))*(H19-(2*I19)))/365,((DATE(Voorblad!$D$3,(M19),J19)-DATE(Voorblad!$D$3,(L19),J19))*(H19-(2*I19)))/Voorblad!L$3)))</f>
        <v>0</v>
      </c>
      <c r="G58" s="1412"/>
      <c r="H58" s="506">
        <f>IF(M19=0,0,(IF(N19=0,((DATE(Voorblad!D$3+1,1,1)-DATE(Voorblad!$D$3,(M19),J19))*(H19-(3*I19)))/Voorblad!L$3,((DATE(Voorblad!$D$3,(N19),J19)-DATE(Voorblad!$D$3,(M19),J19))*(H19-(3*I19)))/Voorblad!L$3)))</f>
        <v>0</v>
      </c>
      <c r="I58" s="1412">
        <f>IF(N19=0,0,(IF(O19=0,((DATE(Voorblad!D$3+1,1,1)-DATE(Voorblad!$D$3,(N19),J19))*(H19-(4*I19)))/Voorblad!L$3,((DATE(Voorblad!$D$3,(O19),J19)-DATE(Voorblad!$D$3,(N19),J19))*(H19-(4*I19)))/Voorblad!L$3)))</f>
        <v>0</v>
      </c>
      <c r="J58" s="1412"/>
      <c r="K58" s="1412">
        <f>IF(O19=0,0,(IF(P19=0,((DATE(Voorblad!D$3+1,1,1)-DATE(Voorblad!$D$3,(O19),J19))*(H19-(5*I19)))/Voorblad!L$3,((DATE(Voorblad!$D$3,(P19),J19)-DATE(Voorblad!$D$3,(O19),J19))*(H19-(5*I19)))/Voorblad!L$3)))</f>
        <v>0</v>
      </c>
      <c r="L58" s="1412"/>
      <c r="M58" s="1412"/>
      <c r="N58" s="1412"/>
      <c r="O58" s="1412"/>
      <c r="P58" s="1412"/>
      <c r="Q58" s="507">
        <f>IF(P19=0,0,((DATE(Voorblad!D$3+1,1,1)-DATE(Voorblad!$D$3,(P19),J19))*(H19-(6*I19)))/Voorblad!L$3)</f>
        <v>0</v>
      </c>
      <c r="R58" s="579">
        <f>SUM(B58:Q58)</f>
        <v>0</v>
      </c>
      <c r="S58" s="573">
        <f t="shared" si="18"/>
        <v>0</v>
      </c>
      <c r="T58"/>
      <c r="U58"/>
      <c r="V58"/>
      <c r="W58"/>
      <c r="X58"/>
      <c r="Y58"/>
      <c r="Z58"/>
      <c r="AA58" s="508"/>
      <c r="AB58" s="508"/>
    </row>
    <row r="59" spans="1:28" s="505" customFormat="1" ht="12.75" customHeight="1">
      <c r="A59" s="778">
        <f t="shared" si="21"/>
        <v>2213</v>
      </c>
      <c r="B59" s="1410">
        <f>IF(I20=0,H20,(((DATE(Voorblad!$D$3,K20,J20)-DATE(Voorblad!$D$3,1,1))*H20)/Voorblad!L$3))</f>
        <v>0</v>
      </c>
      <c r="C59" s="1410"/>
      <c r="D59" s="1412">
        <f>IF(K20=0,0,(IF(L20=0,((DATE(Voorblad!D$3+1,1,1)-DATE(Voorblad!$D$3,(K20),J20))*(H20-(1*I20)))/Voorblad!L$3,((DATE(Voorblad!$D$3,(L20),J20)-DATE(Voorblad!$D$3,(K20),J20))*(H20-(1*I20)))/Voorblad!L$3)))</f>
        <v>0</v>
      </c>
      <c r="E59" s="1412"/>
      <c r="F59" s="1412">
        <f>IF(L20=0,0,(IF(M20=0,((DATE(Voorblad!D$3+1,1,1)-DATE(Voorblad!$D$3,(L20),J20))*(H20-(2*I20)))/365,((DATE(Voorblad!$D$3,(M20),J20)-DATE(Voorblad!$D$3,(L20),J20))*(H20-(2*I20)))/Voorblad!L$3)))</f>
        <v>0</v>
      </c>
      <c r="G59" s="1412"/>
      <c r="H59" s="506">
        <f>IF(M20=0,0,(IF(N20=0,((DATE(Voorblad!D$3+1,1,1)-DATE(Voorblad!$D$3,(M20),J20))*(H20-(3*I20)))/Voorblad!L$3,((DATE(Voorblad!$D$3,(N20),J20)-DATE(Voorblad!$D$3,(M20),J20))*(H20-(3*I20)))/Voorblad!L$3)))</f>
        <v>0</v>
      </c>
      <c r="I59" s="1412">
        <f>IF(N20=0,0,(IF(O20=0,((DATE(Voorblad!D$3+1,1,1)-DATE(Voorblad!$D$3,(N20),J20))*(H20-(4*I20)))/Voorblad!L$3,((DATE(Voorblad!$D$3,(O20),J20)-DATE(Voorblad!$D$3,(N20),J20))*(H20-(4*I20)))/Voorblad!L$3)))</f>
        <v>0</v>
      </c>
      <c r="J59" s="1412"/>
      <c r="K59" s="1412">
        <f>IF(O20=0,0,(IF(P20=0,((DATE(Voorblad!D$3+1,1,1)-DATE(Voorblad!$D$3,(O20),J20))*(H20-(5*I20)))/Voorblad!L$3,((DATE(Voorblad!$D$3,(P20),J20)-DATE(Voorblad!$D$3,(O20),J20))*(H20-(5*I20)))/Voorblad!L$3)))</f>
        <v>0</v>
      </c>
      <c r="L59" s="1412"/>
      <c r="M59" s="1412"/>
      <c r="N59" s="1412"/>
      <c r="O59" s="1412"/>
      <c r="P59" s="1412"/>
      <c r="Q59" s="507">
        <f>IF(P20=0,0,((DATE(Voorblad!D$3+1,1,1)-DATE(Voorblad!$D$3,(P20),J20))*(H20-(6*I20)))/Voorblad!L$3)</f>
        <v>0</v>
      </c>
      <c r="R59" s="579">
        <f>SUM(B59:Q59)</f>
        <v>0</v>
      </c>
      <c r="S59" s="573">
        <f t="shared" si="18"/>
        <v>0</v>
      </c>
      <c r="T59"/>
      <c r="U59"/>
      <c r="V59"/>
      <c r="W59"/>
      <c r="X59"/>
      <c r="Y59"/>
      <c r="Z59"/>
      <c r="AA59" s="508"/>
      <c r="AB59" s="508"/>
    </row>
    <row r="60" spans="1:28" s="505" customFormat="1" ht="12.75" customHeight="1">
      <c r="A60" s="778">
        <f t="shared" si="21"/>
        <v>2214</v>
      </c>
      <c r="B60" s="1410">
        <f>IF(I21=0,H21,(((DATE(Voorblad!$D$3,K21,J21)-DATE(Voorblad!$D$3,1,1))*H21)/Voorblad!L$3))</f>
        <v>0</v>
      </c>
      <c r="C60" s="1410"/>
      <c r="D60" s="1412">
        <f>IF(K21=0,0,(IF(L21=0,((DATE(Voorblad!D$3+1,1,1)-DATE(Voorblad!$D$3,(K21),J21))*(H21-(1*I21)))/Voorblad!L$3,((DATE(Voorblad!$D$3,(L21),J21)-DATE(Voorblad!$D$3,(K21),J21))*(H21-(1*I21)))/Voorblad!L$3)))</f>
        <v>0</v>
      </c>
      <c r="E60" s="1412"/>
      <c r="F60" s="1412">
        <f>IF(L21=0,0,(IF(M21=0,((DATE(Voorblad!D$3+1,1,1)-DATE(Voorblad!$D$3,(L21),J21))*(H21-(2*I21)))/365,((DATE(Voorblad!$D$3,(M21),J21)-DATE(Voorblad!$D$3,(L21),J21))*(H21-(2*I21)))/Voorblad!L$3)))</f>
        <v>0</v>
      </c>
      <c r="G60" s="1412"/>
      <c r="H60" s="506">
        <f>IF(M21=0,0,(IF(N21=0,((DATE(Voorblad!D$3+1,1,1)-DATE(Voorblad!$D$3,(M21),J21))*(H21-(3*I21)))/Voorblad!L$3,((DATE(Voorblad!$D$3,(N21),J21)-DATE(Voorblad!$D$3,(M21),J21))*(H21-(3*I21)))/Voorblad!L$3)))</f>
        <v>0</v>
      </c>
      <c r="I60" s="1412">
        <f>IF(N21=0,0,(IF(O21=0,((DATE(Voorblad!D$3+1,1,1)-DATE(Voorblad!$D$3,(N21),J21))*(H21-(4*I21)))/Voorblad!L$3,((DATE(Voorblad!$D$3,(O21),J21)-DATE(Voorblad!$D$3,(N21),J21))*(H21-(4*I21)))/Voorblad!L$3)))</f>
        <v>0</v>
      </c>
      <c r="J60" s="1412"/>
      <c r="K60" s="1412">
        <f>IF(O21=0,0,(IF(P21=0,((DATE(Voorblad!D$3+1,1,1)-DATE(Voorblad!$D$3,(O21),J21))*(H21-(5*I21)))/Voorblad!L$3,((DATE(Voorblad!$D$3,(P21),J21)-DATE(Voorblad!$D$3,(O21),J21))*(H21-(5*I21)))/Voorblad!L$3)))</f>
        <v>0</v>
      </c>
      <c r="L60" s="1412"/>
      <c r="M60" s="1412"/>
      <c r="N60" s="1412"/>
      <c r="O60" s="1412"/>
      <c r="P60" s="1412"/>
      <c r="Q60" s="507">
        <f>IF(P21=0,0,((DATE(Voorblad!D$3+1,1,1)-DATE(Voorblad!$D$3,(P21),J21))*(H21-(6*I21)))/Voorblad!L$3)</f>
        <v>0</v>
      </c>
      <c r="R60" s="579">
        <f>SUM(B60:Q60)</f>
        <v>0</v>
      </c>
      <c r="S60" s="573">
        <f t="shared" si="18"/>
        <v>0</v>
      </c>
      <c r="T60"/>
      <c r="U60"/>
      <c r="V60"/>
      <c r="W60"/>
      <c r="X60"/>
      <c r="Y60"/>
      <c r="Z60"/>
      <c r="AA60" s="508"/>
      <c r="AB60" s="508"/>
    </row>
    <row r="61" spans="1:28" s="505" customFormat="1" ht="12.75" customHeight="1">
      <c r="A61" s="778">
        <f t="shared" si="21"/>
        <v>2215</v>
      </c>
      <c r="B61" s="1410">
        <f>IF(I22=0,H22,(((DATE(Voorblad!$D$3,K22,J22)-DATE(Voorblad!$D$3,1,1))*H22)/Voorblad!L$3))</f>
        <v>0</v>
      </c>
      <c r="C61" s="1410"/>
      <c r="D61" s="1412">
        <f>IF(K22=0,0,(IF(L22=0,((DATE(Voorblad!D$3+1,1,1)-DATE(Voorblad!$D$3,(K22),J22))*(H22-(1*I22)))/Voorblad!L$3,((DATE(Voorblad!$D$3,(L22),J22)-DATE(Voorblad!$D$3,(K22),J22))*(H22-(1*I22)))/Voorblad!L$3)))</f>
        <v>0</v>
      </c>
      <c r="E61" s="1412"/>
      <c r="F61" s="1412">
        <f>IF(L22=0,0,(IF(M22=0,((DATE(Voorblad!D$3+1,1,1)-DATE(Voorblad!$D$3,(L22),J22))*(H22-(2*I22)))/365,((DATE(Voorblad!$D$3,(M22),J22)-DATE(Voorblad!$D$3,(L22),J22))*(H22-(2*I22)))/Voorblad!L$3)))</f>
        <v>0</v>
      </c>
      <c r="G61" s="1412"/>
      <c r="H61" s="506">
        <f>IF(M22=0,0,(IF(N22=0,((DATE(Voorblad!D$3+1,1,1)-DATE(Voorblad!$D$3,(M22),J22))*(H22-(3*I22)))/Voorblad!L$3,((DATE(Voorblad!$D$3,(N22),J22)-DATE(Voorblad!$D$3,(M22),J22))*(H22-(3*I22)))/Voorblad!L$3)))</f>
        <v>0</v>
      </c>
      <c r="I61" s="1412">
        <f>IF(N22=0,0,(IF(O22=0,((DATE(Voorblad!D$3+1,1,1)-DATE(Voorblad!$D$3,(N22),J22))*(H22-(4*I22)))/Voorblad!L$3,((DATE(Voorblad!$D$3,(O22),J22)-DATE(Voorblad!$D$3,(N22),J22))*(H22-(4*I22)))/Voorblad!L$3)))</f>
        <v>0</v>
      </c>
      <c r="J61" s="1412"/>
      <c r="K61" s="1412">
        <f>IF(O22=0,0,(IF(P22=0,((DATE(Voorblad!D$3+1,1,1)-DATE(Voorblad!$D$3,(O22),J22))*(H22-(5*I22)))/Voorblad!L$3,((DATE(Voorblad!$D$3,(P22),J22)-DATE(Voorblad!$D$3,(O22),J22))*(H22-(5*I22)))/Voorblad!L$3)))</f>
        <v>0</v>
      </c>
      <c r="L61" s="1412"/>
      <c r="M61" s="1412"/>
      <c r="N61" s="1412"/>
      <c r="O61" s="1412"/>
      <c r="P61" s="1412"/>
      <c r="Q61" s="507">
        <f>IF(P22=0,0,((DATE(Voorblad!D$3+1,1,1)-DATE(Voorblad!$D$3,(P22),J22))*(H22-(6*I22)))/Voorblad!L$3)</f>
        <v>0</v>
      </c>
      <c r="R61" s="579">
        <f>SUM(B61:Q61)</f>
        <v>0</v>
      </c>
      <c r="S61" s="573">
        <f t="shared" si="18"/>
        <v>0</v>
      </c>
      <c r="T61"/>
      <c r="U61"/>
      <c r="V61"/>
      <c r="W61"/>
      <c r="X61"/>
      <c r="Y61"/>
      <c r="Z61"/>
      <c r="AA61" s="508"/>
      <c r="AB61" s="508"/>
    </row>
    <row r="62" spans="1:28" s="505" customFormat="1" ht="12.75" customHeight="1">
      <c r="A62" s="778">
        <f t="shared" si="21"/>
        <v>2216</v>
      </c>
      <c r="B62" s="1410">
        <f>IF(I23=0,H23,(((DATE(Voorblad!$D$3,K23,J23)-DATE(Voorblad!$D$3,1,1))*H23)/Voorblad!L$3))</f>
        <v>0</v>
      </c>
      <c r="C62" s="1410"/>
      <c r="D62" s="1412">
        <f>IF(K23=0,0,(IF(L23=0,((DATE(Voorblad!D$3+1,1,1)-DATE(Voorblad!$D$3,(K23),J23))*(H23-(1*I23)))/Voorblad!L$3,((DATE(Voorblad!$D$3,(L23),J23)-DATE(Voorblad!$D$3,(K23),J23))*(H23-(1*I23)))/Voorblad!L$3)))</f>
        <v>0</v>
      </c>
      <c r="E62" s="1412"/>
      <c r="F62" s="1412">
        <f>IF(L23=0,0,(IF(M23=0,((DATE(Voorblad!D$3+1,1,1)-DATE(Voorblad!$D$3,(L23),J23))*(H23-(2*I23)))/365,((DATE(Voorblad!$D$3,(M23),J23)-DATE(Voorblad!$D$3,(L23),J23))*(H23-(2*I23)))/Voorblad!L$3)))</f>
        <v>0</v>
      </c>
      <c r="G62" s="1412"/>
      <c r="H62" s="506">
        <f>IF(M23=0,0,(IF(N23=0,((DATE(Voorblad!D$3+1,1,1)-DATE(Voorblad!$D$3,(M23),J23))*(H23-(3*I23)))/Voorblad!L$3,((DATE(Voorblad!$D$3,(N23),J23)-DATE(Voorblad!$D$3,(M23),J23))*(H23-(3*I23)))/Voorblad!L$3)))</f>
        <v>0</v>
      </c>
      <c r="I62" s="1412">
        <f>IF(N23=0,0,(IF(O23=0,((DATE(Voorblad!D$3+1,1,1)-DATE(Voorblad!$D$3,(N23),J23))*(H23-(4*I23)))/Voorblad!L$3,((DATE(Voorblad!$D$3,(O23),J23)-DATE(Voorblad!$D$3,(N23),J23))*(H23-(4*I23)))/Voorblad!L$3)))</f>
        <v>0</v>
      </c>
      <c r="J62" s="1412"/>
      <c r="K62" s="1412">
        <f>IF(O23=0,0,(IF(P23=0,((DATE(Voorblad!D$3+1,1,1)-DATE(Voorblad!$D$3,(O23),J23))*(H23-(5*I23)))/Voorblad!L$3,((DATE(Voorblad!$D$3,(P23),J23)-DATE(Voorblad!$D$3,(O23),J23))*(H23-(5*I23)))/Voorblad!L$3)))</f>
        <v>0</v>
      </c>
      <c r="L62" s="1412"/>
      <c r="M62" s="1412"/>
      <c r="N62" s="1412"/>
      <c r="O62" s="1412"/>
      <c r="P62" s="1412"/>
      <c r="Q62" s="507">
        <f>IF(P23=0,0,((DATE(Voorblad!D$3+1,1,1)-DATE(Voorblad!$D$3,(P23),J23))*(H23-(6*I23)))/Voorblad!L$3)</f>
        <v>0</v>
      </c>
      <c r="R62" s="579">
        <f aca="true" t="shared" si="22" ref="R62:R73">SUM(B62:Q62)</f>
        <v>0</v>
      </c>
      <c r="S62" s="573">
        <f t="shared" si="18"/>
        <v>0</v>
      </c>
      <c r="T62"/>
      <c r="U62"/>
      <c r="V62"/>
      <c r="W62"/>
      <c r="X62"/>
      <c r="Y62"/>
      <c r="Z62"/>
      <c r="AA62" s="508">
        <f t="shared" si="19"/>
        <v>0</v>
      </c>
      <c r="AB62" s="508">
        <f t="shared" si="20"/>
        <v>0</v>
      </c>
    </row>
    <row r="63" spans="1:28" s="505" customFormat="1" ht="12.75" customHeight="1">
      <c r="A63" s="778">
        <f t="shared" si="21"/>
        <v>2217</v>
      </c>
      <c r="B63" s="1410">
        <f>IF(I24=0,H24,(((DATE(Voorblad!$D$3,K24,J24)-DATE(Voorblad!$D$3,1,1))*H24)/Voorblad!L$3))</f>
        <v>0</v>
      </c>
      <c r="C63" s="1410"/>
      <c r="D63" s="1412">
        <f>IF(K24=0,0,(IF(L24=0,((DATE(Voorblad!D$3+1,1,1)-DATE(Voorblad!$D$3,(K24),J24))*(H24-(1*I24)))/Voorblad!L$3,((DATE(Voorblad!$D$3,(L24),J24)-DATE(Voorblad!$D$3,(K24),J24))*(H24-(1*I24)))/Voorblad!L$3)))</f>
        <v>0</v>
      </c>
      <c r="E63" s="1412"/>
      <c r="F63" s="1412">
        <f>IF(L24=0,0,(IF(M24=0,((DATE(Voorblad!D$3+1,1,1)-DATE(Voorblad!$D$3,(L24),J24))*(H24-(2*I24)))/365,((DATE(Voorblad!$D$3,(M24),J24)-DATE(Voorblad!$D$3,(L24),J24))*(H24-(2*I24)))/Voorblad!L$3)))</f>
        <v>0</v>
      </c>
      <c r="G63" s="1412"/>
      <c r="H63" s="506">
        <f>IF(M24=0,0,(IF(N24=0,((DATE(Voorblad!D$3+1,1,1)-DATE(Voorblad!$D$3,(M24),J24))*(H24-(3*I24)))/Voorblad!L$3,((DATE(Voorblad!$D$3,(N24),J24)-DATE(Voorblad!$D$3,(M24),J24))*(H24-(3*I24)))/Voorblad!L$3)))</f>
        <v>0</v>
      </c>
      <c r="I63" s="1412">
        <f>IF(N24=0,0,(IF(O24=0,((DATE(Voorblad!D$3+1,1,1)-DATE(Voorblad!$D$3,(N24),J24))*(H24-(4*I24)))/Voorblad!L$3,((DATE(Voorblad!$D$3,(O24),J24)-DATE(Voorblad!$D$3,(N24),J24))*(H24-(4*I24)))/Voorblad!L$3)))</f>
        <v>0</v>
      </c>
      <c r="J63" s="1412"/>
      <c r="K63" s="1412">
        <f>IF(O24=0,0,(IF(P24=0,((DATE(Voorblad!D$3+1,1,1)-DATE(Voorblad!$D$3,(O24),J24))*(H24-(5*I24)))/Voorblad!L$3,((DATE(Voorblad!$D$3,(P24),J24)-DATE(Voorblad!$D$3,(O24),J24))*(H24-(5*I24)))/Voorblad!L$3)))</f>
        <v>0</v>
      </c>
      <c r="L63" s="1412"/>
      <c r="M63" s="1412"/>
      <c r="N63" s="1412"/>
      <c r="O63" s="1412"/>
      <c r="P63" s="1412"/>
      <c r="Q63" s="507">
        <f>IF(P24=0,0,((DATE(Voorblad!D$3+1,1,1)-DATE(Voorblad!$D$3,(P24),J24))*(H24-(6*I24)))/Voorblad!L$3)</f>
        <v>0</v>
      </c>
      <c r="R63" s="579">
        <f t="shared" si="22"/>
        <v>0</v>
      </c>
      <c r="S63" s="573">
        <f t="shared" si="18"/>
        <v>0</v>
      </c>
      <c r="T63"/>
      <c r="U63"/>
      <c r="V63"/>
      <c r="W63"/>
      <c r="X63"/>
      <c r="Y63"/>
      <c r="Z63"/>
      <c r="AA63" s="508">
        <f t="shared" si="19"/>
        <v>0</v>
      </c>
      <c r="AB63" s="508">
        <f t="shared" si="20"/>
        <v>0</v>
      </c>
    </row>
    <row r="64" spans="1:28" s="505" customFormat="1" ht="12.75" customHeight="1">
      <c r="A64" s="778">
        <f t="shared" si="21"/>
        <v>2218</v>
      </c>
      <c r="B64" s="1410">
        <f>IF(I25=0,H25,(((DATE(Voorblad!$D$3,K25,J25)-DATE(Voorblad!$D$3,1,1))*H25)/Voorblad!L$3))</f>
        <v>0</v>
      </c>
      <c r="C64" s="1410"/>
      <c r="D64" s="1412">
        <f>IF(K25=0,0,(IF(L25=0,((DATE(Voorblad!D$3+1,1,1)-DATE(Voorblad!$D$3,(K25),J25))*(H25-(1*I25)))/Voorblad!L$3,((DATE(Voorblad!$D$3,(L25),J25)-DATE(Voorblad!$D$3,(K25),J25))*(H25-(1*I25)))/Voorblad!L$3)))</f>
        <v>0</v>
      </c>
      <c r="E64" s="1412"/>
      <c r="F64" s="1412">
        <f>IF(L25=0,0,(IF(M25=0,((DATE(Voorblad!D$3+1,1,1)-DATE(Voorblad!$D$3,(L25),J25))*(H25-(2*I25)))/365,((DATE(Voorblad!$D$3,(M25),J25)-DATE(Voorblad!$D$3,(L25),J25))*(H25-(2*I25)))/Voorblad!L$3)))</f>
        <v>0</v>
      </c>
      <c r="G64" s="1412"/>
      <c r="H64" s="506">
        <f>IF(M25=0,0,(IF(N25=0,((DATE(Voorblad!D$3+1,1,1)-DATE(Voorblad!$D$3,(M25),J25))*(H25-(3*I25)))/Voorblad!L$3,((DATE(Voorblad!$D$3,(N25),J25)-DATE(Voorblad!$D$3,(M25),J25))*(H25-(3*I25)))/Voorblad!L$3)))</f>
        <v>0</v>
      </c>
      <c r="I64" s="1412">
        <f>IF(N25=0,0,(IF(O25=0,((DATE(Voorblad!D$3+1,1,1)-DATE(Voorblad!$D$3,(N25),J25))*(H25-(4*I25)))/Voorblad!L$3,((DATE(Voorblad!$D$3,(O25),J25)-DATE(Voorblad!$D$3,(N25),J25))*(H25-(4*I25)))/Voorblad!L$3)))</f>
        <v>0</v>
      </c>
      <c r="J64" s="1412"/>
      <c r="K64" s="1412">
        <f>IF(O25=0,0,(IF(P25=0,((DATE(Voorblad!D$3+1,1,1)-DATE(Voorblad!$D$3,(O25),J25))*(H25-(5*I25)))/Voorblad!L$3,((DATE(Voorblad!$D$3,(P25),J25)-DATE(Voorblad!$D$3,(O25),J25))*(H25-(5*I25)))/Voorblad!L$3)))</f>
        <v>0</v>
      </c>
      <c r="L64" s="1412"/>
      <c r="M64" s="1412"/>
      <c r="N64" s="1412"/>
      <c r="O64" s="1412"/>
      <c r="P64" s="1412"/>
      <c r="Q64" s="507">
        <f>IF(P25=0,0,((DATE(Voorblad!D$3+1,1,1)-DATE(Voorblad!$D$3,(P25),J25))*(H25-(6*I25)))/Voorblad!L$3)</f>
        <v>0</v>
      </c>
      <c r="R64" s="579">
        <f t="shared" si="22"/>
        <v>0</v>
      </c>
      <c r="S64" s="573">
        <f t="shared" si="18"/>
        <v>0</v>
      </c>
      <c r="T64"/>
      <c r="U64"/>
      <c r="V64"/>
      <c r="W64"/>
      <c r="X64"/>
      <c r="Y64"/>
      <c r="Z64"/>
      <c r="AA64" s="508">
        <f t="shared" si="19"/>
        <v>0</v>
      </c>
      <c r="AB64" s="508">
        <f t="shared" si="20"/>
        <v>0</v>
      </c>
    </row>
    <row r="65" spans="1:28" s="505" customFormat="1" ht="12.75" customHeight="1">
      <c r="A65" s="778">
        <f t="shared" si="21"/>
        <v>2219</v>
      </c>
      <c r="B65" s="1410">
        <f>IF(I26=0,H26,(((DATE(Voorblad!$D$3,K26,J26)-DATE(Voorblad!$D$3,1,1))*H26)/Voorblad!L$3))</f>
        <v>0</v>
      </c>
      <c r="C65" s="1410"/>
      <c r="D65" s="1412">
        <f>IF(K26=0,0,(IF(L26=0,((DATE(Voorblad!D$3+1,1,1)-DATE(Voorblad!$D$3,(K26),J26))*(H26-(1*I26)))/Voorblad!L$3,((DATE(Voorblad!$D$3,(L26),J26)-DATE(Voorblad!$D$3,(K26),J26))*(H26-(1*I26)))/Voorblad!L$3)))</f>
        <v>0</v>
      </c>
      <c r="E65" s="1412"/>
      <c r="F65" s="1412">
        <f>IF(L26=0,0,(IF(M26=0,((DATE(Voorblad!D$3+1,1,1)-DATE(Voorblad!$D$3,(L26),J26))*(H26-(2*I26)))/365,((DATE(Voorblad!$D$3,(M26),J26)-DATE(Voorblad!$D$3,(L26),J26))*(H26-(2*I26)))/Voorblad!L$3)))</f>
        <v>0</v>
      </c>
      <c r="G65" s="1412"/>
      <c r="H65" s="506">
        <f>IF(M26=0,0,(IF(N26=0,((DATE(Voorblad!D$3+1,1,1)-DATE(Voorblad!$D$3,(M26),J26))*(H26-(3*I26)))/Voorblad!L$3,((DATE(Voorblad!$D$3,(N26),J26)-DATE(Voorblad!$D$3,(M26),J26))*(H26-(3*I26)))/Voorblad!L$3)))</f>
        <v>0</v>
      </c>
      <c r="I65" s="1412">
        <f>IF(N26=0,0,(IF(O26=0,((DATE(Voorblad!D$3+1,1,1)-DATE(Voorblad!$D$3,(N26),J26))*(H26-(4*I26)))/Voorblad!L$3,((DATE(Voorblad!$D$3,(O26),J26)-DATE(Voorblad!$D$3,(N26),J26))*(H26-(4*I26)))/Voorblad!L$3)))</f>
        <v>0</v>
      </c>
      <c r="J65" s="1412"/>
      <c r="K65" s="1412">
        <f>IF(O26=0,0,(IF(P26=0,((DATE(Voorblad!D$3+1,1,1)-DATE(Voorblad!$D$3,(O26),J26))*(H26-(5*I26)))/Voorblad!L$3,((DATE(Voorblad!$D$3,(P26),J26)-DATE(Voorblad!$D$3,(O26),J26))*(H26-(5*I26)))/Voorblad!L$3)))</f>
        <v>0</v>
      </c>
      <c r="L65" s="1412"/>
      <c r="M65" s="1412"/>
      <c r="N65" s="1412"/>
      <c r="O65" s="1412"/>
      <c r="P65" s="1412"/>
      <c r="Q65" s="507">
        <f>IF(P26=0,0,((DATE(Voorblad!D$3+1,1,1)-DATE(Voorblad!$D$3,(P26),J26))*(H26-(6*I26)))/Voorblad!L$3)</f>
        <v>0</v>
      </c>
      <c r="R65" s="579">
        <f t="shared" si="22"/>
        <v>0</v>
      </c>
      <c r="S65" s="573">
        <f t="shared" si="18"/>
        <v>0</v>
      </c>
      <c r="T65"/>
      <c r="U65"/>
      <c r="V65"/>
      <c r="W65"/>
      <c r="X65"/>
      <c r="Y65"/>
      <c r="Z65"/>
      <c r="AA65" s="508">
        <f t="shared" si="19"/>
        <v>0</v>
      </c>
      <c r="AB65" s="508">
        <f t="shared" si="20"/>
        <v>0</v>
      </c>
    </row>
    <row r="66" spans="1:28" s="505" customFormat="1" ht="12.75" customHeight="1">
      <c r="A66" s="778">
        <f t="shared" si="21"/>
        <v>2220</v>
      </c>
      <c r="B66" s="1410">
        <f>IF(I27=0,H27,(((DATE(Voorblad!$D$3,K27,J27)-DATE(Voorblad!$D$3,1,1))*H27)/Voorblad!L$3))</f>
        <v>0</v>
      </c>
      <c r="C66" s="1410"/>
      <c r="D66" s="1412">
        <f>IF(K27=0,0,(IF(L27=0,((DATE(Voorblad!D$3+1,1,1)-DATE(Voorblad!$D$3,(K27),J27))*(H27-(1*I27)))/Voorblad!L$3,((DATE(Voorblad!$D$3,(L27),J27)-DATE(Voorblad!$D$3,(K27),J27))*(H27-(1*I27)))/Voorblad!L$3)))</f>
        <v>0</v>
      </c>
      <c r="E66" s="1412"/>
      <c r="F66" s="1412">
        <f>IF(L27=0,0,(IF(M27=0,((DATE(Voorblad!D$3+1,1,1)-DATE(Voorblad!$D$3,(L27),J27))*(H27-(2*I27)))/365,((DATE(Voorblad!$D$3,(M27),J27)-DATE(Voorblad!$D$3,(L27),J27))*(H27-(2*I27)))/Voorblad!L$3)))</f>
        <v>0</v>
      </c>
      <c r="G66" s="1412"/>
      <c r="H66" s="506">
        <f>IF(M27=0,0,(IF(N27=0,((DATE(Voorblad!D$3+1,1,1)-DATE(Voorblad!$D$3,(M27),J27))*(H27-(3*I27)))/Voorblad!L$3,((DATE(Voorblad!$D$3,(N27),J27)-DATE(Voorblad!$D$3,(M27),J27))*(H27-(3*I27)))/Voorblad!L$3)))</f>
        <v>0</v>
      </c>
      <c r="I66" s="1412">
        <f>IF(N27=0,0,(IF(O27=0,((DATE(Voorblad!D$3+1,1,1)-DATE(Voorblad!$D$3,(N27),J27))*(H27-(4*I27)))/Voorblad!L$3,((DATE(Voorblad!$D$3,(O27),J27)-DATE(Voorblad!$D$3,(N27),J27))*(H27-(4*I27)))/Voorblad!L$3)))</f>
        <v>0</v>
      </c>
      <c r="J66" s="1412"/>
      <c r="K66" s="1412">
        <f>IF(O27=0,0,(IF(P27=0,((DATE(Voorblad!D$3+1,1,1)-DATE(Voorblad!$D$3,(O27),J27))*(H27-(5*I27)))/Voorblad!L$3,((DATE(Voorblad!$D$3,(P27),J27)-DATE(Voorblad!$D$3,(O27),J27))*(H27-(5*I27)))/Voorblad!L$3)))</f>
        <v>0</v>
      </c>
      <c r="L66" s="1412"/>
      <c r="M66" s="1412"/>
      <c r="N66" s="1412"/>
      <c r="O66" s="1412"/>
      <c r="P66" s="1412"/>
      <c r="Q66" s="507">
        <f>IF(P27=0,0,((DATE(Voorblad!D$3+1,1,1)-DATE(Voorblad!$D$3,(P27),J27))*(H27-(6*I27)))/Voorblad!L$3)</f>
        <v>0</v>
      </c>
      <c r="R66" s="579">
        <f t="shared" si="22"/>
        <v>0</v>
      </c>
      <c r="S66" s="573">
        <f t="shared" si="18"/>
        <v>0</v>
      </c>
      <c r="T66"/>
      <c r="U66"/>
      <c r="V66"/>
      <c r="W66"/>
      <c r="X66"/>
      <c r="Y66"/>
      <c r="Z66"/>
      <c r="AA66" s="508">
        <f t="shared" si="19"/>
        <v>0</v>
      </c>
      <c r="AB66" s="508">
        <f t="shared" si="20"/>
        <v>0</v>
      </c>
    </row>
    <row r="67" spans="1:28" s="505" customFormat="1" ht="12.75" customHeight="1">
      <c r="A67" s="778">
        <f t="shared" si="21"/>
        <v>2221</v>
      </c>
      <c r="B67" s="1410">
        <f>IF(I28=0,H28,(((DATE(Voorblad!$D$3,K28,J28)-DATE(Voorblad!$D$3,1,1))*H28)/Voorblad!L$3))</f>
        <v>0</v>
      </c>
      <c r="C67" s="1410"/>
      <c r="D67" s="1412">
        <f>IF(K28=0,0,(IF(L28=0,((DATE(Voorblad!D$3+1,1,1)-DATE(Voorblad!$D$3,(K28),J28))*(H28-(1*I28)))/Voorblad!L$3,((DATE(Voorblad!$D$3,(L28),J28)-DATE(Voorblad!$D$3,(K28),J28))*(H28-(1*I28)))/Voorblad!L$3)))</f>
        <v>0</v>
      </c>
      <c r="E67" s="1412"/>
      <c r="F67" s="1412">
        <f>IF(L28=0,0,(IF(M28=0,((DATE(Voorblad!D$3+1,1,1)-DATE(Voorblad!$D$3,(L28),J28))*(H28-(2*I28)))/365,((DATE(Voorblad!$D$3,(M28),J28)-DATE(Voorblad!$D$3,(L28),J28))*(H28-(2*I28)))/Voorblad!L$3)))</f>
        <v>0</v>
      </c>
      <c r="G67" s="1412"/>
      <c r="H67" s="506">
        <f>IF(M28=0,0,(IF(N28=0,((DATE(Voorblad!D$3+1,1,1)-DATE(Voorblad!$D$3,(M28),J28))*(H28-(3*I28)))/Voorblad!L$3,((DATE(Voorblad!$D$3,(N28),J28)-DATE(Voorblad!$D$3,(M28),J28))*(H28-(3*I28)))/Voorblad!L$3)))</f>
        <v>0</v>
      </c>
      <c r="I67" s="1412">
        <f>IF(N28=0,0,(IF(O28=0,((DATE(Voorblad!D$3+1,1,1)-DATE(Voorblad!$D$3,(N28),J28))*(H28-(4*I28)))/Voorblad!L$3,((DATE(Voorblad!$D$3,(O28),J28)-DATE(Voorblad!$D$3,(N28),J28))*(H28-(4*I28)))/Voorblad!L$3)))</f>
        <v>0</v>
      </c>
      <c r="J67" s="1412"/>
      <c r="K67" s="1412">
        <f>IF(O28=0,0,(IF(P28=0,((DATE(Voorblad!D$3+1,1,1)-DATE(Voorblad!$D$3,(O28),J28))*(H28-(5*I28)))/Voorblad!L$3,((DATE(Voorblad!$D$3,(P28),J28)-DATE(Voorblad!$D$3,(O28),J28))*(H28-(5*I28)))/Voorblad!L$3)))</f>
        <v>0</v>
      </c>
      <c r="L67" s="1412"/>
      <c r="M67" s="1412"/>
      <c r="N67" s="1412"/>
      <c r="O67" s="1412"/>
      <c r="P67" s="1412"/>
      <c r="Q67" s="507">
        <f>IF(P28=0,0,((DATE(Voorblad!D$3+1,1,1)-DATE(Voorblad!$D$3,(P28),J28))*(H28-(6*I28)))/Voorblad!L$3)</f>
        <v>0</v>
      </c>
      <c r="R67" s="579">
        <f t="shared" si="22"/>
        <v>0</v>
      </c>
      <c r="S67" s="573">
        <f t="shared" si="18"/>
        <v>0</v>
      </c>
      <c r="T67"/>
      <c r="U67"/>
      <c r="V67"/>
      <c r="W67"/>
      <c r="X67"/>
      <c r="Y67"/>
      <c r="Z67"/>
      <c r="AA67" s="508">
        <f t="shared" si="19"/>
        <v>0</v>
      </c>
      <c r="AB67" s="508">
        <f t="shared" si="20"/>
        <v>0</v>
      </c>
    </row>
    <row r="68" spans="1:28" s="505" customFormat="1" ht="12.75" customHeight="1">
      <c r="A68" s="778">
        <f t="shared" si="21"/>
        <v>2222</v>
      </c>
      <c r="B68" s="1410">
        <f>IF(I29=0,H29,(((DATE(Voorblad!$D$3,K29,J29)-DATE(Voorblad!$D$3,1,1))*H29)/Voorblad!L$3))</f>
        <v>0</v>
      </c>
      <c r="C68" s="1410"/>
      <c r="D68" s="1412">
        <f>IF(K29=0,0,(IF(L29=0,((DATE(Voorblad!D$3+1,1,1)-DATE(Voorblad!$D$3,(K29),J29))*(H29-(1*I29)))/Voorblad!L$3,((DATE(Voorblad!$D$3,(L29),J29)-DATE(Voorblad!$D$3,(K29),J29))*(H29-(1*I29)))/Voorblad!L$3)))</f>
        <v>0</v>
      </c>
      <c r="E68" s="1412"/>
      <c r="F68" s="1412">
        <f>IF(L29=0,0,(IF(M29=0,((DATE(Voorblad!D$3+1,1,1)-DATE(Voorblad!$D$3,(L29),J29))*(H29-(2*I29)))/365,((DATE(Voorblad!$D$3,(M29),J29)-DATE(Voorblad!$D$3,(L29),J29))*(H29-(2*I29)))/Voorblad!L$3)))</f>
        <v>0</v>
      </c>
      <c r="G68" s="1412"/>
      <c r="H68" s="506">
        <f>IF(M29=0,0,(IF(N29=0,((DATE(Voorblad!D$3+1,1,1)-DATE(Voorblad!$D$3,(M29),J29))*(H29-(3*I29)))/Voorblad!L$3,((DATE(Voorblad!$D$3,(N29),J29)-DATE(Voorblad!$D$3,(M29),J29))*(H29-(3*I29)))/Voorblad!L$3)))</f>
        <v>0</v>
      </c>
      <c r="I68" s="1412">
        <f>IF(N29=0,0,(IF(O29=0,((DATE(Voorblad!D$3+1,1,1)-DATE(Voorblad!$D$3,(N29),J29))*(H29-(4*I29)))/Voorblad!L$3,((DATE(Voorblad!$D$3,(O29),J29)-DATE(Voorblad!$D$3,(N29),J29))*(H29-(4*I29)))/Voorblad!L$3)))</f>
        <v>0</v>
      </c>
      <c r="J68" s="1412"/>
      <c r="K68" s="1412">
        <f>IF(O29=0,0,(IF(P29=0,((DATE(Voorblad!D$3+1,1,1)-DATE(Voorblad!$D$3,(O29),J29))*(H29-(5*I29)))/Voorblad!L$3,((DATE(Voorblad!$D$3,(P29),J29)-DATE(Voorblad!$D$3,(O29),J29))*(H29-(5*I29)))/Voorblad!L$3)))</f>
        <v>0</v>
      </c>
      <c r="L68" s="1412"/>
      <c r="M68" s="1412"/>
      <c r="N68" s="1412"/>
      <c r="O68" s="1412"/>
      <c r="P68" s="1412"/>
      <c r="Q68" s="507">
        <f>IF(P29=0,0,((DATE(Voorblad!D$3+1,1,1)-DATE(Voorblad!$D$3,(P29),J29))*(H29-(6*I29)))/Voorblad!L$3)</f>
        <v>0</v>
      </c>
      <c r="R68" s="579">
        <f t="shared" si="22"/>
        <v>0</v>
      </c>
      <c r="S68" s="573">
        <f t="shared" si="18"/>
        <v>0</v>
      </c>
      <c r="T68"/>
      <c r="U68"/>
      <c r="V68"/>
      <c r="W68"/>
      <c r="X68"/>
      <c r="Y68"/>
      <c r="Z68"/>
      <c r="AA68" s="508">
        <f t="shared" si="19"/>
        <v>0</v>
      </c>
      <c r="AB68" s="508">
        <f t="shared" si="20"/>
        <v>0</v>
      </c>
    </row>
    <row r="69" spans="1:28" s="505" customFormat="1" ht="12.75" customHeight="1">
      <c r="A69" s="778">
        <f t="shared" si="21"/>
        <v>2223</v>
      </c>
      <c r="B69" s="1410">
        <f>IF(I30=0,H30,(((DATE(Voorblad!$D$3,K30,J30)-DATE(Voorblad!$D$3,1,1))*H30)/Voorblad!L$3))</f>
        <v>0</v>
      </c>
      <c r="C69" s="1410"/>
      <c r="D69" s="1412">
        <f>IF(K30=0,0,(IF(L30=0,((DATE(Voorblad!D$3+1,1,1)-DATE(Voorblad!$D$3,(K30),J30))*(H30-(1*I30)))/Voorblad!L$3,((DATE(Voorblad!$D$3,(L30),J30)-DATE(Voorblad!$D$3,(K30),J30))*(H30-(1*I30)))/Voorblad!L$3)))</f>
        <v>0</v>
      </c>
      <c r="E69" s="1412"/>
      <c r="F69" s="1412">
        <f>IF(L30=0,0,(IF(M30=0,((DATE(Voorblad!D$3+1,1,1)-DATE(Voorblad!$D$3,(L30),J30))*(H30-(2*I30)))/365,((DATE(Voorblad!$D$3,(M30),J30)-DATE(Voorblad!$D$3,(L30),J30))*(H30-(2*I30)))/Voorblad!L$3)))</f>
        <v>0</v>
      </c>
      <c r="G69" s="1412"/>
      <c r="H69" s="506">
        <f>IF(M30=0,0,(IF(N30=0,((DATE(Voorblad!D$3+1,1,1)-DATE(Voorblad!$D$3,(M30),J30))*(H30-(3*I30)))/Voorblad!L$3,((DATE(Voorblad!$D$3,(N30),J30)-DATE(Voorblad!$D$3,(M30),J30))*(H30-(3*I30)))/Voorblad!L$3)))</f>
        <v>0</v>
      </c>
      <c r="I69" s="1412">
        <f>IF(N30=0,0,(IF(O30=0,((DATE(Voorblad!D$3+1,1,1)-DATE(Voorblad!$D$3,(N30),J30))*(H30-(4*I30)))/Voorblad!L$3,((DATE(Voorblad!$D$3,(O30),J30)-DATE(Voorblad!$D$3,(N30),J30))*(H30-(4*I30)))/Voorblad!L$3)))</f>
        <v>0</v>
      </c>
      <c r="J69" s="1412"/>
      <c r="K69" s="1412">
        <f>IF(O30=0,0,(IF(P30=0,((DATE(Voorblad!D$3+1,1,1)-DATE(Voorblad!$D$3,(O30),J30))*(H30-(5*I30)))/Voorblad!L$3,((DATE(Voorblad!$D$3,(P30),J30)-DATE(Voorblad!$D$3,(O30),J30))*(H30-(5*I30)))/Voorblad!L$3)))</f>
        <v>0</v>
      </c>
      <c r="L69" s="1412"/>
      <c r="M69" s="1412"/>
      <c r="N69" s="1412"/>
      <c r="O69" s="1412"/>
      <c r="P69" s="1412"/>
      <c r="Q69" s="507">
        <f>IF(P30=0,0,((DATE(Voorblad!D$3+1,1,1)-DATE(Voorblad!$D$3,(P30),J30))*(H30-(6*I30)))/Voorblad!L$3)</f>
        <v>0</v>
      </c>
      <c r="R69" s="579">
        <f t="shared" si="22"/>
        <v>0</v>
      </c>
      <c r="S69" s="573">
        <f t="shared" si="18"/>
        <v>0</v>
      </c>
      <c r="T69"/>
      <c r="U69"/>
      <c r="V69"/>
      <c r="W69"/>
      <c r="X69"/>
      <c r="Y69"/>
      <c r="Z69"/>
      <c r="AA69" s="508">
        <f t="shared" si="19"/>
        <v>0</v>
      </c>
      <c r="AB69" s="508">
        <f t="shared" si="20"/>
        <v>0</v>
      </c>
    </row>
    <row r="70" spans="1:28" s="505" customFormat="1" ht="12.75" customHeight="1">
      <c r="A70" s="778">
        <f t="shared" si="21"/>
        <v>2224</v>
      </c>
      <c r="B70" s="1410">
        <f>IF(I31=0,H31,(((DATE(Voorblad!$D$3,K31,J31)-DATE(Voorblad!$D$3,1,1))*H31)/Voorblad!L$3))</f>
        <v>0</v>
      </c>
      <c r="C70" s="1410"/>
      <c r="D70" s="1412">
        <f>IF(K31=0,0,(IF(L31=0,((DATE(Voorblad!D$3+1,1,1)-DATE(Voorblad!$D$3,(K31),J31))*(H31-(1*I31)))/Voorblad!L$3,((DATE(Voorblad!$D$3,(L31),J31)-DATE(Voorblad!$D$3,(K31),J31))*(H31-(1*I31)))/Voorblad!L$3)))</f>
        <v>0</v>
      </c>
      <c r="E70" s="1412"/>
      <c r="F70" s="1412">
        <f>IF(L31=0,0,(IF(M31=0,((DATE(Voorblad!D$3+1,1,1)-DATE(Voorblad!$D$3,(L31),J31))*(H31-(2*I31)))/365,((DATE(Voorblad!$D$3,(M31),J31)-DATE(Voorblad!$D$3,(L31),J31))*(H31-(2*I31)))/Voorblad!L$3)))</f>
        <v>0</v>
      </c>
      <c r="G70" s="1412"/>
      <c r="H70" s="506">
        <f>IF(M31=0,0,(IF(N31=0,((DATE(Voorblad!D$3+1,1,1)-DATE(Voorblad!$D$3,(M31),J31))*(H31-(3*I31)))/Voorblad!L$3,((DATE(Voorblad!$D$3,(N31),J31)-DATE(Voorblad!$D$3,(M31),J31))*(H31-(3*I31)))/Voorblad!L$3)))</f>
        <v>0</v>
      </c>
      <c r="I70" s="1412">
        <f>IF(N31=0,0,(IF(O31=0,((DATE(Voorblad!D$3+1,1,1)-DATE(Voorblad!$D$3,(N31),J31))*(H31-(4*I31)))/Voorblad!L$3,((DATE(Voorblad!$D$3,(O31),J31)-DATE(Voorblad!$D$3,(N31),J31))*(H31-(4*I31)))/Voorblad!L$3)))</f>
        <v>0</v>
      </c>
      <c r="J70" s="1412"/>
      <c r="K70" s="1412">
        <f>IF(O31=0,0,(IF(P31=0,((DATE(Voorblad!D$3+1,1,1)-DATE(Voorblad!$D$3,(O31),J31))*(H31-(5*I31)))/Voorblad!L$3,((DATE(Voorblad!$D$3,(P31),J31)-DATE(Voorblad!$D$3,(O31),J31))*(H31-(5*I31)))/Voorblad!L$3)))</f>
        <v>0</v>
      </c>
      <c r="L70" s="1412"/>
      <c r="M70" s="1412"/>
      <c r="N70" s="1412"/>
      <c r="O70" s="1412"/>
      <c r="P70" s="1412"/>
      <c r="Q70" s="507">
        <f>IF(P31=0,0,((DATE(Voorblad!D$3+1,1,1)-DATE(Voorblad!$D$3,(P31),J31))*(H31-(6*I31)))/Voorblad!L$3)</f>
        <v>0</v>
      </c>
      <c r="R70" s="579">
        <f t="shared" si="22"/>
        <v>0</v>
      </c>
      <c r="S70" s="573">
        <f t="shared" si="18"/>
        <v>0</v>
      </c>
      <c r="T70"/>
      <c r="U70"/>
      <c r="V70"/>
      <c r="W70"/>
      <c r="X70"/>
      <c r="Y70"/>
      <c r="Z70"/>
      <c r="AA70" s="508">
        <f t="shared" si="19"/>
        <v>0</v>
      </c>
      <c r="AB70" s="508">
        <f t="shared" si="20"/>
        <v>0</v>
      </c>
    </row>
    <row r="71" spans="1:28" s="505" customFormat="1" ht="12.75" customHeight="1">
      <c r="A71" s="778">
        <f t="shared" si="21"/>
        <v>2225</v>
      </c>
      <c r="B71" s="1410">
        <f>IF(I32=0,H32,(((DATE(Voorblad!$D$3,K32,J32)-DATE(Voorblad!$D$3,1,1))*H32)/Voorblad!L$3))</f>
        <v>0</v>
      </c>
      <c r="C71" s="1410"/>
      <c r="D71" s="1412">
        <f>IF(K32=0,0,(IF(L32=0,((DATE(Voorblad!D$3+1,1,1)-DATE(Voorblad!$D$3,(K32),J32))*(H32-(1*I32)))/Voorblad!L$3,((DATE(Voorblad!$D$3,(L32),J32)-DATE(Voorblad!$D$3,(K32),J32))*(H32-(1*I32)))/Voorblad!L$3)))</f>
        <v>0</v>
      </c>
      <c r="E71" s="1412"/>
      <c r="F71" s="1412">
        <f>IF(L32=0,0,(IF(M32=0,((DATE(Voorblad!D$3+1,1,1)-DATE(Voorblad!$D$3,(L32),J32))*(H32-(2*I32)))/365,((DATE(Voorblad!$D$3,(M32),J32)-DATE(Voorblad!$D$3,(L32),J32))*(H32-(2*I32)))/Voorblad!L$3)))</f>
        <v>0</v>
      </c>
      <c r="G71" s="1412"/>
      <c r="H71" s="506">
        <f>IF(M32=0,0,(IF(N32=0,((DATE(Voorblad!D$3+1,1,1)-DATE(Voorblad!$D$3,(M32),J32))*(H32-(3*I32)))/Voorblad!L$3,((DATE(Voorblad!$D$3,(N32),J32)-DATE(Voorblad!$D$3,(M32),J32))*(H32-(3*I32)))/Voorblad!L$3)))</f>
        <v>0</v>
      </c>
      <c r="I71" s="1412">
        <f>IF(N32=0,0,(IF(O32=0,((DATE(Voorblad!D$3+1,1,1)-DATE(Voorblad!$D$3,(N32),J32))*(H32-(4*I32)))/Voorblad!L$3,((DATE(Voorblad!$D$3,(O32),J32)-DATE(Voorblad!$D$3,(N32),J32))*(H32-(4*I32)))/Voorblad!L$3)))</f>
        <v>0</v>
      </c>
      <c r="J71" s="1412"/>
      <c r="K71" s="1412">
        <f>IF(O32=0,0,(IF(P32=0,((DATE(Voorblad!D$3+1,1,1)-DATE(Voorblad!$D$3,(O32),J32))*(H32-(5*I32)))/Voorblad!L$3,((DATE(Voorblad!$D$3,(P32),J32)-DATE(Voorblad!$D$3,(O32),J32))*(H32-(5*I32)))/Voorblad!L$3)))</f>
        <v>0</v>
      </c>
      <c r="L71" s="1412"/>
      <c r="M71" s="1412"/>
      <c r="N71" s="1412"/>
      <c r="O71" s="1412"/>
      <c r="P71" s="1412"/>
      <c r="Q71" s="507">
        <f>IF(P32=0,0,((DATE(Voorblad!D$3+1,1,1)-DATE(Voorblad!$D$3,(P32),J32))*(H32-(6*I32)))/Voorblad!L$3)</f>
        <v>0</v>
      </c>
      <c r="R71" s="579">
        <f t="shared" si="22"/>
        <v>0</v>
      </c>
      <c r="S71" s="573">
        <f t="shared" si="18"/>
        <v>0</v>
      </c>
      <c r="T71"/>
      <c r="U71"/>
      <c r="V71"/>
      <c r="W71"/>
      <c r="X71"/>
      <c r="Y71"/>
      <c r="Z71"/>
      <c r="AA71" s="508">
        <f t="shared" si="19"/>
        <v>0</v>
      </c>
      <c r="AB71" s="508">
        <f t="shared" si="20"/>
        <v>0</v>
      </c>
    </row>
    <row r="72" spans="1:28" s="505" customFormat="1" ht="12.75" customHeight="1">
      <c r="A72" s="778">
        <f t="shared" si="21"/>
        <v>2226</v>
      </c>
      <c r="B72" s="1410">
        <f>IF(I33=0,H33,(((DATE(Voorblad!$D$3,K33,J33)-DATE(Voorblad!$D$3,1,1))*H33)/Voorblad!L$3))</f>
        <v>0</v>
      </c>
      <c r="C72" s="1410"/>
      <c r="D72" s="1412">
        <f>IF(K33=0,0,(IF(L33=0,((DATE(Voorblad!D$3+1,1,1)-DATE(Voorblad!$D$3,(K33),J33))*(H33-(1*I33)))/Voorblad!L$3,((DATE(Voorblad!$D$3,(L33),J33)-DATE(Voorblad!$D$3,(K33),J33))*(H33-(1*I33)))/Voorblad!L$3)))</f>
        <v>0</v>
      </c>
      <c r="E72" s="1412"/>
      <c r="F72" s="1412">
        <f>IF(L33=0,0,(IF(M33=0,((DATE(Voorblad!D$3+1,1,1)-DATE(Voorblad!$D$3,(L33),J33))*(H33-(2*I33)))/365,((DATE(Voorblad!$D$3,(M33),J33)-DATE(Voorblad!$D$3,(L33),J33))*(H33-(2*I33)))/Voorblad!L$3)))</f>
        <v>0</v>
      </c>
      <c r="G72" s="1412"/>
      <c r="H72" s="506">
        <f>IF(M33=0,0,(IF(N33=0,((DATE(Voorblad!D$3+1,1,1)-DATE(Voorblad!$D$3,(M33),J33))*(H33-(3*I33)))/Voorblad!L$3,((DATE(Voorblad!$D$3,(N33),J33)-DATE(Voorblad!$D$3,(M33),J33))*(H33-(3*I33)))/Voorblad!L$3)))</f>
        <v>0</v>
      </c>
      <c r="I72" s="1412">
        <f>IF(N33=0,0,(IF(O33=0,((DATE(Voorblad!D$3+1,1,1)-DATE(Voorblad!$D$3,(N33),J33))*(H33-(4*I33)))/Voorblad!L$3,((DATE(Voorblad!$D$3,(O33),J33)-DATE(Voorblad!$D$3,(N33),J33))*(H33-(4*I33)))/Voorblad!L$3)))</f>
        <v>0</v>
      </c>
      <c r="J72" s="1412"/>
      <c r="K72" s="1412">
        <f>IF(O33=0,0,(IF(P33=0,((DATE(Voorblad!D$3+1,1,1)-DATE(Voorblad!$D$3,(O33),J33))*(H33-(5*I33)))/Voorblad!L$3,((DATE(Voorblad!$D$3,(P33),J33)-DATE(Voorblad!$D$3,(O33),J33))*(H33-(5*I33)))/Voorblad!L$3)))</f>
        <v>0</v>
      </c>
      <c r="L72" s="1412"/>
      <c r="M72" s="1412"/>
      <c r="N72" s="1412"/>
      <c r="O72" s="1412"/>
      <c r="P72" s="1412"/>
      <c r="Q72" s="507">
        <f>IF(P33=0,0,((DATE(Voorblad!D$3+1,1,1)-DATE(Voorblad!$D$3,(P33),J33))*(H33-(6*I33)))/Voorblad!L$3)</f>
        <v>0</v>
      </c>
      <c r="R72" s="579">
        <f t="shared" si="22"/>
        <v>0</v>
      </c>
      <c r="S72" s="573">
        <f t="shared" si="18"/>
        <v>0</v>
      </c>
      <c r="T72"/>
      <c r="U72"/>
      <c r="V72"/>
      <c r="W72"/>
      <c r="X72"/>
      <c r="Y72"/>
      <c r="Z72"/>
      <c r="AA72" s="508">
        <f t="shared" si="19"/>
        <v>0</v>
      </c>
      <c r="AB72" s="508">
        <f t="shared" si="20"/>
        <v>0</v>
      </c>
    </row>
    <row r="73" spans="1:28" s="505" customFormat="1" ht="12.75" customHeight="1">
      <c r="A73" s="778">
        <f t="shared" si="21"/>
        <v>2227</v>
      </c>
      <c r="B73" s="1411">
        <f>IF(I34=0,H34,(((DATE(Voorblad!$D$3,K34,J34)-DATE(Voorblad!$D$3,1,1))*H34)/Voorblad!L$3))</f>
        <v>0</v>
      </c>
      <c r="C73" s="1411"/>
      <c r="D73" s="1413">
        <f>IF(K34=0,0,(IF(L34=0,((DATE(Voorblad!D$3+1,1,1)-DATE(Voorblad!$D$3,(K34),J34))*(H34-(1*I34)))/Voorblad!L$3,((DATE(Voorblad!$D$3,(L34),J34)-DATE(Voorblad!$D$3,(K34),J34))*(H34-(1*I34)))/Voorblad!L$3)))</f>
        <v>0</v>
      </c>
      <c r="E73" s="1413"/>
      <c r="F73" s="1413">
        <f>IF(L34=0,0,(IF(M34=0,((DATE(Voorblad!D$3+1,1,1)-DATE(Voorblad!$D$3,(L34),J34))*(H34-(2*I34)))/365,((DATE(Voorblad!$D$3,(M34),J34)-DATE(Voorblad!$D$3,(L34),J34))*(H34-(2*I34)))/Voorblad!L$3)))</f>
        <v>0</v>
      </c>
      <c r="G73" s="1413"/>
      <c r="H73" s="779">
        <f>IF(M34=0,0,(IF(N34=0,((DATE(Voorblad!D$3+1,1,1)-DATE(Voorblad!$D$3,(M34),J34))*(H34-(3*I34)))/Voorblad!L$3,((DATE(Voorblad!$D$3,(N34),J34)-DATE(Voorblad!$D$3,(M34),J34))*(H34-(3*I34)))/Voorblad!L$3)))</f>
        <v>0</v>
      </c>
      <c r="I73" s="1413">
        <f>IF(N34=0,0,(IF(O34=0,((DATE(Voorblad!D$3+1,1,1)-DATE(Voorblad!$D$3,(N34),J34))*(H34-(4*I34)))/Voorblad!L$3,((DATE(Voorblad!$D$3,(O34),J34)-DATE(Voorblad!$D$3,(N34),J34))*(H34-(4*I34)))/Voorblad!L$3)))</f>
        <v>0</v>
      </c>
      <c r="J73" s="1413"/>
      <c r="K73" s="1413">
        <f>IF(O34=0,0,(IF(P34=0,((DATE(Voorblad!D$3+1,1,1)-DATE(Voorblad!$D$3,(O34),J34))*(H34-(5*I34)))/Voorblad!L$3,((DATE(Voorblad!$D$3,(P34),J34)-DATE(Voorblad!$D$3,(O34),J34))*(H34-(5*I34)))/Voorblad!L$3)))</f>
        <v>0</v>
      </c>
      <c r="L73" s="1413"/>
      <c r="M73" s="1413"/>
      <c r="N73" s="1413"/>
      <c r="O73" s="1413"/>
      <c r="P73" s="1413"/>
      <c r="Q73" s="780">
        <f>IF(P34=0,0,((DATE(Voorblad!D$3+1,1,1)-DATE(Voorblad!$D$3,(P34),J34))*(H34-(6*I34)))/Voorblad!L$3)</f>
        <v>0</v>
      </c>
      <c r="R73" s="784">
        <f t="shared" si="22"/>
        <v>0</v>
      </c>
      <c r="S73" s="573">
        <f t="shared" si="18"/>
        <v>0</v>
      </c>
      <c r="T73"/>
      <c r="U73"/>
      <c r="V73"/>
      <c r="W73"/>
      <c r="X73"/>
      <c r="Y73"/>
      <c r="Z73"/>
      <c r="AA73" s="508">
        <f t="shared" si="19"/>
        <v>0</v>
      </c>
      <c r="AB73" s="508">
        <f t="shared" si="20"/>
        <v>0</v>
      </c>
    </row>
    <row r="74" spans="1:28" s="505" customFormat="1" ht="12.75" customHeight="1">
      <c r="A74" s="778">
        <f t="shared" si="21"/>
        <v>2228</v>
      </c>
      <c r="B74" s="781"/>
      <c r="C74" s="782"/>
      <c r="D74" s="782"/>
      <c r="E74" s="782"/>
      <c r="F74" s="782"/>
      <c r="G74" s="782"/>
      <c r="H74" s="782"/>
      <c r="I74" s="782"/>
      <c r="J74" s="782"/>
      <c r="K74" s="782"/>
      <c r="L74" s="782"/>
      <c r="M74" s="782"/>
      <c r="N74" s="782"/>
      <c r="O74" s="782"/>
      <c r="P74" s="782"/>
      <c r="Q74" s="783"/>
      <c r="R74" s="774">
        <f>SUM(R47:R73)</f>
        <v>0</v>
      </c>
      <c r="S74" s="774">
        <f>SUM(S47:S73)</f>
        <v>0</v>
      </c>
      <c r="T74"/>
      <c r="U74"/>
      <c r="V74"/>
      <c r="W74"/>
      <c r="X74"/>
      <c r="Y74"/>
      <c r="Z74"/>
      <c r="AA74" s="508"/>
      <c r="AB74" s="508"/>
    </row>
    <row r="75" ht="12.75">
      <c r="A75" s="481"/>
    </row>
    <row r="76" spans="1:19" ht="12.75">
      <c r="A76" s="682"/>
      <c r="B76" s="683"/>
      <c r="C76" s="683"/>
      <c r="D76" s="684"/>
      <c r="E76" s="683"/>
      <c r="F76" s="683"/>
      <c r="G76" s="683"/>
      <c r="H76" s="685"/>
      <c r="I76" s="685"/>
      <c r="J76" s="685"/>
      <c r="K76" s="685"/>
      <c r="L76" s="685"/>
      <c r="M76" s="685"/>
      <c r="N76" s="685"/>
      <c r="O76" s="685"/>
      <c r="P76" s="685"/>
      <c r="Q76" s="685"/>
      <c r="R76" s="685"/>
      <c r="S76" s="683"/>
    </row>
    <row r="77" spans="1:19" ht="12.75">
      <c r="A77" s="682"/>
      <c r="B77" s="683"/>
      <c r="C77" s="683"/>
      <c r="D77" s="684"/>
      <c r="E77" s="683"/>
      <c r="F77" s="683"/>
      <c r="G77" s="683"/>
      <c r="H77" s="685"/>
      <c r="I77" s="685"/>
      <c r="J77" s="685"/>
      <c r="K77" s="685"/>
      <c r="L77" s="685"/>
      <c r="M77" s="685"/>
      <c r="N77" s="685"/>
      <c r="O77" s="685"/>
      <c r="P77" s="685"/>
      <c r="Q77" s="685"/>
      <c r="R77" s="685"/>
      <c r="S77" s="683"/>
    </row>
    <row r="78" spans="1:19" ht="12.75">
      <c r="A78" s="682"/>
      <c r="B78" s="683"/>
      <c r="C78" s="683"/>
      <c r="D78" s="684"/>
      <c r="E78" s="683"/>
      <c r="F78" s="683"/>
      <c r="G78" s="683"/>
      <c r="H78" s="685"/>
      <c r="I78" s="685"/>
      <c r="J78" s="685"/>
      <c r="K78" s="685"/>
      <c r="L78" s="685"/>
      <c r="M78" s="685"/>
      <c r="N78" s="685"/>
      <c r="O78" s="685"/>
      <c r="P78" s="685"/>
      <c r="Q78" s="685"/>
      <c r="R78" s="685"/>
      <c r="S78" s="683"/>
    </row>
    <row r="79" spans="1:19" ht="12.75">
      <c r="A79" s="682"/>
      <c r="B79" s="683"/>
      <c r="C79" s="683"/>
      <c r="D79" s="684"/>
      <c r="E79" s="683"/>
      <c r="F79" s="683"/>
      <c r="G79" s="683"/>
      <c r="H79" s="685"/>
      <c r="I79" s="685"/>
      <c r="J79" s="685"/>
      <c r="K79" s="685"/>
      <c r="L79" s="685"/>
      <c r="M79" s="685"/>
      <c r="N79" s="685"/>
      <c r="O79" s="685"/>
      <c r="P79" s="685"/>
      <c r="Q79" s="685"/>
      <c r="R79" s="685"/>
      <c r="S79" s="683"/>
    </row>
    <row r="80" spans="1:19" ht="12.75">
      <c r="A80" s="682"/>
      <c r="B80" s="683"/>
      <c r="C80" s="683"/>
      <c r="D80" s="684"/>
      <c r="E80" s="683"/>
      <c r="F80" s="683"/>
      <c r="G80" s="683"/>
      <c r="H80" s="685"/>
      <c r="I80" s="685"/>
      <c r="J80" s="685"/>
      <c r="K80" s="685"/>
      <c r="L80" s="685"/>
      <c r="M80" s="685"/>
      <c r="N80" s="685"/>
      <c r="O80" s="685"/>
      <c r="P80" s="685"/>
      <c r="Q80" s="685"/>
      <c r="R80" s="685"/>
      <c r="S80" s="683"/>
    </row>
    <row r="81" spans="1:19" ht="12.75">
      <c r="A81" s="682"/>
      <c r="B81" s="683"/>
      <c r="C81" s="683"/>
      <c r="D81" s="684"/>
      <c r="E81" s="683"/>
      <c r="F81" s="683"/>
      <c r="G81" s="683"/>
      <c r="H81" s="685"/>
      <c r="I81" s="685"/>
      <c r="J81" s="685"/>
      <c r="K81" s="685"/>
      <c r="L81" s="685"/>
      <c r="M81" s="685"/>
      <c r="N81" s="685"/>
      <c r="O81" s="685"/>
      <c r="P81" s="685"/>
      <c r="Q81" s="685"/>
      <c r="R81" s="685"/>
      <c r="S81" s="683"/>
    </row>
  </sheetData>
  <sheetProtection password="CCBC" sheet="1" objects="1" scenarios="1"/>
  <mergeCells count="139">
    <mergeCell ref="D62:E62"/>
    <mergeCell ref="I62:J62"/>
    <mergeCell ref="K62:P62"/>
    <mergeCell ref="D52:E52"/>
    <mergeCell ref="I52:J52"/>
    <mergeCell ref="K52:P52"/>
    <mergeCell ref="F62:G62"/>
    <mergeCell ref="D55:E55"/>
    <mergeCell ref="F55:G55"/>
    <mergeCell ref="I55:J55"/>
    <mergeCell ref="K50:P50"/>
    <mergeCell ref="D63:E63"/>
    <mergeCell ref="I63:J63"/>
    <mergeCell ref="K63:P63"/>
    <mergeCell ref="D53:E53"/>
    <mergeCell ref="I53:J53"/>
    <mergeCell ref="K53:P53"/>
    <mergeCell ref="D54:E54"/>
    <mergeCell ref="I54:J54"/>
    <mergeCell ref="K54:P54"/>
    <mergeCell ref="D51:E51"/>
    <mergeCell ref="I51:J51"/>
    <mergeCell ref="K51:P51"/>
    <mergeCell ref="K5:P5"/>
    <mergeCell ref="D47:E47"/>
    <mergeCell ref="D49:E49"/>
    <mergeCell ref="I49:J49"/>
    <mergeCell ref="K49:P49"/>
    <mergeCell ref="D50:E50"/>
    <mergeCell ref="I50:J50"/>
    <mergeCell ref="I4:P4"/>
    <mergeCell ref="I48:J48"/>
    <mergeCell ref="I46:J46"/>
    <mergeCell ref="K46:P46"/>
    <mergeCell ref="K48:P48"/>
    <mergeCell ref="I47:J47"/>
    <mergeCell ref="K47:P47"/>
    <mergeCell ref="D71:E71"/>
    <mergeCell ref="I67:J67"/>
    <mergeCell ref="I68:J68"/>
    <mergeCell ref="I64:J64"/>
    <mergeCell ref="I65:J65"/>
    <mergeCell ref="I66:J66"/>
    <mergeCell ref="I69:J69"/>
    <mergeCell ref="I70:J70"/>
    <mergeCell ref="I71:J71"/>
    <mergeCell ref="F67:G67"/>
    <mergeCell ref="K64:P64"/>
    <mergeCell ref="K69:P69"/>
    <mergeCell ref="K70:P70"/>
    <mergeCell ref="K71:P71"/>
    <mergeCell ref="K65:P65"/>
    <mergeCell ref="K66:P66"/>
    <mergeCell ref="K67:P67"/>
    <mergeCell ref="K68:P68"/>
    <mergeCell ref="K72:P72"/>
    <mergeCell ref="K73:P73"/>
    <mergeCell ref="D48:E48"/>
    <mergeCell ref="D64:E64"/>
    <mergeCell ref="D65:E65"/>
    <mergeCell ref="D66:E66"/>
    <mergeCell ref="D67:E67"/>
    <mergeCell ref="D68:E68"/>
    <mergeCell ref="D69:E69"/>
    <mergeCell ref="D70:E70"/>
    <mergeCell ref="I72:J72"/>
    <mergeCell ref="I73:J73"/>
    <mergeCell ref="D72:E72"/>
    <mergeCell ref="D73:E73"/>
    <mergeCell ref="F72:G72"/>
    <mergeCell ref="F73:G73"/>
    <mergeCell ref="F47:G47"/>
    <mergeCell ref="F48:G48"/>
    <mergeCell ref="F49:G49"/>
    <mergeCell ref="F50:G50"/>
    <mergeCell ref="F51:G51"/>
    <mergeCell ref="F52:G52"/>
    <mergeCell ref="F53:G53"/>
    <mergeCell ref="F54:G54"/>
    <mergeCell ref="F63:G63"/>
    <mergeCell ref="F64:G64"/>
    <mergeCell ref="F65:G65"/>
    <mergeCell ref="F66:G66"/>
    <mergeCell ref="F68:G68"/>
    <mergeCell ref="F69:G69"/>
    <mergeCell ref="F70:G70"/>
    <mergeCell ref="F71:G71"/>
    <mergeCell ref="K55:P55"/>
    <mergeCell ref="D56:E56"/>
    <mergeCell ref="F56:G56"/>
    <mergeCell ref="I56:J56"/>
    <mergeCell ref="K56:P56"/>
    <mergeCell ref="D57:E57"/>
    <mergeCell ref="F57:G57"/>
    <mergeCell ref="I57:J57"/>
    <mergeCell ref="K57:P57"/>
    <mergeCell ref="D58:E58"/>
    <mergeCell ref="F58:G58"/>
    <mergeCell ref="I58:J58"/>
    <mergeCell ref="K58:P58"/>
    <mergeCell ref="D59:E59"/>
    <mergeCell ref="F59:G59"/>
    <mergeCell ref="I59:J59"/>
    <mergeCell ref="K59:P59"/>
    <mergeCell ref="D60:E60"/>
    <mergeCell ref="F60:G60"/>
    <mergeCell ref="I60:J60"/>
    <mergeCell ref="K60:P60"/>
    <mergeCell ref="D61:E61"/>
    <mergeCell ref="F61:G61"/>
    <mergeCell ref="I61:J61"/>
    <mergeCell ref="K61:P61"/>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71:C71"/>
    <mergeCell ref="B72:C72"/>
    <mergeCell ref="B73:C73"/>
    <mergeCell ref="B67:C67"/>
    <mergeCell ref="B68:C68"/>
    <mergeCell ref="B69:C69"/>
    <mergeCell ref="B70:C70"/>
  </mergeCells>
  <conditionalFormatting sqref="A47:A74">
    <cfRule type="cellIs" priority="1" dxfId="3" operator="equal" stopIfTrue="1">
      <formula>0</formula>
    </cfRule>
  </conditionalFormatting>
  <conditionalFormatting sqref="R36:R37 B8:P34">
    <cfRule type="expression" priority="2" dxfId="0" stopIfTrue="1">
      <formula>$I$2=TRUE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r:id="rId2"/>
  <headerFooter alignWithMargins="0">
    <oddHeader xml:space="preserve">&amp;R&amp;9 </oddHeader>
  </headerFooter>
  <rowBreaks count="1" manualBreakCount="1">
    <brk id="40" max="255" man="1"/>
  </rowBreaks>
  <drawing r:id="rId1"/>
</worksheet>
</file>

<file path=xl/worksheets/sheet17.xml><?xml version="1.0" encoding="utf-8"?>
<worksheet xmlns="http://schemas.openxmlformats.org/spreadsheetml/2006/main" xmlns:r="http://schemas.openxmlformats.org/officeDocument/2006/relationships">
  <sheetPr codeName="Blad20">
    <pageSetUpPr fitToPage="1"/>
  </sheetPr>
  <dimension ref="A1:Q41"/>
  <sheetViews>
    <sheetView showGridLines="0" showRowColHeaders="0" showZeros="0" showOutlineSymbols="0" view="pageBreakPreview" zoomScale="75" zoomScaleNormal="75" zoomScaleSheetLayoutView="75" workbookViewId="0" topLeftCell="A1">
      <selection activeCell="C7" sqref="C7"/>
    </sheetView>
  </sheetViews>
  <sheetFormatPr defaultColWidth="9.140625" defaultRowHeight="12.75"/>
  <cols>
    <col min="1" max="1" width="5.7109375" style="469" customWidth="1"/>
    <col min="2" max="2" width="83.28125" style="438" customWidth="1"/>
    <col min="3" max="4" width="17.7109375" style="434" customWidth="1"/>
    <col min="5" max="5" width="17.7109375" style="438" customWidth="1"/>
    <col min="6" max="6" width="9.140625" style="438" customWidth="1"/>
    <col min="7" max="7" width="10.7109375" style="439" customWidth="1"/>
    <col min="8" max="8" width="10.7109375" style="440" customWidth="1"/>
    <col min="9" max="13" width="10.7109375" style="439" customWidth="1"/>
    <col min="14" max="21" width="9.140625" style="438" customWidth="1"/>
    <col min="22" max="22" width="1.7109375" style="438" customWidth="1"/>
    <col min="23" max="16384" width="9.140625" style="438" customWidth="1"/>
  </cols>
  <sheetData>
    <row r="1" spans="1:5" ht="15.75" customHeight="1">
      <c r="A1" s="660"/>
      <c r="B1" s="639"/>
      <c r="C1" s="2"/>
      <c r="D1" s="2"/>
      <c r="E1" s="639"/>
    </row>
    <row r="2" spans="1:13" s="446" customFormat="1" ht="15.75" customHeight="1">
      <c r="A2" s="6" t="str">
        <f>CONCATENATE("Nacalculatieformulier ",Voorblad!D3," ")</f>
        <v>Nacalculatieformulier 2005 </v>
      </c>
      <c r="B2" s="7"/>
      <c r="C2" s="8" t="b">
        <f>Voorblad!D30</f>
        <v>1</v>
      </c>
      <c r="D2" s="8"/>
      <c r="E2" s="10">
        <f>H!T42+1</f>
        <v>23</v>
      </c>
      <c r="G2" s="447"/>
      <c r="H2" s="448"/>
      <c r="I2" s="447"/>
      <c r="J2" s="447"/>
      <c r="K2" s="447"/>
      <c r="L2" s="447"/>
      <c r="M2" s="447"/>
    </row>
    <row r="3" spans="1:8" s="456" customFormat="1" ht="12.75" customHeight="1">
      <c r="A3" s="623"/>
      <c r="B3" s="570"/>
      <c r="C3" s="42"/>
      <c r="D3" s="42"/>
      <c r="E3" s="570"/>
      <c r="H3" s="454"/>
    </row>
    <row r="4" spans="1:5" s="446" customFormat="1" ht="12.75" customHeight="1">
      <c r="A4" s="21"/>
      <c r="B4" s="222"/>
      <c r="C4" s="223" t="str">
        <f>CONCATENATE("31-12-",Voorblad!D3-1," ")</f>
        <v>31-12-2004 </v>
      </c>
      <c r="D4" s="223" t="str">
        <f>CONCATENATE("31-12-",Voorblad!D3," ")</f>
        <v>31-12-2005 </v>
      </c>
      <c r="E4" s="223" t="str">
        <f>CONCATENATE("Gemiddeld ",Voorblad!D3," ")</f>
        <v>Gemiddeld 2005 </v>
      </c>
    </row>
    <row r="5" spans="1:5" s="456" customFormat="1" ht="12.75" customHeight="1">
      <c r="A5" s="643"/>
      <c r="B5" s="570"/>
      <c r="C5" s="175"/>
      <c r="D5" s="42"/>
      <c r="E5" s="570"/>
    </row>
    <row r="6" spans="1:8" s="456" customFormat="1" ht="12.75" customHeight="1">
      <c r="A6" s="623" t="s">
        <v>512</v>
      </c>
      <c r="B6" s="666" t="s">
        <v>511</v>
      </c>
      <c r="C6" s="168"/>
      <c r="D6" s="168"/>
      <c r="E6" s="570"/>
      <c r="H6" s="454"/>
    </row>
    <row r="7" spans="1:5" s="456" customFormat="1" ht="12.75" customHeight="1">
      <c r="A7" s="733">
        <f>(100*E2)+1</f>
        <v>2301</v>
      </c>
      <c r="B7" s="785" t="s">
        <v>401</v>
      </c>
      <c r="C7" s="432"/>
      <c r="D7" s="432"/>
      <c r="E7" s="480">
        <f aca="true" t="shared" si="0" ref="E7:E17">(C7+D7)/2</f>
        <v>0</v>
      </c>
    </row>
    <row r="8" spans="1:5" s="456" customFormat="1" ht="12.75" customHeight="1">
      <c r="A8" s="733">
        <f>A7+1</f>
        <v>2302</v>
      </c>
      <c r="B8" s="785" t="s">
        <v>403</v>
      </c>
      <c r="C8" s="432"/>
      <c r="D8" s="432"/>
      <c r="E8" s="480">
        <f t="shared" si="0"/>
        <v>0</v>
      </c>
    </row>
    <row r="9" spans="1:5" s="456" customFormat="1" ht="12.75" customHeight="1">
      <c r="A9" s="733">
        <f aca="true" t="shared" si="1" ref="A9:A17">A8+1</f>
        <v>2303</v>
      </c>
      <c r="B9" s="456" t="s">
        <v>402</v>
      </c>
      <c r="C9" s="432"/>
      <c r="D9" s="432"/>
      <c r="E9" s="480">
        <f t="shared" si="0"/>
        <v>0</v>
      </c>
    </row>
    <row r="10" spans="1:17" s="456" customFormat="1" ht="12.75" customHeight="1">
      <c r="A10" s="733">
        <f t="shared" si="1"/>
        <v>2304</v>
      </c>
      <c r="B10" s="785" t="s">
        <v>282</v>
      </c>
      <c r="C10" s="432"/>
      <c r="D10" s="432"/>
      <c r="E10" s="480">
        <f t="shared" si="0"/>
        <v>0</v>
      </c>
      <c r="Q10" s="466"/>
    </row>
    <row r="11" spans="1:5" s="456" customFormat="1" ht="12.75" customHeight="1">
      <c r="A11" s="733">
        <f t="shared" si="1"/>
        <v>2305</v>
      </c>
      <c r="B11" s="785" t="s">
        <v>283</v>
      </c>
      <c r="C11" s="432"/>
      <c r="D11" s="432"/>
      <c r="E11" s="480">
        <f t="shared" si="0"/>
        <v>0</v>
      </c>
    </row>
    <row r="12" spans="1:5" s="456" customFormat="1" ht="12.75" customHeight="1">
      <c r="A12" s="733">
        <f t="shared" si="1"/>
        <v>2306</v>
      </c>
      <c r="B12" s="785" t="s">
        <v>284</v>
      </c>
      <c r="C12" s="432"/>
      <c r="D12" s="432"/>
      <c r="E12" s="480">
        <f t="shared" si="0"/>
        <v>0</v>
      </c>
    </row>
    <row r="13" spans="1:5" s="456" customFormat="1" ht="12.75" customHeight="1">
      <c r="A13" s="733">
        <f t="shared" si="1"/>
        <v>2307</v>
      </c>
      <c r="B13" s="785" t="s">
        <v>285</v>
      </c>
      <c r="C13" s="432"/>
      <c r="D13" s="432"/>
      <c r="E13" s="480">
        <f t="shared" si="0"/>
        <v>0</v>
      </c>
    </row>
    <row r="14" spans="1:5" s="456" customFormat="1" ht="12.75" customHeight="1">
      <c r="A14" s="733">
        <f t="shared" si="1"/>
        <v>2308</v>
      </c>
      <c r="B14" s="785" t="s">
        <v>286</v>
      </c>
      <c r="C14" s="432"/>
      <c r="D14" s="432"/>
      <c r="E14" s="480">
        <f t="shared" si="0"/>
        <v>0</v>
      </c>
    </row>
    <row r="15" spans="1:5" s="456" customFormat="1" ht="12.75" customHeight="1">
      <c r="A15" s="733">
        <f t="shared" si="1"/>
        <v>2309</v>
      </c>
      <c r="B15" s="785" t="s">
        <v>287</v>
      </c>
      <c r="C15" s="432"/>
      <c r="D15" s="432"/>
      <c r="E15" s="480">
        <f t="shared" si="0"/>
        <v>0</v>
      </c>
    </row>
    <row r="16" spans="1:5" s="456" customFormat="1" ht="12.75" customHeight="1">
      <c r="A16" s="733">
        <f t="shared" si="1"/>
        <v>2310</v>
      </c>
      <c r="B16" s="785" t="s">
        <v>288</v>
      </c>
      <c r="C16" s="432"/>
      <c r="D16" s="432"/>
      <c r="E16" s="480">
        <f t="shared" si="0"/>
        <v>0</v>
      </c>
    </row>
    <row r="17" spans="1:5" s="456" customFormat="1" ht="12.75" customHeight="1">
      <c r="A17" s="733">
        <f t="shared" si="1"/>
        <v>2311</v>
      </c>
      <c r="B17" s="785" t="s">
        <v>404</v>
      </c>
      <c r="C17" s="432"/>
      <c r="D17" s="432"/>
      <c r="E17" s="480">
        <f t="shared" si="0"/>
        <v>0</v>
      </c>
    </row>
    <row r="18" spans="1:5" s="456" customFormat="1" ht="12.75" customHeight="1">
      <c r="A18" s="733">
        <f>A17+1</f>
        <v>2312</v>
      </c>
      <c r="B18" s="1124" t="str">
        <f>CONCATENATE("Totaal eigen vermogen conform jaarrekening (",A7," t/m ",A17,")")</f>
        <v>Totaal eigen vermogen conform jaarrekening (2301 t/m 2311)</v>
      </c>
      <c r="C18" s="488">
        <f>SUM(C6:C17)</f>
        <v>0</v>
      </c>
      <c r="D18" s="488">
        <f>SUM(D6:D17)</f>
        <v>0</v>
      </c>
      <c r="E18" s="488">
        <f>SUM(E6:E17)</f>
        <v>0</v>
      </c>
    </row>
    <row r="19" spans="1:5" s="456" customFormat="1" ht="12.75" customHeight="1">
      <c r="A19" s="733">
        <f>A18+1</f>
        <v>2313</v>
      </c>
      <c r="B19" s="789" t="s">
        <v>157</v>
      </c>
      <c r="C19" s="840"/>
      <c r="D19" s="743">
        <v>0</v>
      </c>
      <c r="E19" s="787">
        <f>(C19+D19)/2</f>
        <v>0</v>
      </c>
    </row>
    <row r="20" spans="1:5" s="456" customFormat="1" ht="12.75" customHeight="1">
      <c r="A20" s="733">
        <f>A19+1</f>
        <v>2314</v>
      </c>
      <c r="B20" s="255" t="s">
        <v>421</v>
      </c>
      <c r="C20" s="786">
        <v>0</v>
      </c>
      <c r="D20" s="743">
        <v>0</v>
      </c>
      <c r="E20" s="787">
        <f>(C20+D20)/2</f>
        <v>0</v>
      </c>
    </row>
    <row r="21" spans="1:5" s="456" customFormat="1" ht="12.75" customHeight="1">
      <c r="A21" s="733">
        <f>A20+1</f>
        <v>2315</v>
      </c>
      <c r="B21" s="255"/>
      <c r="C21" s="1067"/>
      <c r="D21" s="1067"/>
      <c r="E21" s="480">
        <f>(C21+D21)/2</f>
        <v>0</v>
      </c>
    </row>
    <row r="22" spans="1:5" s="456" customFormat="1" ht="12.75" customHeight="1">
      <c r="A22" s="733">
        <f>A21+1</f>
        <v>2316</v>
      </c>
      <c r="B22" s="745" t="str">
        <f>CONCATENATE("In aanmerking te nemen eigen vermogen (",A18," -/- ",A19," t/m ",A21,")")</f>
        <v>In aanmerking te nemen eigen vermogen (2312 -/- 2313 t/m 2315)</v>
      </c>
      <c r="C22" s="758">
        <f>C18-C20-C21</f>
        <v>0</v>
      </c>
      <c r="D22" s="758">
        <f>D18-D19-D20-D21</f>
        <v>0</v>
      </c>
      <c r="E22" s="758">
        <f>E18-E19-E20+E21</f>
        <v>0</v>
      </c>
    </row>
    <row r="23" spans="1:4" s="456" customFormat="1" ht="12.75" customHeight="1">
      <c r="A23" s="623"/>
      <c r="B23" s="570"/>
      <c r="C23" s="458"/>
      <c r="D23" s="458"/>
    </row>
    <row r="24" spans="1:3" s="456" customFormat="1" ht="12.75" customHeight="1">
      <c r="A24" s="570"/>
      <c r="B24" s="636"/>
      <c r="C24" s="473"/>
    </row>
    <row r="25" spans="1:8" s="456" customFormat="1" ht="12.75" customHeight="1">
      <c r="A25" s="178"/>
      <c r="B25" s="179"/>
      <c r="C25" s="509"/>
      <c r="D25" s="470"/>
      <c r="E25" s="221" t="s">
        <v>449</v>
      </c>
      <c r="H25" s="454"/>
    </row>
    <row r="26" spans="1:9" s="456" customFormat="1" ht="12.75" customHeight="1">
      <c r="A26" s="623" t="s">
        <v>301</v>
      </c>
      <c r="B26" s="626" t="s">
        <v>133</v>
      </c>
      <c r="C26" s="473"/>
      <c r="E26" s="458"/>
      <c r="I26" s="458"/>
    </row>
    <row r="27" spans="1:9" s="456" customFormat="1" ht="12.75" customHeight="1">
      <c r="A27" s="733">
        <f>A22+1</f>
        <v>2317</v>
      </c>
      <c r="B27" s="841" t="str">
        <f>CONCATENATE("Rente lange leningen bijlage ",LEFT(H!A7)," (exclusief eventuele boeterente van conversies)")</f>
        <v>Rente lange leningen bijlage H (exclusief eventuele boeterente van conversies)</v>
      </c>
      <c r="C27" s="499"/>
      <c r="D27" s="468"/>
      <c r="E27" s="480">
        <f>H!T35</f>
        <v>0</v>
      </c>
      <c r="F27" s="470"/>
      <c r="G27" s="470"/>
      <c r="H27" s="470"/>
      <c r="I27" s="470"/>
    </row>
    <row r="28" spans="1:11" s="456" customFormat="1" ht="12.75" customHeight="1">
      <c r="A28" s="733">
        <f>A27+1</f>
        <v>2318</v>
      </c>
      <c r="B28" s="789" t="s">
        <v>420</v>
      </c>
      <c r="C28" s="499"/>
      <c r="D28" s="468"/>
      <c r="E28" s="432"/>
      <c r="I28" s="458"/>
      <c r="J28" s="470"/>
      <c r="K28" s="470"/>
    </row>
    <row r="29" spans="1:11" s="470" customFormat="1" ht="12.75" customHeight="1">
      <c r="A29" s="733">
        <f>A28+1</f>
        <v>2319</v>
      </c>
      <c r="B29" s="788" t="s">
        <v>135</v>
      </c>
      <c r="C29" s="499"/>
      <c r="D29" s="468"/>
      <c r="E29" s="432"/>
      <c r="F29" s="458"/>
      <c r="G29" s="458"/>
      <c r="H29" s="458"/>
      <c r="I29" s="458"/>
      <c r="J29" s="456"/>
      <c r="K29" s="456"/>
    </row>
    <row r="30" spans="1:11" s="456" customFormat="1" ht="12.75" customHeight="1">
      <c r="A30" s="733">
        <f>A29+1</f>
        <v>2320</v>
      </c>
      <c r="B30" s="790" t="s">
        <v>484</v>
      </c>
      <c r="C30" s="791"/>
      <c r="D30" s="792"/>
      <c r="E30" s="734"/>
      <c r="F30" s="458"/>
      <c r="G30" s="458"/>
      <c r="H30" s="458"/>
      <c r="I30" s="458"/>
      <c r="J30" s="458"/>
      <c r="K30" s="458"/>
    </row>
    <row r="31" spans="1:5" s="458" customFormat="1" ht="12.75" customHeight="1">
      <c r="A31" s="733">
        <f>A30+1</f>
        <v>2321</v>
      </c>
      <c r="B31" s="790" t="s">
        <v>405</v>
      </c>
      <c r="C31" s="791"/>
      <c r="D31" s="792"/>
      <c r="E31" s="734"/>
    </row>
    <row r="32" spans="1:5" s="458" customFormat="1" ht="12.75" customHeight="1">
      <c r="A32" s="733">
        <f>A31+1</f>
        <v>2322</v>
      </c>
      <c r="B32" s="765" t="str">
        <f>CONCATENATE("Totaal regels ",A27," t/m ",A31)</f>
        <v>Totaal regels 2317 t/m 2321</v>
      </c>
      <c r="C32" s="793"/>
      <c r="D32" s="794"/>
      <c r="E32" s="763">
        <f>SUM(E27:E31)</f>
        <v>0</v>
      </c>
    </row>
    <row r="33" spans="1:5" s="458" customFormat="1" ht="12.75" customHeight="1">
      <c r="A33"/>
      <c r="B33"/>
      <c r="C33"/>
      <c r="D33"/>
      <c r="E33"/>
    </row>
    <row r="34" spans="1:5" s="458" customFormat="1" ht="12.75" customHeight="1">
      <c r="A34" s="679"/>
      <c r="B34" s="679"/>
      <c r="C34" s="679"/>
      <c r="D34" s="679"/>
      <c r="E34" s="679"/>
    </row>
    <row r="35" spans="1:11" s="458" customFormat="1" ht="12.75">
      <c r="A35" s="679"/>
      <c r="B35" s="679"/>
      <c r="C35" s="679"/>
      <c r="D35" s="679"/>
      <c r="E35" s="679"/>
      <c r="F35"/>
      <c r="G35"/>
      <c r="H35"/>
      <c r="I35"/>
      <c r="J35"/>
      <c r="K35"/>
    </row>
    <row r="36" spans="1:5" ht="12.75" customHeight="1">
      <c r="A36" s="679"/>
      <c r="B36" s="679"/>
      <c r="C36" s="679"/>
      <c r="D36" s="679"/>
      <c r="E36" s="679"/>
    </row>
    <row r="37" spans="1:5" ht="12.75" customHeight="1">
      <c r="A37" s="679"/>
      <c r="B37" s="679"/>
      <c r="C37" s="679"/>
      <c r="D37" s="679"/>
      <c r="E37" s="679"/>
    </row>
    <row r="38" spans="1:5" ht="12.75" customHeight="1">
      <c r="A38" s="679"/>
      <c r="B38" s="679"/>
      <c r="C38" s="679"/>
      <c r="D38" s="679"/>
      <c r="E38" s="679"/>
    </row>
    <row r="39" spans="1:5" ht="12.75" customHeight="1">
      <c r="A39" s="679"/>
      <c r="B39" s="679"/>
      <c r="C39" s="679"/>
      <c r="D39" s="679"/>
      <c r="E39" s="679"/>
    </row>
    <row r="40" spans="1:5" ht="12.75" customHeight="1">
      <c r="A40" s="679"/>
      <c r="B40" s="679"/>
      <c r="C40" s="679"/>
      <c r="D40" s="679"/>
      <c r="E40" s="679"/>
    </row>
    <row r="41" spans="1:5" ht="12.75" customHeight="1">
      <c r="A41" s="680"/>
      <c r="B41" s="679"/>
      <c r="C41" s="681"/>
      <c r="D41" s="681"/>
      <c r="E41" s="679"/>
    </row>
    <row r="42" ht="12.75"/>
    <row r="43" ht="12.75"/>
  </sheetData>
  <sheetProtection password="CCBC" sheet="1" objects="1" scenarios="1"/>
  <conditionalFormatting sqref="E28:E31 D19 C20:D21 C7:C18 D7:D17 D18:E18">
    <cfRule type="expression" priority="1" dxfId="0" stopIfTrue="1">
      <formula>$C$2=TRUE</formula>
    </cfRule>
  </conditionalFormatting>
  <printOptions/>
  <pageMargins left="0.3937007874015748" right="0.3937007874015748" top="0.3937007874015748" bottom="0.3937007874015748" header="0.6299212598425197" footer="0.11811023622047245"/>
  <pageSetup fitToHeight="1" fitToWidth="1" horizontalDpi="300" verticalDpi="300" orientation="landscape" paperSize="9" scale="97" r:id="rId2"/>
  <headerFooter alignWithMargins="0">
    <oddHeader xml:space="preserve">&amp;R&amp;9 </oddHeader>
  </headerFooter>
  <drawing r:id="rId1"/>
</worksheet>
</file>

<file path=xl/worksheets/sheet18.xml><?xml version="1.0" encoding="utf-8"?>
<worksheet xmlns="http://schemas.openxmlformats.org/spreadsheetml/2006/main" xmlns:r="http://schemas.openxmlformats.org/officeDocument/2006/relationships">
  <sheetPr codeName="Blad21"/>
  <dimension ref="A1:F100"/>
  <sheetViews>
    <sheetView showGridLines="0" showRowColHeaders="0" showZeros="0" showOutlineSymbols="0" view="pageBreakPreview" zoomScale="75" zoomScaleNormal="75" zoomScaleSheetLayoutView="75" workbookViewId="0" topLeftCell="A1">
      <selection activeCell="D13" sqref="D13:D15"/>
    </sheetView>
  </sheetViews>
  <sheetFormatPr defaultColWidth="9.140625" defaultRowHeight="12.75"/>
  <cols>
    <col min="1" max="1" width="5.7109375" style="0" customWidth="1"/>
    <col min="2" max="2" width="109.57421875" style="0" customWidth="1"/>
    <col min="3" max="3" width="0.71875" style="0" customWidth="1"/>
    <col min="4" max="6" width="8.28125" style="0" customWidth="1"/>
    <col min="7" max="7" width="0.85546875" style="0" customWidth="1"/>
  </cols>
  <sheetData>
    <row r="1" spans="1:6" ht="12.75">
      <c r="A1" s="842"/>
      <c r="B1" s="843"/>
      <c r="C1" s="843"/>
      <c r="D1" s="844"/>
      <c r="E1" s="844"/>
      <c r="F1" s="845"/>
    </row>
    <row r="2" spans="1:6" ht="12.75">
      <c r="A2" s="846" t="str">
        <f>Inhoud!$A$2</f>
        <v>Nacalculatieformulier 2005</v>
      </c>
      <c r="B2" s="847"/>
      <c r="C2" s="862" t="b">
        <f>Voorblad!D30</f>
        <v>1</v>
      </c>
      <c r="D2" s="849"/>
      <c r="E2" s="850"/>
      <c r="F2" s="851">
        <f>'I-J'!E2+1</f>
        <v>24</v>
      </c>
    </row>
    <row r="3" spans="1:6" ht="12.75">
      <c r="A3" s="842"/>
      <c r="B3" s="843"/>
      <c r="C3" s="843"/>
      <c r="D3" s="844"/>
      <c r="E3" s="844"/>
      <c r="F3" s="845"/>
    </row>
    <row r="4" spans="1:6" ht="12.75">
      <c r="A4" s="852" t="s">
        <v>320</v>
      </c>
      <c r="B4" s="853"/>
      <c r="C4" s="854"/>
      <c r="D4" s="854"/>
      <c r="E4" s="854"/>
      <c r="F4" s="854"/>
    </row>
    <row r="5" spans="1:6" ht="12.75">
      <c r="A5" t="s">
        <v>317</v>
      </c>
      <c r="B5" s="856"/>
      <c r="C5" s="854"/>
      <c r="D5" s="854"/>
      <c r="E5" s="854"/>
      <c r="F5" s="854"/>
    </row>
    <row r="6" spans="1:6" ht="12.75">
      <c r="A6" s="855" t="s">
        <v>318</v>
      </c>
      <c r="B6" s="856"/>
      <c r="C6" s="854"/>
      <c r="D6" s="854"/>
      <c r="E6" s="854"/>
      <c r="F6" s="854"/>
    </row>
    <row r="7" spans="1:6" ht="12.75">
      <c r="A7" s="855" t="s">
        <v>319</v>
      </c>
      <c r="B7" s="856"/>
      <c r="C7" s="854"/>
      <c r="D7" s="854"/>
      <c r="E7" s="854"/>
      <c r="F7" s="854"/>
    </row>
    <row r="8" spans="1:6" ht="12" customHeight="1">
      <c r="A8" s="854"/>
      <c r="B8" s="854"/>
      <c r="C8" s="854"/>
      <c r="D8" s="854"/>
      <c r="E8" s="854"/>
      <c r="F8" s="854"/>
    </row>
    <row r="9" spans="1:6" ht="12" customHeight="1">
      <c r="A9" s="857"/>
      <c r="B9" s="857"/>
      <c r="C9" s="854"/>
      <c r="D9" s="854"/>
      <c r="E9" s="854"/>
      <c r="F9" s="854"/>
    </row>
    <row r="10" spans="1:6" ht="12" customHeight="1">
      <c r="A10" s="854"/>
      <c r="B10" s="854"/>
      <c r="C10" s="854"/>
      <c r="D10" s="1421" t="s">
        <v>315</v>
      </c>
      <c r="E10" s="1422"/>
      <c r="F10" s="1423"/>
    </row>
    <row r="11" spans="1:6" ht="12" customHeight="1">
      <c r="A11" s="854"/>
      <c r="B11" s="854"/>
      <c r="C11" s="854"/>
      <c r="D11" s="858">
        <v>1</v>
      </c>
      <c r="E11" s="858">
        <v>2</v>
      </c>
      <c r="F11" s="858">
        <v>3</v>
      </c>
    </row>
    <row r="12" spans="1:6" ht="12" customHeight="1">
      <c r="A12" s="852" t="s">
        <v>316</v>
      </c>
      <c r="B12" s="854"/>
      <c r="C12" s="854"/>
      <c r="D12" s="854"/>
      <c r="E12" s="854"/>
      <c r="F12" s="854"/>
    </row>
    <row r="13" spans="1:6" ht="12" customHeight="1">
      <c r="A13" s="1424">
        <v>1</v>
      </c>
      <c r="B13" s="1427" t="s">
        <v>220</v>
      </c>
      <c r="C13" s="1429"/>
      <c r="D13" s="1430"/>
      <c r="E13" s="1430"/>
      <c r="F13" s="1432"/>
    </row>
    <row r="14" spans="1:6" ht="12" customHeight="1">
      <c r="A14" s="1425"/>
      <c r="B14" s="1428"/>
      <c r="C14" s="1429"/>
      <c r="D14" s="1431"/>
      <c r="E14" s="1431"/>
      <c r="F14" s="1432"/>
    </row>
    <row r="15" spans="1:6" ht="12" customHeight="1">
      <c r="A15" s="1426"/>
      <c r="B15" s="1428"/>
      <c r="C15" s="1429"/>
      <c r="D15" s="1431"/>
      <c r="E15" s="1431"/>
      <c r="F15" s="1432"/>
    </row>
    <row r="16" ht="12" customHeight="1"/>
    <row r="17" ht="12" customHeight="1">
      <c r="A17" s="852" t="s">
        <v>371</v>
      </c>
    </row>
    <row r="18" spans="1:6" ht="12" customHeight="1">
      <c r="A18" s="1424">
        <f>A13+1</f>
        <v>2</v>
      </c>
      <c r="B18" s="1427" t="str">
        <f>CONCATENATE("Is er in de productieafspraak ",Voorblad!D3," een budgetaanpassing aangevraagd op basis van een wijziging in de capaciteit? Als er geen wijziging in de capaciteit heeft plaatsgevonden, kies dan 'nvt'")</f>
        <v>Is er in de productieafspraak 2005 een budgetaanpassing aangevraagd op basis van een wijziging in de capaciteit? Als er geen wijziging in de capaciteit heeft plaatsgevonden, kies dan 'nvt'</v>
      </c>
      <c r="C18" s="1429"/>
      <c r="D18" s="1430"/>
      <c r="E18" s="1430"/>
      <c r="F18" s="1433"/>
    </row>
    <row r="19" spans="1:6" ht="12" customHeight="1">
      <c r="A19" s="1425"/>
      <c r="B19" s="1428"/>
      <c r="C19" s="1429"/>
      <c r="D19" s="1431"/>
      <c r="E19" s="1431"/>
      <c r="F19" s="1433"/>
    </row>
    <row r="20" spans="1:6" ht="12" customHeight="1">
      <c r="A20" s="1426"/>
      <c r="B20" s="1428"/>
      <c r="C20" s="1429"/>
      <c r="D20" s="1434"/>
      <c r="E20" s="1434"/>
      <c r="F20" s="1433"/>
    </row>
    <row r="21" spans="1:6" ht="12" customHeight="1">
      <c r="A21" s="1424">
        <f>A18+1</f>
        <v>3</v>
      </c>
      <c r="B21" s="1427" t="s">
        <v>240</v>
      </c>
      <c r="C21" s="1429"/>
      <c r="D21" s="1430"/>
      <c r="E21" s="1430"/>
      <c r="F21" s="1433"/>
    </row>
    <row r="22" spans="1:6" ht="12" customHeight="1">
      <c r="A22" s="1425"/>
      <c r="B22" s="1428"/>
      <c r="C22" s="1429"/>
      <c r="D22" s="1431"/>
      <c r="E22" s="1431"/>
      <c r="F22" s="1433"/>
    </row>
    <row r="23" spans="1:6" ht="12" customHeight="1">
      <c r="A23" s="1426"/>
      <c r="B23" s="1428"/>
      <c r="C23" s="1429"/>
      <c r="D23" s="1434"/>
      <c r="E23" s="1434"/>
      <c r="F23" s="1433"/>
    </row>
    <row r="24" spans="1:6" ht="12" customHeight="1">
      <c r="A24" s="1424">
        <f>A21+1</f>
        <v>4</v>
      </c>
      <c r="B24" s="1444" t="s">
        <v>241</v>
      </c>
      <c r="C24" s="1035"/>
      <c r="D24" s="1430"/>
      <c r="E24" s="1430"/>
      <c r="F24" s="1433"/>
    </row>
    <row r="25" spans="1:6" ht="12" customHeight="1">
      <c r="A25" s="1425"/>
      <c r="B25" s="1445"/>
      <c r="C25" s="1035"/>
      <c r="D25" s="1431"/>
      <c r="E25" s="1431"/>
      <c r="F25" s="1433"/>
    </row>
    <row r="26" spans="1:6" ht="12" customHeight="1">
      <c r="A26" s="1426"/>
      <c r="B26" s="1446"/>
      <c r="C26" s="1035"/>
      <c r="D26" s="1434"/>
      <c r="E26" s="1434"/>
      <c r="F26" s="1433"/>
    </row>
    <row r="27" spans="1:6" ht="12" customHeight="1">
      <c r="A27" s="1424">
        <f>A24+1</f>
        <v>5</v>
      </c>
      <c r="B27" s="1427" t="str">
        <f>CONCATENATE("Wijkt de definitieve nacalculatie op de nacalculeerbare productie parameters aanzienlijk af van de voorlopige nacalculatie, zoals die is opgegeven bij de productieafspraken ",Voorblad!D3+1,"? ")</f>
        <v>Wijkt de definitieve nacalculatie op de nacalculeerbare productie parameters aanzienlijk af van de voorlopige nacalculatie, zoals die is opgegeven bij de productieafspraken 2006? </v>
      </c>
      <c r="C27" s="1429"/>
      <c r="D27" s="1430"/>
      <c r="E27" s="1430"/>
      <c r="F27" s="1433"/>
    </row>
    <row r="28" spans="1:6" ht="12" customHeight="1">
      <c r="A28" s="1425"/>
      <c r="B28" s="1428"/>
      <c r="C28" s="1429"/>
      <c r="D28" s="1431"/>
      <c r="E28" s="1431"/>
      <c r="F28" s="1433"/>
    </row>
    <row r="29" spans="1:6" ht="12" customHeight="1">
      <c r="A29" s="1426"/>
      <c r="B29" s="1428"/>
      <c r="C29" s="1429"/>
      <c r="D29" s="1434"/>
      <c r="E29" s="1434"/>
      <c r="F29" s="1433"/>
    </row>
    <row r="30" spans="1:6" ht="12" customHeight="1">
      <c r="A30" s="1424">
        <f>A27+1</f>
        <v>6</v>
      </c>
      <c r="B30" s="1427" t="s">
        <v>73</v>
      </c>
      <c r="C30" s="1429"/>
      <c r="D30" s="1430"/>
      <c r="E30" s="1430"/>
      <c r="F30" s="1433"/>
    </row>
    <row r="31" spans="1:6" ht="12" customHeight="1">
      <c r="A31" s="1425"/>
      <c r="B31" s="1428"/>
      <c r="C31" s="1429"/>
      <c r="D31" s="1431"/>
      <c r="E31" s="1431"/>
      <c r="F31" s="1433"/>
    </row>
    <row r="32" spans="1:6" ht="12" customHeight="1">
      <c r="A32" s="1426"/>
      <c r="B32" s="1428"/>
      <c r="C32" s="1429"/>
      <c r="D32" s="1434"/>
      <c r="E32" s="1434"/>
      <c r="F32" s="1433"/>
    </row>
    <row r="33" spans="1:6" ht="12" customHeight="1">
      <c r="A33" s="1424">
        <f>A30+1</f>
        <v>7</v>
      </c>
      <c r="B33" s="1427" t="s">
        <v>74</v>
      </c>
      <c r="C33" s="1429"/>
      <c r="D33" s="1430"/>
      <c r="E33" s="1430"/>
      <c r="F33" s="1433"/>
    </row>
    <row r="34" spans="1:6" ht="12" customHeight="1">
      <c r="A34" s="1425"/>
      <c r="B34" s="1428"/>
      <c r="C34" s="1429"/>
      <c r="D34" s="1431"/>
      <c r="E34" s="1431"/>
      <c r="F34" s="1433"/>
    </row>
    <row r="35" spans="1:6" ht="12" customHeight="1">
      <c r="A35" s="1426"/>
      <c r="B35" s="1428"/>
      <c r="C35" s="1429"/>
      <c r="D35" s="1434"/>
      <c r="E35" s="1434"/>
      <c r="F35" s="1433"/>
    </row>
    <row r="36" ht="12" customHeight="1"/>
    <row r="37" ht="12" customHeight="1">
      <c r="A37" s="852" t="s">
        <v>372</v>
      </c>
    </row>
    <row r="38" spans="1:6" ht="12" customHeight="1">
      <c r="A38" s="1424">
        <f>A33+1</f>
        <v>8</v>
      </c>
      <c r="B38" s="1427" t="s">
        <v>373</v>
      </c>
      <c r="C38" s="1429"/>
      <c r="D38" s="1430"/>
      <c r="E38" s="1430"/>
      <c r="F38" s="854"/>
    </row>
    <row r="39" spans="1:6" ht="12" customHeight="1">
      <c r="A39" s="1425"/>
      <c r="B39" s="1428"/>
      <c r="C39" s="1429"/>
      <c r="D39" s="1431"/>
      <c r="E39" s="1431"/>
      <c r="F39" s="854"/>
    </row>
    <row r="40" spans="1:6" ht="12" customHeight="1">
      <c r="A40" s="1426"/>
      <c r="B40" s="1428"/>
      <c r="C40" s="1429"/>
      <c r="D40" s="1434"/>
      <c r="E40" s="1434"/>
      <c r="F40" s="854"/>
    </row>
    <row r="41" spans="1:6" ht="12" customHeight="1">
      <c r="A41" s="1424">
        <f>A38+1</f>
        <v>9</v>
      </c>
      <c r="B41" s="1427" t="s">
        <v>374</v>
      </c>
      <c r="C41" s="1429"/>
      <c r="D41" s="1430"/>
      <c r="E41" s="1430"/>
      <c r="F41" s="854"/>
    </row>
    <row r="42" spans="1:6" ht="12" customHeight="1">
      <c r="A42" s="1425"/>
      <c r="B42" s="1428"/>
      <c r="C42" s="1429"/>
      <c r="D42" s="1431"/>
      <c r="E42" s="1431"/>
      <c r="F42" s="854"/>
    </row>
    <row r="43" spans="1:6" ht="12" customHeight="1">
      <c r="A43" s="1426"/>
      <c r="B43" s="1428"/>
      <c r="C43" s="1429"/>
      <c r="D43" s="1434"/>
      <c r="E43" s="1434"/>
      <c r="F43" s="854"/>
    </row>
    <row r="44" ht="12" customHeight="1"/>
    <row r="45" spans="1:6" ht="12" customHeight="1">
      <c r="A45" s="842"/>
      <c r="B45" s="843"/>
      <c r="C45" s="843"/>
      <c r="D45" s="844"/>
      <c r="E45" s="844"/>
      <c r="F45" s="845"/>
    </row>
    <row r="46" spans="1:6" ht="12" customHeight="1">
      <c r="A46" s="846" t="str">
        <f>Inhoud!$A$2</f>
        <v>Nacalculatieformulier 2005</v>
      </c>
      <c r="B46" s="847"/>
      <c r="C46" s="848"/>
      <c r="D46" s="849"/>
      <c r="E46" s="850"/>
      <c r="F46" s="851">
        <f>F2+1</f>
        <v>25</v>
      </c>
    </row>
    <row r="47" spans="1:6" ht="12" customHeight="1">
      <c r="A47" s="842"/>
      <c r="B47" s="843"/>
      <c r="C47" s="843"/>
      <c r="D47" s="844"/>
      <c r="E47" s="844"/>
      <c r="F47" s="845"/>
    </row>
    <row r="48" spans="1:6" ht="12" customHeight="1">
      <c r="A48" s="852" t="s">
        <v>321</v>
      </c>
      <c r="B48" s="853"/>
      <c r="C48" s="854"/>
      <c r="D48" s="1421" t="s">
        <v>315</v>
      </c>
      <c r="E48" s="1422"/>
      <c r="F48" s="1423"/>
    </row>
    <row r="49" spans="1:6" ht="12" customHeight="1">
      <c r="A49" s="854"/>
      <c r="B49" s="854"/>
      <c r="C49" s="854"/>
      <c r="D49" s="858">
        <v>1</v>
      </c>
      <c r="E49" s="858">
        <v>2</v>
      </c>
      <c r="F49" s="858">
        <v>3</v>
      </c>
    </row>
    <row r="50" spans="1:6" ht="12" customHeight="1">
      <c r="A50" s="852" t="s">
        <v>376</v>
      </c>
      <c r="B50" s="854"/>
      <c r="C50" s="854"/>
      <c r="D50" s="854"/>
      <c r="E50" s="854"/>
      <c r="F50" s="854"/>
    </row>
    <row r="51" spans="1:6" ht="12" customHeight="1">
      <c r="A51" s="852"/>
      <c r="B51" s="854"/>
      <c r="C51" s="854"/>
      <c r="D51" s="854"/>
      <c r="E51" s="854"/>
      <c r="F51" s="854"/>
    </row>
    <row r="52" spans="1:6" ht="12" customHeight="1">
      <c r="A52" s="1424">
        <f>A41+1</f>
        <v>10</v>
      </c>
      <c r="B52" s="1427" t="s">
        <v>375</v>
      </c>
      <c r="C52" s="1429"/>
      <c r="D52" s="1430"/>
      <c r="E52" s="1430"/>
      <c r="F52" s="854"/>
    </row>
    <row r="53" spans="1:6" ht="12" customHeight="1">
      <c r="A53" s="1425"/>
      <c r="B53" s="1428"/>
      <c r="C53" s="1429"/>
      <c r="D53" s="1431"/>
      <c r="E53" s="1431"/>
      <c r="F53" s="854"/>
    </row>
    <row r="54" spans="1:6" ht="12" customHeight="1">
      <c r="A54" s="1426"/>
      <c r="B54" s="1428"/>
      <c r="C54" s="1429"/>
      <c r="D54" s="1434"/>
      <c r="E54" s="1434"/>
      <c r="F54" s="854"/>
    </row>
    <row r="55" spans="1:6" ht="12" customHeight="1">
      <c r="A55" s="1424">
        <f>A52+1</f>
        <v>11</v>
      </c>
      <c r="B55" s="1427" t="str">
        <f>CONCATENATE("Zijn, voor de berekening van de nacalculeerbare afschrijvingskosten van de in ",Voorblad!D3," geactiveerde activa, de afschrijvingspercentages gehanteerd zoals in de beleidsregel Afschrijving opgenomen? Indien in ",Voorblad!D3," geen activa zijn geactiveerd, kies dan 'nvt'.")</f>
        <v>Zijn, voor de berekening van de nacalculeerbare afschrijvingskosten van de in 2005 geactiveerde activa, de afschrijvingspercentages gehanteerd zoals in de beleidsregel Afschrijving opgenomen? Indien in 2005 geen activa zijn geactiveerd, kies dan 'nvt'.</v>
      </c>
      <c r="C55" s="1429"/>
      <c r="D55" s="1430"/>
      <c r="E55" s="1435"/>
      <c r="F55" s="1433"/>
    </row>
    <row r="56" spans="1:6" ht="12" customHeight="1">
      <c r="A56" s="1425"/>
      <c r="B56" s="1428"/>
      <c r="C56" s="1429"/>
      <c r="D56" s="1431"/>
      <c r="E56" s="1436"/>
      <c r="F56" s="1433"/>
    </row>
    <row r="57" spans="1:6" ht="12" customHeight="1">
      <c r="A57" s="1426"/>
      <c r="B57" s="1428"/>
      <c r="C57" s="1429"/>
      <c r="D57" s="1434"/>
      <c r="E57" s="1437"/>
      <c r="F57" s="1433"/>
    </row>
    <row r="58" spans="1:6" ht="12" customHeight="1">
      <c r="A58" s="1424">
        <f>A55+1</f>
        <v>12</v>
      </c>
      <c r="B58" s="1427" t="str">
        <f>CONCATENATE("Zijn, voor de berekening van de nacalculeerbare afschrijvingskosten van de voor ",Voorblad!D3," geactiveerde activa, de door het CTG geaccepteerde afschrijvingspercentages, gecontinueerd? Indien voor ",Voorblad!D3," geen activa zijn geactiveerd, kies dan 'nvt'.")</f>
        <v>Zijn, voor de berekening van de nacalculeerbare afschrijvingskosten van de voor 2005 geactiveerde activa, de door het CTG geaccepteerde afschrijvingspercentages, gecontinueerd? Indien voor 2005 geen activa zijn geactiveerd, kies dan 'nvt'.</v>
      </c>
      <c r="C58" s="1429"/>
      <c r="D58" s="1430"/>
      <c r="E58" s="1435"/>
      <c r="F58" s="1433"/>
    </row>
    <row r="59" spans="1:6" ht="12" customHeight="1">
      <c r="A59" s="1425"/>
      <c r="B59" s="1428"/>
      <c r="C59" s="1429"/>
      <c r="D59" s="1431"/>
      <c r="E59" s="1436"/>
      <c r="F59" s="1433"/>
    </row>
    <row r="60" spans="1:6" ht="12" customHeight="1">
      <c r="A60" s="1426"/>
      <c r="B60" s="1428"/>
      <c r="C60" s="1429"/>
      <c r="D60" s="1434"/>
      <c r="E60" s="1437"/>
      <c r="F60" s="1433"/>
    </row>
    <row r="61" spans="1:6" ht="12" customHeight="1">
      <c r="A61" s="1424">
        <f>A58+1</f>
        <v>13</v>
      </c>
      <c r="B61" s="1427" t="str">
        <f>CONCATENATE("Passen de in ",Voorblad!D3," geactiveerde investeringen in immateriele en materiele vaste activa (investeringskosten) binnen de WZV-vergunningen die voor deze projecten zijn afgegeven? Als er geen investeringen zijn geactiveerd, kies dan 'nvt'.")</f>
        <v>Passen de in 2005 geactiveerde investeringen in immateriele en materiele vaste activa (investeringskosten) binnen de WZV-vergunningen die voor deze projecten zijn afgegeven? Als er geen investeringen zijn geactiveerd, kies dan 'nvt'.</v>
      </c>
      <c r="C61" s="1429"/>
      <c r="D61" s="1430"/>
      <c r="E61" s="1435"/>
      <c r="F61" s="1433"/>
    </row>
    <row r="62" spans="1:6" ht="12" customHeight="1">
      <c r="A62" s="1425"/>
      <c r="B62" s="1428"/>
      <c r="C62" s="1429"/>
      <c r="D62" s="1431"/>
      <c r="E62" s="1436"/>
      <c r="F62" s="1433"/>
    </row>
    <row r="63" spans="1:6" ht="12" customHeight="1">
      <c r="A63" s="1426"/>
      <c r="B63" s="1428"/>
      <c r="C63" s="1429"/>
      <c r="D63" s="1434"/>
      <c r="E63" s="1437"/>
      <c r="F63" s="1433"/>
    </row>
    <row r="64" spans="1:6" ht="12" customHeight="1">
      <c r="A64" s="1424">
        <f>A61+1</f>
        <v>14</v>
      </c>
      <c r="B64" s="1427" t="str">
        <f>CONCATENATE("Passen de in ",Voorblad!D3," geactiveerde instandhoudingsinvesteringen binnen de meldingsverklaringen die door het CBZ zijn afgegeven voor deze projecten? Als er geen investeringen zijn geactiveerd, kies dan 'nvt'.")</f>
        <v>Passen de in 2005 geactiveerde instandhoudingsinvesteringen binnen de meldingsverklaringen die door het CBZ zijn afgegeven voor deze projecten? Als er geen investeringen zijn geactiveerd, kies dan 'nvt'.</v>
      </c>
      <c r="C64" s="1429"/>
      <c r="D64" s="1430"/>
      <c r="E64" s="1435"/>
      <c r="F64" s="1433"/>
    </row>
    <row r="65" spans="1:6" ht="12" customHeight="1">
      <c r="A65" s="1425"/>
      <c r="B65" s="1428"/>
      <c r="C65" s="1429"/>
      <c r="D65" s="1431"/>
      <c r="E65" s="1436"/>
      <c r="F65" s="1433"/>
    </row>
    <row r="66" spans="1:6" ht="12" customHeight="1">
      <c r="A66" s="1426"/>
      <c r="B66" s="1428"/>
      <c r="C66" s="1429"/>
      <c r="D66" s="1434"/>
      <c r="E66" s="1437"/>
      <c r="F66" s="1433"/>
    </row>
    <row r="67" spans="1:6" ht="12" customHeight="1">
      <c r="A67" s="1424">
        <f>A64+1</f>
        <v>15</v>
      </c>
      <c r="B67" s="1427" t="str">
        <f>CONCATENATE("Is eerst de jaarlijkse investeringsruimte volledig benut (in het onderdeel van het nacalculatieformulier over instandhoudingsinvesteringen), alvorens trekkingsrechten zijn aangesproken voor incidentele instandhoudingsinvesteringen? ","Indien geen instandhoudingsinvesteringen in ",Voorblad!D3,", kies dan 'nvt'.")</f>
        <v>Is eerst de jaarlijkse investeringsruimte volledig benut (in het onderdeel van het nacalculatieformulier over instandhoudingsinvesteringen), alvorens trekkingsrechten zijn aangesproken voor incidentele instandhoudingsinvesteringen? Indien geen instandhoudingsinvesteringen in 2005, kies dan 'nvt'.</v>
      </c>
      <c r="C67" s="1429"/>
      <c r="D67" s="1430"/>
      <c r="E67" s="1435"/>
      <c r="F67" s="1433"/>
    </row>
    <row r="68" spans="1:6" ht="12" customHeight="1">
      <c r="A68" s="1425"/>
      <c r="B68" s="1428"/>
      <c r="C68" s="1429"/>
      <c r="D68" s="1431"/>
      <c r="E68" s="1436"/>
      <c r="F68" s="1433"/>
    </row>
    <row r="69" spans="1:6" ht="12" customHeight="1">
      <c r="A69" s="1426"/>
      <c r="B69" s="1428"/>
      <c r="C69" s="1429"/>
      <c r="D69" s="1434"/>
      <c r="E69" s="1437"/>
      <c r="F69" s="1433"/>
    </row>
    <row r="70" spans="1:6" ht="12" customHeight="1">
      <c r="A70" s="1424">
        <f>A67+1</f>
        <v>16</v>
      </c>
      <c r="B70" s="1427" t="s">
        <v>75</v>
      </c>
      <c r="C70" s="1429"/>
      <c r="D70" s="1430"/>
      <c r="E70" s="1435"/>
      <c r="F70" s="1433"/>
    </row>
    <row r="71" spans="1:6" ht="12" customHeight="1">
      <c r="A71" s="1425"/>
      <c r="B71" s="1428"/>
      <c r="C71" s="1429"/>
      <c r="D71" s="1431"/>
      <c r="E71" s="1436"/>
      <c r="F71" s="1433"/>
    </row>
    <row r="72" spans="1:6" ht="12" customHeight="1">
      <c r="A72" s="1426"/>
      <c r="B72" s="1428"/>
      <c r="C72" s="1429"/>
      <c r="D72" s="1434"/>
      <c r="E72" s="1437"/>
      <c r="F72" s="1433"/>
    </row>
    <row r="73" spans="1:6" ht="12" customHeight="1">
      <c r="A73" s="1424">
        <f>A70+1</f>
        <v>17</v>
      </c>
      <c r="B73" s="1428" t="s">
        <v>377</v>
      </c>
      <c r="C73" s="1429"/>
      <c r="D73" s="1430"/>
      <c r="E73" s="1430"/>
      <c r="F73" s="854"/>
    </row>
    <row r="74" spans="1:6" ht="12" customHeight="1">
      <c r="A74" s="1425"/>
      <c r="B74" s="1428"/>
      <c r="C74" s="1429"/>
      <c r="D74" s="1431"/>
      <c r="E74" s="1431"/>
      <c r="F74" s="854"/>
    </row>
    <row r="75" spans="1:6" ht="12" customHeight="1">
      <c r="A75" s="1426"/>
      <c r="B75" s="1428"/>
      <c r="C75" s="1429"/>
      <c r="D75" s="1431"/>
      <c r="E75" s="1431"/>
      <c r="F75" s="854"/>
    </row>
    <row r="76" spans="1:6" ht="12" customHeight="1">
      <c r="A76" s="854"/>
      <c r="B76" s="854"/>
      <c r="C76" s="854"/>
      <c r="D76" s="854"/>
      <c r="E76" s="854"/>
      <c r="F76" s="854"/>
    </row>
    <row r="77" spans="1:6" ht="12" customHeight="1">
      <c r="A77" s="842"/>
      <c r="B77" s="843"/>
      <c r="C77" s="843"/>
      <c r="D77" s="844"/>
      <c r="E77" s="844"/>
      <c r="F77" s="845"/>
    </row>
    <row r="78" spans="1:6" ht="12" customHeight="1">
      <c r="A78" s="846" t="str">
        <f>Inhoud!$A$2</f>
        <v>Nacalculatieformulier 2005</v>
      </c>
      <c r="B78" s="847"/>
      <c r="C78" s="847"/>
      <c r="D78" s="1191"/>
      <c r="E78" s="1192"/>
      <c r="F78" s="851">
        <f>F46+1</f>
        <v>26</v>
      </c>
    </row>
    <row r="79" spans="1:6" ht="12" customHeight="1">
      <c r="A79" s="842"/>
      <c r="B79" s="843"/>
      <c r="C79" s="843"/>
      <c r="D79" s="844"/>
      <c r="E79" s="844"/>
      <c r="F79" s="845"/>
    </row>
    <row r="80" spans="1:6" ht="12" customHeight="1">
      <c r="A80" s="852" t="s">
        <v>321</v>
      </c>
      <c r="B80" s="853"/>
      <c r="C80" s="854"/>
      <c r="D80" s="1421" t="s">
        <v>315</v>
      </c>
      <c r="E80" s="1422"/>
      <c r="F80" s="1423"/>
    </row>
    <row r="81" spans="1:6" ht="12" customHeight="1">
      <c r="A81" s="854"/>
      <c r="B81" s="854"/>
      <c r="C81" s="854"/>
      <c r="D81" s="858">
        <v>1</v>
      </c>
      <c r="E81" s="858">
        <v>2</v>
      </c>
      <c r="F81" s="858">
        <v>3</v>
      </c>
    </row>
    <row r="82" spans="1:6" ht="12" customHeight="1">
      <c r="A82" s="852" t="s">
        <v>376</v>
      </c>
      <c r="B82" s="854"/>
      <c r="C82" s="854"/>
      <c r="D82" s="854"/>
      <c r="E82" s="854"/>
      <c r="F82" s="854"/>
    </row>
    <row r="83" spans="1:6" ht="12" customHeight="1">
      <c r="A83" s="1438">
        <f>A73+1</f>
        <v>18</v>
      </c>
      <c r="B83" s="1427" t="s">
        <v>498</v>
      </c>
      <c r="C83" s="1429"/>
      <c r="D83" s="1430"/>
      <c r="E83" s="1430"/>
      <c r="F83" s="1433"/>
    </row>
    <row r="84" spans="1:6" ht="12" customHeight="1">
      <c r="A84" s="1439"/>
      <c r="B84" s="1428"/>
      <c r="C84" s="1429"/>
      <c r="D84" s="1431"/>
      <c r="E84" s="1431"/>
      <c r="F84" s="1433"/>
    </row>
    <row r="85" spans="1:6" ht="12" customHeight="1">
      <c r="A85" s="1440"/>
      <c r="B85" s="1428"/>
      <c r="C85" s="1429"/>
      <c r="D85" s="1434"/>
      <c r="E85" s="1434"/>
      <c r="F85" s="1433"/>
    </row>
    <row r="86" spans="1:6" ht="12" customHeight="1">
      <c r="A86" s="1438">
        <f>A83+1</f>
        <v>19</v>
      </c>
      <c r="B86" s="1428" t="s">
        <v>339</v>
      </c>
      <c r="C86" s="1429"/>
      <c r="D86" s="1430"/>
      <c r="E86" s="1430"/>
      <c r="F86" s="1433"/>
    </row>
    <row r="87" spans="1:6" ht="12" customHeight="1">
      <c r="A87" s="1439"/>
      <c r="B87" s="1428"/>
      <c r="C87" s="1429"/>
      <c r="D87" s="1431"/>
      <c r="E87" s="1431"/>
      <c r="F87" s="1433"/>
    </row>
    <row r="88" spans="1:6" ht="12" customHeight="1">
      <c r="A88" s="1440"/>
      <c r="B88" s="1428"/>
      <c r="C88" s="1429"/>
      <c r="D88" s="1434"/>
      <c r="E88" s="1434"/>
      <c r="F88" s="1433"/>
    </row>
    <row r="89" spans="1:6" ht="12" customHeight="1">
      <c r="A89" s="1438">
        <f>A86+1</f>
        <v>20</v>
      </c>
      <c r="B89" s="1428" t="s">
        <v>340</v>
      </c>
      <c r="C89" s="1429"/>
      <c r="D89" s="1430"/>
      <c r="E89" s="1430"/>
      <c r="F89" s="1433"/>
    </row>
    <row r="90" spans="1:6" ht="12" customHeight="1">
      <c r="A90" s="1439"/>
      <c r="B90" s="1428"/>
      <c r="C90" s="1429"/>
      <c r="D90" s="1431"/>
      <c r="E90" s="1431"/>
      <c r="F90" s="1433"/>
    </row>
    <row r="91" spans="1:6" ht="12" customHeight="1">
      <c r="A91" s="1440"/>
      <c r="B91" s="1428"/>
      <c r="C91" s="1429"/>
      <c r="D91" s="1434"/>
      <c r="E91" s="1434"/>
      <c r="F91" s="1433"/>
    </row>
    <row r="92" ht="12" customHeight="1"/>
    <row r="93" ht="12" customHeight="1">
      <c r="A93" s="852" t="s">
        <v>378</v>
      </c>
    </row>
    <row r="94" spans="1:6" ht="12" customHeight="1">
      <c r="A94" s="1438">
        <v>22</v>
      </c>
      <c r="B94" s="1428" t="s">
        <v>379</v>
      </c>
      <c r="C94" s="1429"/>
      <c r="D94" s="1430"/>
      <c r="E94" s="1430"/>
      <c r="F94" s="854"/>
    </row>
    <row r="95" spans="1:6" ht="12" customHeight="1">
      <c r="A95" s="1439"/>
      <c r="B95" s="1428"/>
      <c r="C95" s="1429"/>
      <c r="D95" s="1431"/>
      <c r="E95" s="1431"/>
      <c r="F95" s="854"/>
    </row>
    <row r="96" spans="1:6" ht="12" customHeight="1">
      <c r="A96" s="1440"/>
      <c r="B96" s="1428"/>
      <c r="C96" s="1429"/>
      <c r="D96" s="1431"/>
      <c r="E96" s="1431"/>
      <c r="F96" s="854"/>
    </row>
    <row r="97" spans="1:3" ht="12" customHeight="1">
      <c r="A97" s="854"/>
      <c r="B97" s="859"/>
      <c r="C97" s="854"/>
    </row>
    <row r="98" spans="1:3" ht="12" customHeight="1">
      <c r="A98" s="1441" t="s">
        <v>499</v>
      </c>
      <c r="B98" s="1442"/>
      <c r="C98" s="854"/>
    </row>
    <row r="99" spans="1:3" ht="12" customHeight="1">
      <c r="A99" s="1443"/>
      <c r="B99" s="1442"/>
      <c r="C99" s="854"/>
    </row>
    <row r="100" spans="1:6" ht="12" customHeight="1">
      <c r="A100" s="857"/>
      <c r="B100" s="857"/>
      <c r="C100" s="857"/>
      <c r="D100" s="857"/>
      <c r="E100" s="860"/>
      <c r="F100" s="857"/>
    </row>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sheetData>
  <sheetProtection password="CCBC" sheet="1" objects="1" scenarios="1"/>
  <mergeCells count="124">
    <mergeCell ref="F24:F26"/>
    <mergeCell ref="A98:B99"/>
    <mergeCell ref="E94:E96"/>
    <mergeCell ref="A94:A96"/>
    <mergeCell ref="A24:A26"/>
    <mergeCell ref="B24:B26"/>
    <mergeCell ref="D24:D26"/>
    <mergeCell ref="E24:E26"/>
    <mergeCell ref="B94:B96"/>
    <mergeCell ref="C94:C96"/>
    <mergeCell ref="D94:D96"/>
    <mergeCell ref="E89:E91"/>
    <mergeCell ref="F89:F91"/>
    <mergeCell ref="A86:A88"/>
    <mergeCell ref="B86:B88"/>
    <mergeCell ref="A89:A91"/>
    <mergeCell ref="B89:B91"/>
    <mergeCell ref="C89:C91"/>
    <mergeCell ref="D89:D91"/>
    <mergeCell ref="C86:C88"/>
    <mergeCell ref="D86:D88"/>
    <mergeCell ref="D80:F80"/>
    <mergeCell ref="E83:E85"/>
    <mergeCell ref="F83:F85"/>
    <mergeCell ref="E86:E88"/>
    <mergeCell ref="F86:F88"/>
    <mergeCell ref="A83:A85"/>
    <mergeCell ref="B83:B85"/>
    <mergeCell ref="C83:C85"/>
    <mergeCell ref="D83:D85"/>
    <mergeCell ref="D73:D75"/>
    <mergeCell ref="E73:E75"/>
    <mergeCell ref="A73:A75"/>
    <mergeCell ref="B73:B75"/>
    <mergeCell ref="C73:C75"/>
    <mergeCell ref="E67:E69"/>
    <mergeCell ref="F67:F69"/>
    <mergeCell ref="E70:E72"/>
    <mergeCell ref="F70:F72"/>
    <mergeCell ref="A70:A72"/>
    <mergeCell ref="B70:B72"/>
    <mergeCell ref="C70:C72"/>
    <mergeCell ref="D70:D72"/>
    <mergeCell ref="A67:A69"/>
    <mergeCell ref="B67:B69"/>
    <mergeCell ref="C67:C69"/>
    <mergeCell ref="D67:D69"/>
    <mergeCell ref="E64:E66"/>
    <mergeCell ref="F64:F66"/>
    <mergeCell ref="A64:A66"/>
    <mergeCell ref="B64:B66"/>
    <mergeCell ref="C64:C66"/>
    <mergeCell ref="D64:D66"/>
    <mergeCell ref="E58:E60"/>
    <mergeCell ref="F58:F60"/>
    <mergeCell ref="E61:E63"/>
    <mergeCell ref="F61:F63"/>
    <mergeCell ref="A61:A63"/>
    <mergeCell ref="B61:B63"/>
    <mergeCell ref="C61:C63"/>
    <mergeCell ref="D61:D63"/>
    <mergeCell ref="A58:A60"/>
    <mergeCell ref="B58:B60"/>
    <mergeCell ref="C58:C60"/>
    <mergeCell ref="D58:D60"/>
    <mergeCell ref="D48:F48"/>
    <mergeCell ref="A55:A57"/>
    <mergeCell ref="B55:B57"/>
    <mergeCell ref="C55:C57"/>
    <mergeCell ref="D55:D57"/>
    <mergeCell ref="E55:E57"/>
    <mergeCell ref="F55:F57"/>
    <mergeCell ref="E41:E43"/>
    <mergeCell ref="A52:A54"/>
    <mergeCell ref="B52:B54"/>
    <mergeCell ref="C52:C54"/>
    <mergeCell ref="D52:D54"/>
    <mergeCell ref="E52:E54"/>
    <mergeCell ref="A41:A43"/>
    <mergeCell ref="B41:B43"/>
    <mergeCell ref="C41:C43"/>
    <mergeCell ref="D41:D43"/>
    <mergeCell ref="E33:E35"/>
    <mergeCell ref="F33:F35"/>
    <mergeCell ref="A38:A40"/>
    <mergeCell ref="B38:B40"/>
    <mergeCell ref="C38:C40"/>
    <mergeCell ref="D38:D40"/>
    <mergeCell ref="E38:E40"/>
    <mergeCell ref="A33:A35"/>
    <mergeCell ref="B33:B35"/>
    <mergeCell ref="C33:C35"/>
    <mergeCell ref="D33:D35"/>
    <mergeCell ref="E27:E29"/>
    <mergeCell ref="F27:F29"/>
    <mergeCell ref="A30:A32"/>
    <mergeCell ref="B30:B32"/>
    <mergeCell ref="C30:C32"/>
    <mergeCell ref="D30:D32"/>
    <mergeCell ref="E30:E32"/>
    <mergeCell ref="F30:F32"/>
    <mergeCell ref="A27:A29"/>
    <mergeCell ref="B27:B29"/>
    <mergeCell ref="C27:C29"/>
    <mergeCell ref="D27:D29"/>
    <mergeCell ref="E18:E20"/>
    <mergeCell ref="D18:D20"/>
    <mergeCell ref="F18:F20"/>
    <mergeCell ref="A21:A23"/>
    <mergeCell ref="B21:B23"/>
    <mergeCell ref="C21:C23"/>
    <mergeCell ref="D21:D23"/>
    <mergeCell ref="E21:E23"/>
    <mergeCell ref="F21:F23"/>
    <mergeCell ref="A18:A20"/>
    <mergeCell ref="B18:B20"/>
    <mergeCell ref="C18:C20"/>
    <mergeCell ref="D10:F10"/>
    <mergeCell ref="A13:A15"/>
    <mergeCell ref="B13:B15"/>
    <mergeCell ref="C13:C15"/>
    <mergeCell ref="D13:D15"/>
    <mergeCell ref="E13:E15"/>
    <mergeCell ref="F13:F15"/>
  </mergeCells>
  <conditionalFormatting sqref="D83:F91 D94:E96 D73:E75 D55:F72 D52:E54 D13:E15 D38:E43 D18:F35">
    <cfRule type="expression" priority="1" dxfId="0" stopIfTrue="1">
      <formula>$C$2=TRUE</formula>
    </cfRule>
  </conditionalFormatting>
  <printOptions/>
  <pageMargins left="0.3937007874015748" right="0.3937007874015748" top="0.3937007874015748" bottom="0.3937007874015748" header="0.6299212598425197" footer="0.11811023622047245"/>
  <pageSetup horizontalDpi="600" verticalDpi="600" orientation="landscape" paperSize="9" r:id="rId3"/>
  <rowBreaks count="2" manualBreakCount="2">
    <brk id="44" max="6" man="1"/>
    <brk id="76"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Blad2">
    <pageSetUpPr fitToPage="1"/>
  </sheetPr>
  <dimension ref="A1:Q50"/>
  <sheetViews>
    <sheetView showGridLines="0" showRowColHeaders="0" showZeros="0" tabSelected="1" showOutlineSymbols="0" view="pageBreakPreview" zoomScale="75" zoomScaleNormal="86" zoomScaleSheetLayoutView="75" workbookViewId="0" topLeftCell="A1">
      <pane ySplit="3" topLeftCell="BM4" activePane="bottomLeft" state="frozen"/>
      <selection pane="topLeft" activeCell="O22" sqref="O22"/>
      <selection pane="bottomLeft" activeCell="I9" sqref="I9"/>
    </sheetView>
  </sheetViews>
  <sheetFormatPr defaultColWidth="9.140625" defaultRowHeight="12.75"/>
  <cols>
    <col min="1" max="1" width="6.7109375" style="438" customWidth="1"/>
    <col min="2" max="2" width="6.7109375" style="434" customWidth="1"/>
    <col min="3" max="3" width="8.140625" style="438" customWidth="1"/>
    <col min="4" max="4" width="27.28125" style="438" customWidth="1"/>
    <col min="5" max="6" width="6.7109375" style="438" customWidth="1"/>
    <col min="7" max="7" width="2.7109375" style="438" customWidth="1"/>
    <col min="8" max="8" width="6.7109375" style="438" customWidth="1"/>
    <col min="9" max="10" width="6.7109375" style="434" customWidth="1"/>
    <col min="11" max="11" width="14.28125" style="434" customWidth="1"/>
    <col min="12" max="12" width="13.7109375" style="434" customWidth="1"/>
    <col min="13" max="14" width="6.7109375" style="438" customWidth="1"/>
    <col min="15" max="16384" width="9.140625" style="438" customWidth="1"/>
  </cols>
  <sheetData>
    <row r="1" spans="1:14" s="512" customFormat="1" ht="15" customHeight="1">
      <c r="A1" s="689" t="s">
        <v>553</v>
      </c>
      <c r="B1" s="690"/>
      <c r="C1" s="690"/>
      <c r="D1" s="690"/>
      <c r="E1" s="691"/>
      <c r="F1" s="691"/>
      <c r="G1" s="692"/>
      <c r="H1" s="692"/>
      <c r="I1" s="693"/>
      <c r="J1" s="693"/>
      <c r="K1" s="693"/>
      <c r="L1" s="693"/>
      <c r="M1" s="692"/>
      <c r="N1" s="692"/>
    </row>
    <row r="2" spans="1:14" s="513" customFormat="1" ht="12.75" customHeight="1">
      <c r="A2" s="694"/>
      <c r="B2" s="694"/>
      <c r="C2" s="694"/>
      <c r="D2" s="694"/>
      <c r="E2" s="694"/>
      <c r="F2" s="694"/>
      <c r="G2" s="694"/>
      <c r="H2" s="694"/>
      <c r="I2" s="695"/>
      <c r="J2" s="695"/>
      <c r="K2" s="695"/>
      <c r="L2" s="695"/>
      <c r="M2" s="694"/>
      <c r="N2" s="694"/>
    </row>
    <row r="3" spans="1:14" ht="25.5">
      <c r="A3" s="696" t="s">
        <v>522</v>
      </c>
      <c r="B3" s="696"/>
      <c r="C3" s="696"/>
      <c r="D3" s="697">
        <v>2005</v>
      </c>
      <c r="E3" s="698" t="str">
        <f>CONCATENATE("INZENDEN VOOR 31 DECEMBER ",D3+1)</f>
        <v>INZENDEN VOOR 31 DECEMBER 2006</v>
      </c>
      <c r="F3" s="699"/>
      <c r="G3" s="700"/>
      <c r="H3" s="700"/>
      <c r="I3" s="701"/>
      <c r="J3" s="701"/>
      <c r="K3" s="701"/>
      <c r="L3" s="702">
        <f>IF(OR(Voorblad!D3=1996,Voorblad!D3=2000,Voorblad!D3=2004),366,365)</f>
        <v>365</v>
      </c>
      <c r="M3" s="701"/>
      <c r="N3" s="703"/>
    </row>
    <row r="4" spans="1:14" ht="12.75">
      <c r="A4" s="639"/>
      <c r="B4" s="2"/>
      <c r="C4" s="639"/>
      <c r="D4" s="639"/>
      <c r="E4" s="639"/>
      <c r="F4" s="639"/>
      <c r="G4" s="704"/>
      <c r="H4" s="639"/>
      <c r="I4" s="2"/>
      <c r="J4" s="2"/>
      <c r="K4" s="2"/>
      <c r="L4" s="2"/>
      <c r="M4" s="639"/>
      <c r="N4" s="639"/>
    </row>
    <row r="5" spans="1:14" ht="12.75">
      <c r="A5" s="639"/>
      <c r="B5" s="2"/>
      <c r="C5" s="639"/>
      <c r="D5" s="639"/>
      <c r="E5" s="639"/>
      <c r="F5" s="639"/>
      <c r="G5" s="704"/>
      <c r="H5" s="639"/>
      <c r="I5" s="2"/>
      <c r="J5" s="2"/>
      <c r="K5" s="2"/>
      <c r="L5" s="2"/>
      <c r="M5" s="639"/>
      <c r="N5" s="639"/>
    </row>
    <row r="6" spans="1:14" s="434" customFormat="1" ht="12.75" customHeight="1">
      <c r="A6" s="2"/>
      <c r="B6" s="2"/>
      <c r="C6" s="2"/>
      <c r="D6" s="2"/>
      <c r="E6" s="2"/>
      <c r="F6" s="823"/>
      <c r="G6" s="5"/>
      <c r="H6" s="2"/>
      <c r="I6" s="2"/>
      <c r="J6" s="2"/>
      <c r="K6" s="2"/>
      <c r="L6" s="1256" t="s">
        <v>532</v>
      </c>
      <c r="M6" s="1257"/>
      <c r="N6" s="1258"/>
    </row>
    <row r="7" spans="1:14" s="434" customFormat="1" ht="12.75">
      <c r="A7" s="2"/>
      <c r="B7" s="2"/>
      <c r="C7" s="2"/>
      <c r="D7" s="2"/>
      <c r="E7" s="2"/>
      <c r="F7" s="2"/>
      <c r="G7" s="5"/>
      <c r="H7" s="2"/>
      <c r="I7" s="2"/>
      <c r="J7" s="2"/>
      <c r="K7" s="705" t="s">
        <v>533</v>
      </c>
      <c r="L7" s="1246" t="s">
        <v>28</v>
      </c>
      <c r="M7" s="1247"/>
      <c r="N7" s="1248"/>
    </row>
    <row r="8" spans="1:14" s="434" customFormat="1" ht="12.75">
      <c r="A8" s="2"/>
      <c r="B8" s="2"/>
      <c r="C8" s="2"/>
      <c r="D8" s="2"/>
      <c r="E8" s="2"/>
      <c r="F8" s="2"/>
      <c r="G8" s="5"/>
      <c r="H8" s="2"/>
      <c r="I8" s="2"/>
      <c r="J8" s="2"/>
      <c r="K8" s="706" t="s">
        <v>406</v>
      </c>
      <c r="L8" s="1249"/>
      <c r="M8" s="1250"/>
      <c r="N8" s="1243"/>
    </row>
    <row r="9" spans="1:14" s="434" customFormat="1" ht="12.75">
      <c r="A9" s="2"/>
      <c r="B9" s="2"/>
      <c r="C9" s="2"/>
      <c r="D9" s="2"/>
      <c r="E9" s="2"/>
      <c r="F9" s="2"/>
      <c r="G9" s="5"/>
      <c r="H9" s="2"/>
      <c r="I9" s="2"/>
      <c r="J9" s="2"/>
      <c r="K9" s="707" t="s">
        <v>531</v>
      </c>
      <c r="L9" s="1259"/>
      <c r="M9" s="1260"/>
      <c r="N9" s="1261"/>
    </row>
    <row r="10" spans="1:14" s="463" customFormat="1" ht="12.75">
      <c r="A10" s="45"/>
      <c r="B10" s="90"/>
      <c r="C10" s="90"/>
      <c r="D10" s="90"/>
      <c r="E10" s="708"/>
      <c r="F10" s="90"/>
      <c r="G10" s="704"/>
      <c r="H10" s="704"/>
      <c r="I10" s="5"/>
      <c r="J10" s="5"/>
      <c r="K10" s="839" t="s">
        <v>292</v>
      </c>
      <c r="L10" s="1253" t="s">
        <v>112</v>
      </c>
      <c r="M10" s="1254"/>
      <c r="N10" s="1255"/>
    </row>
    <row r="11" spans="1:14" s="463" customFormat="1" ht="12.75">
      <c r="A11" s="45"/>
      <c r="B11" s="90"/>
      <c r="C11" s="90"/>
      <c r="D11" s="90"/>
      <c r="E11" s="708"/>
      <c r="F11" s="90"/>
      <c r="G11" s="704"/>
      <c r="H11" s="704"/>
      <c r="I11" s="5"/>
      <c r="J11" s="5"/>
      <c r="K11" s="90"/>
      <c r="L11" s="881"/>
      <c r="M11" s="882"/>
      <c r="N11" s="882"/>
    </row>
    <row r="12" spans="1:14" s="463" customFormat="1" ht="15.75">
      <c r="A12" s="883" t="s">
        <v>269</v>
      </c>
      <c r="B12" s="90"/>
      <c r="C12" s="90"/>
      <c r="D12" s="90"/>
      <c r="E12" s="708"/>
      <c r="F12" s="90"/>
      <c r="G12" s="704"/>
      <c r="H12" s="704"/>
      <c r="I12" s="5"/>
      <c r="J12" s="5"/>
      <c r="K12" s="90"/>
      <c r="L12" s="881"/>
      <c r="M12" s="882"/>
      <c r="N12" s="882"/>
    </row>
    <row r="13" spans="1:14" s="463" customFormat="1" ht="15.75">
      <c r="A13" s="884"/>
      <c r="B13" s="2"/>
      <c r="C13" s="639"/>
      <c r="D13" s="639"/>
      <c r="E13" s="639"/>
      <c r="F13" s="639"/>
      <c r="G13" s="704"/>
      <c r="H13" s="704"/>
      <c r="I13" s="5"/>
      <c r="J13" s="5"/>
      <c r="K13" s="5"/>
      <c r="L13" s="90"/>
      <c r="M13" s="709"/>
      <c r="N13" s="709"/>
    </row>
    <row r="14" spans="1:14" s="454" customFormat="1" ht="12.75" customHeight="1">
      <c r="A14" s="1262"/>
      <c r="B14" s="1263"/>
      <c r="C14" s="1263"/>
      <c r="D14" s="1263"/>
      <c r="E14" s="1263"/>
      <c r="F14" s="1263"/>
      <c r="G14" s="1263"/>
      <c r="H14" s="1263"/>
      <c r="I14" s="1263"/>
      <c r="J14" s="1263"/>
      <c r="K14" s="1263"/>
      <c r="L14" s="1263"/>
      <c r="M14" s="1263"/>
      <c r="N14" s="1263"/>
    </row>
    <row r="15" spans="1:14" s="454" customFormat="1" ht="12.75" customHeight="1">
      <c r="A15" s="1263"/>
      <c r="B15" s="1263"/>
      <c r="C15" s="1263"/>
      <c r="D15" s="1263"/>
      <c r="E15" s="1263"/>
      <c r="F15" s="1263"/>
      <c r="G15" s="1263"/>
      <c r="H15" s="1263"/>
      <c r="I15" s="1263"/>
      <c r="J15" s="1263"/>
      <c r="K15" s="1263"/>
      <c r="L15" s="1263"/>
      <c r="M15" s="1263"/>
      <c r="N15" s="1263"/>
    </row>
    <row r="16" spans="1:14" s="454" customFormat="1" ht="12.75" customHeight="1">
      <c r="A16" s="1263"/>
      <c r="B16" s="1263"/>
      <c r="C16" s="1263"/>
      <c r="D16" s="1263"/>
      <c r="E16" s="1263"/>
      <c r="F16" s="1263"/>
      <c r="G16" s="1263"/>
      <c r="H16" s="1263"/>
      <c r="I16" s="1263"/>
      <c r="J16" s="1263"/>
      <c r="K16" s="1263"/>
      <c r="L16" s="1263"/>
      <c r="M16" s="1263"/>
      <c r="N16" s="1263"/>
    </row>
    <row r="17" spans="1:14" s="454" customFormat="1" ht="12.75" customHeight="1" thickBot="1">
      <c r="A17" s="514"/>
      <c r="B17" s="514"/>
      <c r="C17" s="514"/>
      <c r="D17" s="514"/>
      <c r="E17" s="514"/>
      <c r="F17" s="514"/>
      <c r="G17" s="514"/>
      <c r="H17" s="514"/>
      <c r="I17" s="514"/>
      <c r="J17" s="514"/>
      <c r="K17" s="514"/>
      <c r="L17" s="514"/>
      <c r="M17" s="514"/>
      <c r="N17" s="514"/>
    </row>
    <row r="18" spans="2:13" ht="12.75">
      <c r="B18" s="515"/>
      <c r="C18" s="516" t="s">
        <v>412</v>
      </c>
      <c r="D18" s="517"/>
      <c r="E18" s="517"/>
      <c r="F18" s="517"/>
      <c r="G18" s="517"/>
      <c r="H18" s="517"/>
      <c r="I18" s="518"/>
      <c r="J18" s="518"/>
      <c r="K18" s="518"/>
      <c r="L18" s="518"/>
      <c r="M18" s="519"/>
    </row>
    <row r="19" spans="2:13" ht="12.75">
      <c r="B19" s="520"/>
      <c r="C19"/>
      <c r="D19" s="463"/>
      <c r="E19" s="463"/>
      <c r="F19" s="463"/>
      <c r="G19" s="463"/>
      <c r="H19" s="463"/>
      <c r="I19" s="437"/>
      <c r="J19" s="437"/>
      <c r="K19" s="437"/>
      <c r="L19" s="437"/>
      <c r="M19" s="521"/>
    </row>
    <row r="20" spans="2:13" ht="12.75">
      <c r="B20" s="520"/>
      <c r="C20" s="463"/>
      <c r="D20" s="1251" t="s">
        <v>297</v>
      </c>
      <c r="E20" s="1252"/>
      <c r="F20" s="1252"/>
      <c r="G20" s="1252"/>
      <c r="H20" s="1252"/>
      <c r="I20" s="1252"/>
      <c r="J20" s="1252"/>
      <c r="K20" s="1252"/>
      <c r="L20" s="1252"/>
      <c r="M20" s="521"/>
    </row>
    <row r="21" spans="2:13" ht="12.75" customHeight="1">
      <c r="B21" s="520"/>
      <c r="C21"/>
      <c r="D21" s="1252"/>
      <c r="E21" s="1252"/>
      <c r="F21" s="1252"/>
      <c r="G21" s="1252"/>
      <c r="H21" s="1252"/>
      <c r="I21" s="1252"/>
      <c r="J21" s="1252"/>
      <c r="K21" s="1252"/>
      <c r="L21" s="1252"/>
      <c r="M21" s="521"/>
    </row>
    <row r="22" spans="2:13" ht="12.75">
      <c r="B22" s="520"/>
      <c r="C22" s="463"/>
      <c r="D22" s="1240" t="s">
        <v>15</v>
      </c>
      <c r="E22" s="1240"/>
      <c r="F22" s="1240"/>
      <c r="G22" s="1240"/>
      <c r="H22" s="1240"/>
      <c r="I22" s="1240"/>
      <c r="J22" s="1240"/>
      <c r="K22" s="1240"/>
      <c r="L22" s="1240"/>
      <c r="M22" s="521"/>
    </row>
    <row r="23" spans="2:13" ht="12.75">
      <c r="B23" s="520"/>
      <c r="C23" s="463"/>
      <c r="D23" s="1240"/>
      <c r="E23" s="1240"/>
      <c r="F23" s="1240"/>
      <c r="G23" s="1240"/>
      <c r="H23" s="1240"/>
      <c r="I23" s="1240"/>
      <c r="J23" s="1240"/>
      <c r="K23" s="1240"/>
      <c r="L23" s="1240"/>
      <c r="M23" s="521"/>
    </row>
    <row r="24" spans="2:13" ht="12.75">
      <c r="B24" s="520"/>
      <c r="C24" s="463"/>
      <c r="D24" s="1240"/>
      <c r="E24" s="1240"/>
      <c r="F24" s="1240"/>
      <c r="G24" s="1240"/>
      <c r="H24" s="1240"/>
      <c r="I24" s="1240"/>
      <c r="J24" s="1240"/>
      <c r="K24" s="1240"/>
      <c r="L24" s="1240"/>
      <c r="M24" s="521"/>
    </row>
    <row r="25" spans="2:13" ht="12.75">
      <c r="B25" s="520"/>
      <c r="C25" s="463"/>
      <c r="D25" s="1239" t="s">
        <v>314</v>
      </c>
      <c r="E25" s="1239"/>
      <c r="F25" s="1239"/>
      <c r="G25" s="1239"/>
      <c r="H25" s="1239"/>
      <c r="I25" s="1239"/>
      <c r="J25" s="1239"/>
      <c r="K25" s="1239"/>
      <c r="L25" s="1239"/>
      <c r="M25" s="521"/>
    </row>
    <row r="26" spans="2:13" ht="12.75">
      <c r="B26" s="520"/>
      <c r="C26" s="463"/>
      <c r="D26" s="1239"/>
      <c r="E26" s="1239"/>
      <c r="F26" s="1239"/>
      <c r="G26" s="1239"/>
      <c r="H26" s="1239"/>
      <c r="I26" s="1239"/>
      <c r="J26" s="1239"/>
      <c r="K26" s="1239"/>
      <c r="L26" s="1239"/>
      <c r="M26" s="521"/>
    </row>
    <row r="27" spans="2:13" ht="12.75">
      <c r="B27" s="520"/>
      <c r="C27" s="463"/>
      <c r="D27" s="1239"/>
      <c r="E27" s="1239"/>
      <c r="F27" s="1239"/>
      <c r="G27" s="1239"/>
      <c r="H27" s="1239"/>
      <c r="I27" s="1239"/>
      <c r="J27" s="1239"/>
      <c r="K27" s="1239"/>
      <c r="L27" s="1239"/>
      <c r="M27" s="521"/>
    </row>
    <row r="28" spans="2:13" ht="12.75">
      <c r="B28" s="520"/>
      <c r="C28" s="463"/>
      <c r="D28" s="437"/>
      <c r="E28" s="437"/>
      <c r="F28" s="437"/>
      <c r="G28" s="437"/>
      <c r="H28" s="437"/>
      <c r="I28" s="437"/>
      <c r="J28" s="437"/>
      <c r="K28" s="437"/>
      <c r="L28" s="437"/>
      <c r="M28" s="521"/>
    </row>
    <row r="29" spans="2:13" ht="12.75">
      <c r="B29" s="520"/>
      <c r="C29" s="463"/>
      <c r="D29" s="522" t="str">
        <f>IF(D30=TRUE,"      Invulvelden gearceerd","      Invulvelden niet gearceerd")</f>
        <v>      Invulvelden gearceerd</v>
      </c>
      <c r="E29" s="523"/>
      <c r="F29" s="524"/>
      <c r="G29" s="463"/>
      <c r="H29" s="463"/>
      <c r="I29"/>
      <c r="J29"/>
      <c r="K29"/>
      <c r="L29"/>
      <c r="M29" s="525"/>
    </row>
    <row r="30" spans="2:13" s="464" customFormat="1" ht="13.5" thickBot="1">
      <c r="B30" s="526"/>
      <c r="C30" s="527"/>
      <c r="D30" s="732" t="b">
        <v>1</v>
      </c>
      <c r="E30" s="528"/>
      <c r="F30" s="528"/>
      <c r="G30" s="527"/>
      <c r="H30" s="527"/>
      <c r="I30" s="732"/>
      <c r="J30" s="528"/>
      <c r="K30" s="528"/>
      <c r="L30" s="529"/>
      <c r="M30" s="530"/>
    </row>
    <row r="31" spans="1:17" s="454" customFormat="1" ht="12.75" customHeight="1">
      <c r="A31" s="486"/>
      <c r="B31" s="458"/>
      <c r="C31" s="456"/>
      <c r="D31" s="456"/>
      <c r="E31" s="456"/>
      <c r="F31" s="456"/>
      <c r="I31" s="467"/>
      <c r="J31" s="467"/>
      <c r="K31" s="885"/>
      <c r="L31" s="467"/>
      <c r="M31" s="531"/>
      <c r="N31" s="531"/>
      <c r="Q31" s="475"/>
    </row>
    <row r="32" spans="1:14" s="534" customFormat="1" ht="16.5" customHeight="1">
      <c r="A32" s="710" t="s">
        <v>388</v>
      </c>
      <c r="B32" s="599"/>
      <c r="C32" s="599"/>
      <c r="D32" s="599"/>
      <c r="E32" s="711" t="s">
        <v>81</v>
      </c>
      <c r="F32" s="712" t="s">
        <v>25</v>
      </c>
      <c r="H32" s="454"/>
      <c r="I32" s="467"/>
      <c r="J32" s="467"/>
      <c r="K32" s="886"/>
      <c r="L32" s="886"/>
      <c r="M32" s="531"/>
      <c r="N32" s="531"/>
    </row>
    <row r="33" spans="1:14" s="534" customFormat="1" ht="16.5" customHeight="1">
      <c r="A33" s="537"/>
      <c r="B33" s="502"/>
      <c r="C33" s="502"/>
      <c r="D33" s="502"/>
      <c r="E33" s="558"/>
      <c r="F33" s="558"/>
      <c r="K33" s="448"/>
      <c r="L33" s="887"/>
      <c r="M33" s="535"/>
      <c r="N33" s="535"/>
    </row>
    <row r="34" spans="1:3" s="502" customFormat="1" ht="16.5" customHeight="1">
      <c r="A34" s="536"/>
      <c r="B34" s="536"/>
      <c r="C34" s="536"/>
    </row>
    <row r="35" spans="1:14" s="501" customFormat="1" ht="16.5" customHeight="1">
      <c r="A35" s="713" t="s">
        <v>389</v>
      </c>
      <c r="B35" s="714"/>
      <c r="C35" s="715"/>
      <c r="D35" s="1293"/>
      <c r="E35" s="1294"/>
      <c r="F35" s="1295"/>
      <c r="H35" s="1241" t="s">
        <v>148</v>
      </c>
      <c r="I35" s="1242"/>
      <c r="J35" s="1242"/>
      <c r="K35" s="1227"/>
      <c r="L35" s="1227"/>
      <c r="M35" s="1227"/>
      <c r="N35" s="1228"/>
    </row>
    <row r="36" spans="1:14" s="501" customFormat="1" ht="16.5" customHeight="1">
      <c r="A36" s="716" t="s">
        <v>390</v>
      </c>
      <c r="B36" s="717"/>
      <c r="C36" s="717"/>
      <c r="D36" s="1287"/>
      <c r="E36" s="1288"/>
      <c r="F36" s="1289"/>
      <c r="H36" s="1233" t="s">
        <v>523</v>
      </c>
      <c r="I36" s="1234"/>
      <c r="J36" s="1235"/>
      <c r="K36" s="1236"/>
      <c r="L36" s="1226"/>
      <c r="M36" s="1226"/>
      <c r="N36" s="1264"/>
    </row>
    <row r="37" spans="1:14" s="501" customFormat="1" ht="16.5" customHeight="1">
      <c r="A37" s="713" t="s">
        <v>523</v>
      </c>
      <c r="B37" s="715"/>
      <c r="C37" s="715"/>
      <c r="D37" s="1287"/>
      <c r="E37" s="1288"/>
      <c r="F37" s="1289"/>
      <c r="H37" s="1231" t="s">
        <v>406</v>
      </c>
      <c r="I37" s="1232"/>
      <c r="J37" s="1232"/>
      <c r="K37" s="1229"/>
      <c r="L37" s="1229"/>
      <c r="M37" s="1229"/>
      <c r="N37" s="1230"/>
    </row>
    <row r="38" spans="1:14" s="501" customFormat="1" ht="16.5" customHeight="1">
      <c r="A38" s="718" t="s">
        <v>524</v>
      </c>
      <c r="B38" s="719"/>
      <c r="C38" s="719"/>
      <c r="D38" s="1287"/>
      <c r="E38" s="1288"/>
      <c r="F38" s="1289"/>
      <c r="H38" s="1265" t="s">
        <v>380</v>
      </c>
      <c r="I38" s="1266"/>
      <c r="J38" s="1266"/>
      <c r="K38" s="1273"/>
      <c r="L38" s="1273"/>
      <c r="M38" s="1273"/>
      <c r="N38" s="1274"/>
    </row>
    <row r="39" spans="1:14" s="501" customFormat="1" ht="16.5" customHeight="1">
      <c r="A39" s="718" t="s">
        <v>525</v>
      </c>
      <c r="B39" s="719"/>
      <c r="C39" s="719"/>
      <c r="D39" s="1287"/>
      <c r="E39" s="1288"/>
      <c r="F39" s="1289"/>
      <c r="H39" s="1267" t="s">
        <v>149</v>
      </c>
      <c r="I39" s="1268"/>
      <c r="J39" s="1269"/>
      <c r="K39" s="1275"/>
      <c r="L39" s="1276"/>
      <c r="M39" s="1276"/>
      <c r="N39" s="1277"/>
    </row>
    <row r="40" spans="1:14" s="501" customFormat="1" ht="16.5" customHeight="1">
      <c r="A40" s="716" t="s">
        <v>526</v>
      </c>
      <c r="B40" s="717"/>
      <c r="C40" s="717"/>
      <c r="D40" s="1290"/>
      <c r="E40" s="1291"/>
      <c r="F40" s="1292"/>
      <c r="H40" s="1233" t="s">
        <v>523</v>
      </c>
      <c r="I40" s="1234"/>
      <c r="J40" s="1235"/>
      <c r="K40" s="1275"/>
      <c r="L40" s="1276"/>
      <c r="M40" s="1276"/>
      <c r="N40" s="1277"/>
    </row>
    <row r="41" spans="1:14" s="501" customFormat="1" ht="16.5" customHeight="1">
      <c r="A41" s="720" t="s">
        <v>530</v>
      </c>
      <c r="B41" s="721"/>
      <c r="C41" s="721"/>
      <c r="D41" s="721"/>
      <c r="E41" s="721"/>
      <c r="F41" s="722"/>
      <c r="H41" s="1233" t="s">
        <v>406</v>
      </c>
      <c r="I41" s="1234"/>
      <c r="J41" s="1235"/>
      <c r="K41" s="1236"/>
      <c r="L41" s="1226"/>
      <c r="M41" s="1226"/>
      <c r="N41" s="1264"/>
    </row>
    <row r="42" spans="1:14" s="501" customFormat="1" ht="16.5" customHeight="1">
      <c r="A42" s="723"/>
      <c r="B42" s="724"/>
      <c r="C42" s="724"/>
      <c r="D42" s="724"/>
      <c r="E42" s="724"/>
      <c r="F42" s="725"/>
      <c r="H42" s="1270" t="s">
        <v>380</v>
      </c>
      <c r="I42" s="1271"/>
      <c r="J42" s="1272"/>
      <c r="K42" s="1278"/>
      <c r="L42" s="1279"/>
      <c r="M42" s="1279"/>
      <c r="N42" s="1280"/>
    </row>
    <row r="43" spans="1:14" s="501" customFormat="1" ht="16.5" customHeight="1">
      <c r="A43" s="723"/>
      <c r="B43" s="724"/>
      <c r="C43" s="724"/>
      <c r="D43" s="724"/>
      <c r="E43" s="724"/>
      <c r="F43" s="725"/>
      <c r="H43" s="1281" t="s">
        <v>150</v>
      </c>
      <c r="I43" s="1282"/>
      <c r="J43" s="1283"/>
      <c r="K43" s="1284"/>
      <c r="L43" s="1285"/>
      <c r="M43" s="1285"/>
      <c r="N43" s="1286"/>
    </row>
    <row r="44" spans="1:14" s="501" customFormat="1" ht="16.5" customHeight="1">
      <c r="A44" s="723"/>
      <c r="B44" s="724"/>
      <c r="C44" s="724"/>
      <c r="D44" s="724"/>
      <c r="E44" s="724"/>
      <c r="F44" s="726" t="s">
        <v>529</v>
      </c>
      <c r="H44" s="1233" t="s">
        <v>406</v>
      </c>
      <c r="I44" s="1234"/>
      <c r="J44" s="1235"/>
      <c r="K44" s="1236"/>
      <c r="L44" s="1226"/>
      <c r="M44" s="1226"/>
      <c r="N44" s="1264"/>
    </row>
    <row r="45" spans="1:14" s="501" customFormat="1" ht="16.5" customHeight="1">
      <c r="A45" s="1237"/>
      <c r="B45" s="1238"/>
      <c r="C45" s="727" t="s">
        <v>527</v>
      </c>
      <c r="D45" s="1244"/>
      <c r="E45" s="1245"/>
      <c r="F45" s="728" t="s">
        <v>528</v>
      </c>
      <c r="H45" s="1270" t="s">
        <v>380</v>
      </c>
      <c r="I45" s="1271"/>
      <c r="J45" s="1272"/>
      <c r="K45" s="1278"/>
      <c r="L45" s="1279"/>
      <c r="M45" s="1279"/>
      <c r="N45" s="1280"/>
    </row>
    <row r="46" s="447" customFormat="1" ht="16.5" customHeight="1" thickBot="1"/>
    <row r="47" spans="1:14" s="458" customFormat="1" ht="16.5" customHeight="1" thickBot="1">
      <c r="A47" s="642" t="str">
        <f>CONCATENATE("Bovengenoemde partijen verzoeken de definitieve aanvaardbare kosten ",D3," goed te keuren/vast te stellen op:")</f>
        <v>Bovengenoemde partijen verzoeken de definitieve aanvaardbare kosten 2005 goed te keuren/vast te stellen op:</v>
      </c>
      <c r="B47" s="729"/>
      <c r="C47" s="729"/>
      <c r="D47" s="729"/>
      <c r="E47" s="729"/>
      <c r="F47" s="729"/>
      <c r="G47" s="729"/>
      <c r="H47" s="502"/>
      <c r="I47" s="502"/>
      <c r="J47" s="502"/>
      <c r="K47" s="502"/>
      <c r="L47" s="824">
        <f>Mutaties!E24</f>
        <v>0</v>
      </c>
      <c r="M47" s="825"/>
      <c r="N47" s="826" t="str">
        <f>CONCATENATE("(regel ",Mutaties!A24,")")</f>
        <v>(regel 1516)</v>
      </c>
    </row>
    <row r="48" spans="1:14" ht="13.5" thickBot="1">
      <c r="A48" s="501"/>
      <c r="B48" s="537"/>
      <c r="C48" s="501"/>
      <c r="D48" s="502"/>
      <c r="E48" s="538"/>
      <c r="F48" s="501"/>
      <c r="G48" s="501"/>
      <c r="H48" s="501"/>
      <c r="I48" s="501"/>
      <c r="J48" s="501"/>
      <c r="K48" s="501"/>
      <c r="L48" s="501"/>
      <c r="M48" s="501"/>
      <c r="N48" s="501"/>
    </row>
    <row r="49" spans="1:11" ht="13.5" thickBot="1">
      <c r="A49" s="460" t="s">
        <v>188</v>
      </c>
      <c r="B49" s="467"/>
      <c r="C49" s="467"/>
      <c r="D49" s="467"/>
      <c r="E49" s="467"/>
      <c r="F49" s="837"/>
      <c r="G49" s="458"/>
      <c r="H49" s="729"/>
      <c r="I49" s="729"/>
      <c r="J49" s="729"/>
      <c r="K49" s="729"/>
    </row>
    <row r="50" ht="12.75">
      <c r="I50" s="438"/>
    </row>
  </sheetData>
  <sheetProtection password="CCBC" sheet="1" objects="1" scenarios="1"/>
  <mergeCells count="39">
    <mergeCell ref="D39:F39"/>
    <mergeCell ref="D40:F40"/>
    <mergeCell ref="D35:F35"/>
    <mergeCell ref="D36:F36"/>
    <mergeCell ref="D37:F37"/>
    <mergeCell ref="D38:F38"/>
    <mergeCell ref="H43:J43"/>
    <mergeCell ref="H44:J44"/>
    <mergeCell ref="H45:J45"/>
    <mergeCell ref="K43:N43"/>
    <mergeCell ref="K44:N44"/>
    <mergeCell ref="K45:N45"/>
    <mergeCell ref="K38:N38"/>
    <mergeCell ref="K39:N39"/>
    <mergeCell ref="K41:N41"/>
    <mergeCell ref="K42:N42"/>
    <mergeCell ref="K40:N40"/>
    <mergeCell ref="H38:J38"/>
    <mergeCell ref="H39:J39"/>
    <mergeCell ref="H41:J41"/>
    <mergeCell ref="H42:J42"/>
    <mergeCell ref="H40:J40"/>
    <mergeCell ref="D45:E45"/>
    <mergeCell ref="A45:B45"/>
    <mergeCell ref="D25:L27"/>
    <mergeCell ref="D22:L24"/>
    <mergeCell ref="H35:J35"/>
    <mergeCell ref="K35:N35"/>
    <mergeCell ref="K37:N37"/>
    <mergeCell ref="H37:J37"/>
    <mergeCell ref="H36:J36"/>
    <mergeCell ref="K36:N36"/>
    <mergeCell ref="D20:L21"/>
    <mergeCell ref="L10:N10"/>
    <mergeCell ref="L6:N6"/>
    <mergeCell ref="L9:N9"/>
    <mergeCell ref="A14:N16"/>
    <mergeCell ref="L7:N7"/>
    <mergeCell ref="L8:N8"/>
  </mergeCells>
  <conditionalFormatting sqref="A50:F53 E44:F44 H52:N55 F47:F48 D47:E49 K47:N50">
    <cfRule type="expression" priority="1" dxfId="0" stopIfTrue="1">
      <formula>$D$41=TRUE</formula>
    </cfRule>
  </conditionalFormatting>
  <conditionalFormatting sqref="D29:E29 E33:F33 D45:E45 A45 F49 K35:K45 D35:D40">
    <cfRule type="expression" priority="2" dxfId="0" stopIfTrue="1">
      <formula>$D$30=TRUE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dimension ref="A1:H109"/>
  <sheetViews>
    <sheetView showGridLines="0" showRowColHeaders="0" showZeros="0" showOutlineSymbols="0" view="pageBreakPreview" zoomScale="75" zoomScaleSheetLayoutView="75" workbookViewId="0" topLeftCell="A1">
      <selection activeCell="B7" sqref="B7"/>
    </sheetView>
  </sheetViews>
  <sheetFormatPr defaultColWidth="9.140625" defaultRowHeight="12.75"/>
  <cols>
    <col min="1" max="1" width="15.7109375" style="540" customWidth="1"/>
    <col min="2" max="2" width="65.421875" style="550" customWidth="1"/>
    <col min="3" max="3" width="15.7109375" style="539" customWidth="1"/>
    <col min="4" max="4" width="21.140625" style="1136" customWidth="1"/>
    <col min="5" max="16384" width="9.140625" style="541" customWidth="1"/>
  </cols>
  <sheetData>
    <row r="1" spans="1:5" s="439" customFormat="1" ht="15.75" customHeight="1">
      <c r="A1" s="433"/>
      <c r="B1" s="539"/>
      <c r="C1" s="1135"/>
      <c r="D1" s="1136"/>
      <c r="E1" s="440"/>
    </row>
    <row r="2" spans="1:5" s="446" customFormat="1" ht="15.75" customHeight="1">
      <c r="A2" s="441" t="str">
        <f>CONCATENATE("Nacalculatieformulier ",Voorblad!D3)</f>
        <v>Nacalculatieformulier 2005</v>
      </c>
      <c r="B2" s="443"/>
      <c r="C2" s="1137"/>
      <c r="D2" s="445" t="s">
        <v>500</v>
      </c>
      <c r="E2" s="495"/>
    </row>
    <row r="3" spans="2:3" ht="12.75">
      <c r="B3" s="541"/>
      <c r="C3" s="1135"/>
    </row>
    <row r="4" spans="1:4" s="458" customFormat="1" ht="12">
      <c r="A4" s="457" t="s">
        <v>501</v>
      </c>
      <c r="B4" s="543"/>
      <c r="C4" s="1138"/>
      <c r="D4" s="730"/>
    </row>
    <row r="5" spans="1:4" s="458" customFormat="1" ht="12">
      <c r="A5" s="1139" t="s">
        <v>292</v>
      </c>
      <c r="B5" s="1140" t="s">
        <v>502</v>
      </c>
      <c r="C5" s="1141" t="s">
        <v>406</v>
      </c>
      <c r="D5" s="1142" t="s">
        <v>503</v>
      </c>
    </row>
    <row r="6" spans="1:4" s="458" customFormat="1" ht="12">
      <c r="A6" s="1143" t="s">
        <v>547</v>
      </c>
      <c r="B6" s="1144" t="s">
        <v>551</v>
      </c>
      <c r="C6" s="1145">
        <v>38776</v>
      </c>
      <c r="D6" s="1146" t="s">
        <v>552</v>
      </c>
    </row>
    <row r="7" spans="1:4" s="458" customFormat="1" ht="12">
      <c r="A7" s="1143">
        <v>1.1</v>
      </c>
      <c r="B7" s="1147"/>
      <c r="C7" s="1145">
        <v>38777</v>
      </c>
      <c r="D7" s="1146" t="s">
        <v>552</v>
      </c>
    </row>
    <row r="8" spans="1:4" s="458" customFormat="1" ht="12">
      <c r="A8" s="1143">
        <v>1.2</v>
      </c>
      <c r="B8" s="1147" t="s">
        <v>551</v>
      </c>
      <c r="C8" s="1145">
        <v>38786</v>
      </c>
      <c r="D8" s="1146" t="s">
        <v>552</v>
      </c>
    </row>
    <row r="9" spans="1:4" s="458" customFormat="1" ht="12">
      <c r="A9" s="1143"/>
      <c r="B9" s="1147"/>
      <c r="C9" s="1145"/>
      <c r="D9" s="1146"/>
    </row>
    <row r="10" spans="1:4" s="458" customFormat="1" ht="12">
      <c r="A10" s="1143"/>
      <c r="B10" s="1147"/>
      <c r="C10" s="1145"/>
      <c r="D10" s="1146"/>
    </row>
    <row r="11" spans="1:4" s="458" customFormat="1" ht="12">
      <c r="A11" s="1148"/>
      <c r="B11" s="1149"/>
      <c r="C11" s="1150"/>
      <c r="D11" s="1151"/>
    </row>
    <row r="12" spans="1:4" s="458" customFormat="1" ht="12" customHeight="1">
      <c r="A12" s="14"/>
      <c r="B12" s="871"/>
      <c r="C12" s="1152"/>
      <c r="D12" s="865"/>
    </row>
    <row r="13" spans="1:4" s="458" customFormat="1" ht="12">
      <c r="A13" s="14"/>
      <c r="B13" s="871"/>
      <c r="C13" s="1152"/>
      <c r="D13" s="1153"/>
    </row>
    <row r="14" spans="1:4" s="458" customFormat="1" ht="12" customHeight="1">
      <c r="A14" s="42"/>
      <c r="B14" s="871"/>
      <c r="C14" s="1152"/>
      <c r="D14" s="613"/>
    </row>
    <row r="15" spans="1:4" s="458" customFormat="1" ht="12">
      <c r="A15" s="42"/>
      <c r="B15" s="871"/>
      <c r="C15" s="1152"/>
      <c r="D15" s="613"/>
    </row>
    <row r="16" spans="1:4" s="458" customFormat="1" ht="12">
      <c r="A16" s="42"/>
      <c r="B16" s="871"/>
      <c r="C16" s="1152"/>
      <c r="D16" s="865"/>
    </row>
    <row r="17" spans="1:8" s="511" customFormat="1" ht="12">
      <c r="A17" s="42"/>
      <c r="B17" s="871"/>
      <c r="C17" s="1152"/>
      <c r="D17" s="865"/>
      <c r="E17" s="458"/>
      <c r="F17" s="547"/>
      <c r="G17" s="547"/>
      <c r="H17" s="547"/>
    </row>
    <row r="18" spans="1:5" s="462" customFormat="1" ht="12">
      <c r="A18" s="458"/>
      <c r="B18" s="458"/>
      <c r="C18" s="461"/>
      <c r="D18" s="865"/>
      <c r="E18" s="458"/>
    </row>
    <row r="19" spans="1:5" s="458" customFormat="1" ht="12">
      <c r="A19" s="14"/>
      <c r="B19" s="864"/>
      <c r="C19" s="1152"/>
      <c r="D19" s="613"/>
      <c r="E19" s="547"/>
    </row>
    <row r="20" spans="1:5" s="511" customFormat="1" ht="12">
      <c r="A20" s="42"/>
      <c r="B20" s="614"/>
      <c r="C20" s="1152"/>
      <c r="D20" s="613"/>
      <c r="E20" s="462"/>
    </row>
    <row r="21" spans="1:5" s="511" customFormat="1" ht="12">
      <c r="A21" s="42"/>
      <c r="B21" s="614"/>
      <c r="C21" s="1152"/>
      <c r="D21" s="613"/>
      <c r="E21" s="458"/>
    </row>
    <row r="22" spans="1:4" s="511" customFormat="1" ht="12">
      <c r="A22" s="42"/>
      <c r="B22" s="614"/>
      <c r="C22" s="1152"/>
      <c r="D22" s="236"/>
    </row>
    <row r="23" spans="1:4" s="511" customFormat="1" ht="12">
      <c r="A23" s="42"/>
      <c r="B23" s="614"/>
      <c r="C23" s="1152"/>
      <c r="D23" s="866"/>
    </row>
    <row r="24" spans="1:4" s="511" customFormat="1" ht="12">
      <c r="A24" s="42"/>
      <c r="B24" s="95"/>
      <c r="C24" s="1152"/>
      <c r="D24" s="613"/>
    </row>
    <row r="25" spans="1:4" s="511" customFormat="1" ht="12">
      <c r="A25" s="42"/>
      <c r="B25" s="614"/>
      <c r="C25" s="1152"/>
      <c r="D25" s="613"/>
    </row>
    <row r="26" spans="1:4" s="511" customFormat="1" ht="12">
      <c r="A26" s="592"/>
      <c r="B26" s="592"/>
      <c r="C26" s="1152"/>
      <c r="D26" s="613"/>
    </row>
    <row r="27" spans="1:4" s="511" customFormat="1" ht="12">
      <c r="A27" s="14"/>
      <c r="B27" s="864"/>
      <c r="C27" s="1152"/>
      <c r="D27" s="1154"/>
    </row>
    <row r="28" spans="1:5" s="462" customFormat="1" ht="12">
      <c r="A28" s="42"/>
      <c r="B28" s="614"/>
      <c r="C28" s="1152"/>
      <c r="D28" s="1155"/>
      <c r="E28" s="511"/>
    </row>
    <row r="29" spans="1:4" s="511" customFormat="1" ht="12">
      <c r="A29" s="592"/>
      <c r="B29" s="614"/>
      <c r="C29" s="1152"/>
      <c r="D29" s="1153"/>
    </row>
    <row r="30" spans="1:4" s="462" customFormat="1" ht="12">
      <c r="A30" s="42"/>
      <c r="B30" s="614"/>
      <c r="C30" s="1152"/>
      <c r="D30" s="1156"/>
    </row>
    <row r="31" spans="1:4" s="511" customFormat="1" ht="12">
      <c r="A31" s="592"/>
      <c r="B31" s="614"/>
      <c r="C31" s="1152"/>
      <c r="D31" s="1156"/>
    </row>
    <row r="32" spans="1:5" s="511" customFormat="1" ht="12">
      <c r="A32" s="592"/>
      <c r="B32" s="614"/>
      <c r="C32" s="1152"/>
      <c r="D32" s="1156"/>
      <c r="E32" s="462"/>
    </row>
    <row r="33" spans="1:5" ht="12.75">
      <c r="A33" s="592"/>
      <c r="B33" s="614"/>
      <c r="C33" s="1152"/>
      <c r="D33" s="1156"/>
      <c r="E33" s="511"/>
    </row>
    <row r="34" spans="1:4" s="511" customFormat="1" ht="12">
      <c r="A34" s="592"/>
      <c r="B34" s="614"/>
      <c r="C34" s="1152"/>
      <c r="D34" s="1156"/>
    </row>
    <row r="35" spans="1:5" s="511" customFormat="1" ht="12.75">
      <c r="A35" s="14"/>
      <c r="B35" s="864"/>
      <c r="C35" s="1152"/>
      <c r="D35" s="1157"/>
      <c r="E35" s="541"/>
    </row>
    <row r="36" spans="1:4" s="511" customFormat="1" ht="12">
      <c r="A36" s="592"/>
      <c r="B36" s="614"/>
      <c r="C36" s="1152"/>
      <c r="D36" s="1156"/>
    </row>
    <row r="37" spans="1:5" s="458" customFormat="1" ht="12">
      <c r="A37" s="592"/>
      <c r="B37" s="614"/>
      <c r="C37" s="1152"/>
      <c r="D37" s="1156"/>
      <c r="E37" s="511"/>
    </row>
    <row r="38" spans="1:5" s="462" customFormat="1" ht="12">
      <c r="A38" s="511"/>
      <c r="B38" s="511"/>
      <c r="C38" s="461"/>
      <c r="D38" s="730"/>
      <c r="E38" s="511"/>
    </row>
    <row r="39" spans="1:4" s="458" customFormat="1" ht="12">
      <c r="A39" s="511"/>
      <c r="B39" s="511"/>
      <c r="C39" s="461"/>
      <c r="D39" s="730"/>
    </row>
    <row r="40" spans="3:5" s="458" customFormat="1" ht="12">
      <c r="C40" s="461"/>
      <c r="D40" s="730"/>
      <c r="E40" s="462"/>
    </row>
    <row r="41" spans="1:4" s="458" customFormat="1" ht="12">
      <c r="A41" s="462"/>
      <c r="B41" s="462"/>
      <c r="C41" s="1158"/>
      <c r="D41" s="730"/>
    </row>
    <row r="42" spans="1:4" s="458" customFormat="1" ht="12.75">
      <c r="A42" s="592"/>
      <c r="B42" s="639"/>
      <c r="C42" s="3"/>
      <c r="D42" s="730"/>
    </row>
    <row r="43" spans="1:4" s="458" customFormat="1" ht="12.75">
      <c r="A43" s="47"/>
      <c r="B43" s="639"/>
      <c r="C43" s="3"/>
      <c r="D43" s="730"/>
    </row>
    <row r="44" spans="1:4" s="458" customFormat="1" ht="12.75">
      <c r="A44" s="592"/>
      <c r="B44" s="639"/>
      <c r="C44" s="3"/>
      <c r="D44" s="1155"/>
    </row>
    <row r="45" spans="1:4" s="458" customFormat="1" ht="12.75">
      <c r="A45" s="592"/>
      <c r="B45" s="639"/>
      <c r="C45" s="3"/>
      <c r="D45" s="1155"/>
    </row>
    <row r="46" spans="1:4" s="458" customFormat="1" ht="12.75">
      <c r="A46" s="42"/>
      <c r="B46" s="639"/>
      <c r="C46" s="3"/>
      <c r="D46" s="1155"/>
    </row>
    <row r="47" spans="1:4" s="458" customFormat="1" ht="12">
      <c r="A47" s="41"/>
      <c r="B47" s="871"/>
      <c r="C47" s="1152"/>
      <c r="D47" s="1155"/>
    </row>
    <row r="48" spans="1:4" s="458" customFormat="1" ht="12">
      <c r="A48" s="41"/>
      <c r="B48" s="871"/>
      <c r="C48" s="43"/>
      <c r="D48" s="1155"/>
    </row>
    <row r="49" spans="1:4" s="458" customFormat="1" ht="12">
      <c r="A49" s="41"/>
      <c r="B49" s="871"/>
      <c r="C49" s="43"/>
      <c r="D49" s="1155"/>
    </row>
    <row r="50" spans="1:4" s="458" customFormat="1" ht="12">
      <c r="A50" s="41"/>
      <c r="B50" s="871"/>
      <c r="C50" s="43"/>
      <c r="D50" s="1155"/>
    </row>
    <row r="51" spans="1:4" s="458" customFormat="1" ht="12">
      <c r="A51" s="41"/>
      <c r="B51" s="871"/>
      <c r="C51" s="43"/>
      <c r="D51" s="1155"/>
    </row>
    <row r="52" spans="1:4" s="458" customFormat="1" ht="12">
      <c r="A52" s="41"/>
      <c r="B52" s="871"/>
      <c r="C52" s="43"/>
      <c r="D52" s="1155"/>
    </row>
    <row r="53" spans="1:4" s="458" customFormat="1" ht="12">
      <c r="A53" s="41"/>
      <c r="B53" s="871"/>
      <c r="C53" s="43"/>
      <c r="D53" s="1155"/>
    </row>
    <row r="54" spans="1:4" s="458" customFormat="1" ht="12">
      <c r="A54" s="457"/>
      <c r="B54" s="543"/>
      <c r="C54" s="461"/>
      <c r="D54" s="1155"/>
    </row>
    <row r="55" spans="1:4" s="458" customFormat="1" ht="12">
      <c r="A55" s="457"/>
      <c r="B55" s="543"/>
      <c r="C55" s="461"/>
      <c r="D55" s="1155"/>
    </row>
    <row r="56" spans="1:5" s="485" customFormat="1" ht="12.75">
      <c r="A56" s="457"/>
      <c r="B56" s="543"/>
      <c r="C56" s="461"/>
      <c r="D56" s="1155"/>
      <c r="E56" s="458"/>
    </row>
    <row r="57" spans="1:5" s="485" customFormat="1" ht="12.75">
      <c r="A57" s="457"/>
      <c r="B57" s="543"/>
      <c r="C57" s="461"/>
      <c r="D57" s="1155"/>
      <c r="E57" s="458"/>
    </row>
    <row r="58" spans="1:4" s="485" customFormat="1" ht="12.75">
      <c r="A58" s="457"/>
      <c r="B58" s="543"/>
      <c r="C58" s="461"/>
      <c r="D58" s="1136"/>
    </row>
    <row r="59" spans="1:4" s="485" customFormat="1" ht="12.75">
      <c r="A59" s="457"/>
      <c r="B59" s="543"/>
      <c r="C59" s="461"/>
      <c r="D59" s="1136"/>
    </row>
    <row r="60" spans="1:4" s="485" customFormat="1" ht="12.75">
      <c r="A60" s="457"/>
      <c r="B60" s="543"/>
      <c r="C60" s="461"/>
      <c r="D60" s="1136"/>
    </row>
    <row r="61" spans="1:4" s="485" customFormat="1" ht="12.75">
      <c r="A61" s="433"/>
      <c r="B61" s="549"/>
      <c r="C61" s="539"/>
      <c r="D61" s="1136"/>
    </row>
    <row r="62" spans="1:4" s="485" customFormat="1" ht="12.75">
      <c r="A62" s="433"/>
      <c r="B62" s="549"/>
      <c r="C62" s="539"/>
      <c r="D62" s="1136"/>
    </row>
    <row r="63" spans="1:4" s="485" customFormat="1" ht="12.75">
      <c r="A63" s="433"/>
      <c r="B63" s="549"/>
      <c r="C63" s="539"/>
      <c r="D63" s="1136"/>
    </row>
    <row r="64" spans="1:4" s="485" customFormat="1" ht="12.75">
      <c r="A64" s="433"/>
      <c r="B64" s="549"/>
      <c r="C64" s="539"/>
      <c r="D64" s="1136"/>
    </row>
    <row r="65" spans="1:4" s="485" customFormat="1" ht="12.75">
      <c r="A65" s="433"/>
      <c r="B65" s="549"/>
      <c r="C65" s="539"/>
      <c r="D65" s="1136"/>
    </row>
    <row r="66" spans="1:4" s="485" customFormat="1" ht="12.75">
      <c r="A66" s="433"/>
      <c r="B66" s="549"/>
      <c r="C66" s="539"/>
      <c r="D66" s="1136"/>
    </row>
    <row r="67" spans="1:4" s="485" customFormat="1" ht="12.75">
      <c r="A67" s="433"/>
      <c r="B67" s="549"/>
      <c r="C67" s="539"/>
      <c r="D67" s="1136"/>
    </row>
    <row r="68" spans="1:4" s="485" customFormat="1" ht="12.75">
      <c r="A68" s="433"/>
      <c r="B68" s="549"/>
      <c r="C68" s="539"/>
      <c r="D68" s="1136"/>
    </row>
    <row r="69" spans="1:4" s="485" customFormat="1" ht="12.75">
      <c r="A69" s="433"/>
      <c r="B69" s="549"/>
      <c r="C69" s="539"/>
      <c r="D69" s="1136"/>
    </row>
    <row r="70" spans="1:4" s="485" customFormat="1" ht="12.75">
      <c r="A70" s="433"/>
      <c r="B70" s="549"/>
      <c r="C70" s="539"/>
      <c r="D70" s="1136"/>
    </row>
    <row r="71" spans="1:4" s="485" customFormat="1" ht="12.75">
      <c r="A71" s="433"/>
      <c r="B71" s="549"/>
      <c r="C71" s="539"/>
      <c r="D71" s="1136"/>
    </row>
    <row r="72" spans="1:4" s="485" customFormat="1" ht="12.75">
      <c r="A72" s="433"/>
      <c r="B72" s="549"/>
      <c r="C72" s="539"/>
      <c r="D72" s="1136"/>
    </row>
    <row r="73" spans="1:4" s="485" customFormat="1" ht="12.75">
      <c r="A73" s="433"/>
      <c r="B73" s="549"/>
      <c r="C73" s="539"/>
      <c r="D73" s="1136"/>
    </row>
    <row r="74" spans="1:4" s="485" customFormat="1" ht="12.75">
      <c r="A74" s="433"/>
      <c r="B74" s="549"/>
      <c r="C74" s="539"/>
      <c r="D74" s="1136"/>
    </row>
    <row r="75" spans="1:4" s="485" customFormat="1" ht="12.75">
      <c r="A75" s="433"/>
      <c r="B75" s="549"/>
      <c r="C75" s="539"/>
      <c r="D75" s="1136"/>
    </row>
    <row r="76" spans="1:4" s="485" customFormat="1" ht="12.75">
      <c r="A76" s="433"/>
      <c r="B76" s="549"/>
      <c r="C76" s="539"/>
      <c r="D76" s="1136"/>
    </row>
    <row r="77" spans="1:4" s="485" customFormat="1" ht="12.75">
      <c r="A77" s="433"/>
      <c r="B77" s="549"/>
      <c r="C77" s="539"/>
      <c r="D77" s="1136"/>
    </row>
    <row r="78" spans="1:4" s="485" customFormat="1" ht="12.75">
      <c r="A78" s="433"/>
      <c r="B78" s="549"/>
      <c r="C78" s="539"/>
      <c r="D78" s="1136"/>
    </row>
    <row r="79" spans="1:4" s="485" customFormat="1" ht="12.75">
      <c r="A79" s="433"/>
      <c r="B79" s="549"/>
      <c r="C79" s="539"/>
      <c r="D79" s="1136"/>
    </row>
    <row r="80" spans="1:4" s="485" customFormat="1" ht="12.75">
      <c r="A80" s="433"/>
      <c r="B80" s="549"/>
      <c r="C80" s="539"/>
      <c r="D80" s="1136"/>
    </row>
    <row r="81" spans="1:4" s="485" customFormat="1" ht="12.75">
      <c r="A81" s="433"/>
      <c r="B81" s="549"/>
      <c r="C81" s="539"/>
      <c r="D81" s="1136"/>
    </row>
    <row r="82" spans="1:4" s="485" customFormat="1" ht="12.75">
      <c r="A82" s="433"/>
      <c r="B82" s="549"/>
      <c r="C82" s="539"/>
      <c r="D82" s="1136"/>
    </row>
    <row r="83" spans="1:4" s="485" customFormat="1" ht="12.75">
      <c r="A83" s="433"/>
      <c r="B83" s="549"/>
      <c r="C83" s="539"/>
      <c r="D83" s="1136"/>
    </row>
    <row r="84" spans="1:4" s="485" customFormat="1" ht="12.75">
      <c r="A84" s="433"/>
      <c r="B84" s="549"/>
      <c r="C84" s="539"/>
      <c r="D84" s="1136"/>
    </row>
    <row r="85" spans="1:4" s="485" customFormat="1" ht="12.75">
      <c r="A85" s="433"/>
      <c r="B85" s="549"/>
      <c r="C85" s="539"/>
      <c r="D85" s="1136"/>
    </row>
    <row r="86" spans="1:4" s="485" customFormat="1" ht="12.75">
      <c r="A86" s="433"/>
      <c r="B86" s="549"/>
      <c r="C86" s="539"/>
      <c r="D86" s="1136"/>
    </row>
    <row r="87" spans="1:4" s="485" customFormat="1" ht="12.75">
      <c r="A87" s="433"/>
      <c r="B87" s="549"/>
      <c r="C87" s="539"/>
      <c r="D87" s="1136"/>
    </row>
    <row r="88" spans="1:4" s="485" customFormat="1" ht="12.75">
      <c r="A88" s="433"/>
      <c r="B88" s="549"/>
      <c r="C88" s="539"/>
      <c r="D88" s="1136"/>
    </row>
    <row r="89" spans="1:4" s="485" customFormat="1" ht="12.75">
      <c r="A89" s="433"/>
      <c r="B89" s="549"/>
      <c r="C89" s="539"/>
      <c r="D89" s="1136"/>
    </row>
    <row r="90" spans="1:4" s="485" customFormat="1" ht="12.75">
      <c r="A90" s="433"/>
      <c r="B90" s="549"/>
      <c r="C90" s="539"/>
      <c r="D90" s="1136"/>
    </row>
    <row r="91" spans="1:4" s="485" customFormat="1" ht="12.75">
      <c r="A91" s="433"/>
      <c r="B91" s="549"/>
      <c r="C91" s="539"/>
      <c r="D91" s="1136"/>
    </row>
    <row r="92" spans="1:4" s="485" customFormat="1" ht="12.75">
      <c r="A92" s="433"/>
      <c r="B92" s="549"/>
      <c r="C92" s="539"/>
      <c r="D92" s="1136"/>
    </row>
    <row r="93" spans="1:4" s="485" customFormat="1" ht="12.75">
      <c r="A93" s="433"/>
      <c r="B93" s="549"/>
      <c r="C93" s="539"/>
      <c r="D93" s="1136"/>
    </row>
    <row r="94" spans="1:4" s="485" customFormat="1" ht="12.75">
      <c r="A94" s="433"/>
      <c r="B94" s="549"/>
      <c r="C94" s="539"/>
      <c r="D94" s="1136"/>
    </row>
    <row r="95" spans="1:4" s="485" customFormat="1" ht="12.75">
      <c r="A95" s="433"/>
      <c r="B95" s="549"/>
      <c r="C95" s="539"/>
      <c r="D95" s="1136"/>
    </row>
    <row r="96" spans="1:4" s="485" customFormat="1" ht="12.75">
      <c r="A96" s="433"/>
      <c r="B96" s="549"/>
      <c r="C96" s="539"/>
      <c r="D96" s="1136"/>
    </row>
    <row r="97" spans="1:4" s="485" customFormat="1" ht="12.75">
      <c r="A97" s="433"/>
      <c r="B97" s="549"/>
      <c r="C97" s="539"/>
      <c r="D97" s="1136"/>
    </row>
    <row r="98" spans="1:4" s="485" customFormat="1" ht="12.75">
      <c r="A98" s="433"/>
      <c r="B98" s="549"/>
      <c r="C98" s="539"/>
      <c r="D98" s="1136"/>
    </row>
    <row r="99" spans="1:4" s="485" customFormat="1" ht="12.75">
      <c r="A99" s="433"/>
      <c r="B99" s="549"/>
      <c r="C99" s="539"/>
      <c r="D99" s="1136"/>
    </row>
    <row r="100" spans="1:4" s="485" customFormat="1" ht="12.75">
      <c r="A100" s="433"/>
      <c r="B100" s="549"/>
      <c r="C100" s="539"/>
      <c r="D100" s="1136"/>
    </row>
    <row r="101" spans="1:4" s="485" customFormat="1" ht="12.75">
      <c r="A101" s="433"/>
      <c r="B101" s="549"/>
      <c r="C101" s="539"/>
      <c r="D101" s="1136"/>
    </row>
    <row r="102" spans="1:4" s="485" customFormat="1" ht="12.75">
      <c r="A102" s="433"/>
      <c r="B102" s="549"/>
      <c r="C102" s="539"/>
      <c r="D102" s="1136"/>
    </row>
    <row r="103" spans="1:4" s="485" customFormat="1" ht="12.75">
      <c r="A103" s="433"/>
      <c r="B103" s="549"/>
      <c r="C103" s="539"/>
      <c r="D103" s="1136"/>
    </row>
    <row r="104" spans="1:4" s="485" customFormat="1" ht="12.75">
      <c r="A104" s="433"/>
      <c r="B104" s="549"/>
      <c r="C104" s="539"/>
      <c r="D104" s="1136"/>
    </row>
    <row r="105" spans="1:5" ht="12.75">
      <c r="A105" s="433"/>
      <c r="B105" s="549"/>
      <c r="E105" s="485"/>
    </row>
    <row r="106" spans="1:5" ht="12.75">
      <c r="A106" s="433"/>
      <c r="B106" s="549"/>
      <c r="E106" s="485"/>
    </row>
    <row r="107" spans="1:2" ht="12.75">
      <c r="A107" s="433"/>
      <c r="B107" s="549"/>
    </row>
    <row r="108" spans="1:2" ht="12.75">
      <c r="A108" s="433"/>
      <c r="B108" s="549"/>
    </row>
    <row r="109" spans="1:2" ht="12.75">
      <c r="A109" s="433"/>
      <c r="B109" s="549"/>
    </row>
  </sheetData>
  <sheetProtection password="CCBC" sheet="1" objects="1" scenarios="1"/>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Blad3">
    <pageSetUpPr fitToPage="1"/>
  </sheetPr>
  <dimension ref="A1:M105"/>
  <sheetViews>
    <sheetView showGridLines="0" showRowColHeaders="0" showZeros="0" showOutlineSymbols="0" view="pageBreakPreview" zoomScale="75" zoomScaleNormal="86" zoomScaleSheetLayoutView="75" workbookViewId="0" topLeftCell="A1">
      <selection activeCell="B1" sqref="B1"/>
    </sheetView>
  </sheetViews>
  <sheetFormatPr defaultColWidth="9.140625" defaultRowHeight="12.75"/>
  <cols>
    <col min="1" max="1" width="2.7109375" style="540" customWidth="1"/>
    <col min="2" max="2" width="4.28125" style="550" customWidth="1"/>
    <col min="3" max="3" width="50.7109375" style="541" customWidth="1"/>
    <col min="4" max="4" width="4.8515625" style="541" customWidth="1"/>
    <col min="5" max="6" width="2.7109375" style="541" customWidth="1"/>
    <col min="7" max="7" width="4.28125" style="541" customWidth="1"/>
    <col min="8" max="8" width="50.7109375" style="541" customWidth="1"/>
    <col min="9" max="9" width="4.7109375" style="541" customWidth="1"/>
    <col min="10" max="16384" width="9.140625" style="541" customWidth="1"/>
  </cols>
  <sheetData>
    <row r="1" spans="1:10" s="439" customFormat="1" ht="15.75" customHeight="1">
      <c r="A1" s="433"/>
      <c r="B1" s="539"/>
      <c r="C1" s="485"/>
      <c r="D1" s="436"/>
      <c r="E1" s="436"/>
      <c r="F1" s="433"/>
      <c r="G1" s="485"/>
      <c r="H1" s="485"/>
      <c r="J1" s="440"/>
    </row>
    <row r="2" spans="1:10" s="446" customFormat="1" ht="15.75" customHeight="1">
      <c r="A2" s="441" t="str">
        <f>CONCATENATE("Nacalculatieformulier ",Voorblad!D3)</f>
        <v>Nacalculatieformulier 2005</v>
      </c>
      <c r="B2" s="443"/>
      <c r="C2" s="444"/>
      <c r="D2" s="444"/>
      <c r="E2" s="444"/>
      <c r="F2" s="444"/>
      <c r="G2" s="442"/>
      <c r="H2" s="442"/>
      <c r="I2" s="445">
        <v>2</v>
      </c>
      <c r="J2" s="495"/>
    </row>
    <row r="3" spans="2:6" ht="12.75">
      <c r="B3" s="541"/>
      <c r="D3" s="542"/>
      <c r="E3" s="542"/>
      <c r="F3" s="540"/>
    </row>
    <row r="4" spans="1:9" s="458" customFormat="1" ht="12">
      <c r="A4" s="457" t="s">
        <v>534</v>
      </c>
      <c r="B4" s="543"/>
      <c r="D4" s="730" t="s">
        <v>143</v>
      </c>
      <c r="I4" s="730" t="s">
        <v>143</v>
      </c>
    </row>
    <row r="5" spans="1:9" s="458" customFormat="1" ht="12">
      <c r="A5" s="457"/>
      <c r="B5" s="457"/>
      <c r="C5" s="457"/>
      <c r="D5" s="731"/>
      <c r="E5" s="457"/>
      <c r="F5" s="457"/>
      <c r="G5" s="457"/>
      <c r="H5" s="457"/>
      <c r="I5" s="731"/>
    </row>
    <row r="6" spans="1:9" s="462" customFormat="1" ht="12">
      <c r="A6" s="14" t="str">
        <f>'Prod1.1'!A4</f>
        <v>RUBRIEK 1: NACALCULATIE PRODUCTIE</v>
      </c>
      <c r="B6" s="864"/>
      <c r="C6" s="94"/>
      <c r="D6" s="613"/>
      <c r="G6" s="14" t="str">
        <f>'Rentecalc.'!A6</f>
        <v>CALCULATIEMODEL RENTEKOSTEN</v>
      </c>
      <c r="H6" s="47"/>
      <c r="I6" s="613">
        <f>'Rentecalc.'!G2</f>
        <v>16</v>
      </c>
    </row>
    <row r="7" spans="1:9" s="462" customFormat="1" ht="12">
      <c r="A7" s="14"/>
      <c r="B7" s="871" t="str">
        <f>'Prod1.1'!A6</f>
        <v>1.1</v>
      </c>
      <c r="C7" s="871" t="str">
        <f>'Prod1.1'!B6</f>
        <v>Productieaantallen en realisatie 2004 </v>
      </c>
      <c r="D7" s="613">
        <f>'Prod1.1'!H2</f>
        <v>7</v>
      </c>
      <c r="F7" s="449"/>
      <c r="G7" s="47"/>
      <c r="H7" s="47"/>
      <c r="I7" s="47"/>
    </row>
    <row r="8" spans="1:9" s="462" customFormat="1" ht="12">
      <c r="A8" s="14"/>
      <c r="B8" s="871" t="str">
        <f>'Prod.1.2 en 1.3'!A5</f>
        <v>1.2</v>
      </c>
      <c r="C8" s="871" t="str">
        <f>'Prod.1.2 en 1.3'!B5</f>
        <v>Dure geneesmiddelen </v>
      </c>
      <c r="D8" s="613">
        <f>'Prod.1.2 en 1.3'!G2</f>
        <v>9</v>
      </c>
      <c r="E8" s="458"/>
      <c r="F8" s="449"/>
      <c r="G8" s="14" t="s">
        <v>153</v>
      </c>
      <c r="H8" s="864"/>
      <c r="I8" s="613"/>
    </row>
    <row r="9" spans="1:9" s="458" customFormat="1" ht="12">
      <c r="A9" s="14"/>
      <c r="B9" s="458" t="str">
        <f>'Prod.1.2 en 1.3'!A38</f>
        <v>1.3</v>
      </c>
      <c r="C9" s="458" t="str">
        <f>'Prod.1.2 en 1.3'!B38</f>
        <v>Lokale prod.gebonden toeslag</v>
      </c>
      <c r="D9" s="458">
        <f>'Prod.1.2 en 1.3'!G2</f>
        <v>9</v>
      </c>
      <c r="G9" s="614" t="str">
        <f>'A-G'!A8</f>
        <v>A. </v>
      </c>
      <c r="H9" s="614" t="str">
        <f>'A-G'!B8</f>
        <v>Boekwaarde investeringen waarvoor vergunning is verleend</v>
      </c>
      <c r="I9" s="865">
        <f>'A-G'!G2</f>
        <v>17</v>
      </c>
    </row>
    <row r="10" spans="1:9" s="458" customFormat="1" ht="12">
      <c r="A10" s="14"/>
      <c r="G10" s="614" t="str">
        <f>'A-G'!A31</f>
        <v>B.</v>
      </c>
      <c r="H10" s="1296" t="str">
        <f>'A-G'!B31</f>
        <v>Onderhanden bouwprojecten  met WZV vergunning (geen investeringen meldingsregeling)</v>
      </c>
      <c r="I10" s="42"/>
    </row>
    <row r="11" spans="1:9" s="458" customFormat="1" ht="12">
      <c r="A11" s="14" t="str">
        <f>Opbrengsten!A4</f>
        <v>RUBRIEK 2: WERKELIJKE OPBRENGSTEN</v>
      </c>
      <c r="B11" s="864"/>
      <c r="C11" s="94"/>
      <c r="D11" s="613"/>
      <c r="G11" s="42"/>
      <c r="H11" s="1297"/>
      <c r="I11" s="865">
        <f>'A-G'!G2</f>
        <v>17</v>
      </c>
    </row>
    <row r="12" spans="2:9" s="458" customFormat="1" ht="12">
      <c r="B12" s="614" t="str">
        <f>Opbrengsten!A8</f>
        <v>2.1</v>
      </c>
      <c r="C12" s="95" t="str">
        <f>Opbrengsten!B8</f>
        <v>Verpleeggelden / RBU´s (excl. vaste tarieven)</v>
      </c>
      <c r="D12" s="613">
        <f>Opbrengsten!$J$2</f>
        <v>10</v>
      </c>
      <c r="G12" s="614" t="str">
        <f>'A-G'!A53</f>
        <v>C. </v>
      </c>
      <c r="H12" s="1296" t="str">
        <f>'A-G'!B53</f>
        <v>Werkelijke boekwaarde instandhoudingsinvesteringen (inclusief onderhanden werk)</v>
      </c>
      <c r="I12" s="42"/>
    </row>
    <row r="13" spans="1:9" s="458" customFormat="1" ht="12">
      <c r="A13" s="42"/>
      <c r="B13" s="614" t="str">
        <f>Opbrengsten!A19</f>
        <v>2.2</v>
      </c>
      <c r="C13" s="95" t="str">
        <f>Opbrengsten!B19</f>
        <v>Opbrengst vaste tarieven</v>
      </c>
      <c r="D13" s="613">
        <f>Opbrengsten!$J$2</f>
        <v>10</v>
      </c>
      <c r="G13" s="42"/>
      <c r="H13" s="1297"/>
      <c r="I13" s="613">
        <f>'A-G'!G48</f>
        <v>18</v>
      </c>
    </row>
    <row r="14" spans="1:9" s="458" customFormat="1" ht="12">
      <c r="A14" s="42"/>
      <c r="B14" s="614" t="str">
        <f>Opbrengsten!A28</f>
        <v>2.3</v>
      </c>
      <c r="C14" s="95" t="str">
        <f>Opbrengsten!B28</f>
        <v>Opbrengst nevenverrichtingen</v>
      </c>
      <c r="D14" s="613">
        <f>Opbrengsten!$J$2</f>
        <v>10</v>
      </c>
      <c r="G14" s="614" t="str">
        <f>'A-G'!A76</f>
        <v>D  </v>
      </c>
      <c r="H14" s="614" t="str">
        <f>'A-G'!B76</f>
        <v>Normatieve boekwaarde medische en overige inventarissen</v>
      </c>
      <c r="I14" s="613">
        <f>'A-G'!G48</f>
        <v>18</v>
      </c>
    </row>
    <row r="15" spans="1:9" s="458" customFormat="1" ht="12">
      <c r="A15" s="42"/>
      <c r="B15" s="95" t="str">
        <f>Opbrengsten!G9</f>
        <v>2.4</v>
      </c>
      <c r="C15" s="95" t="str">
        <f>Opbrengsten!H9</f>
        <v>Overige vergoedingen ter dekking van het budget</v>
      </c>
      <c r="D15" s="613">
        <f>Opbrengsten!J2</f>
        <v>10</v>
      </c>
      <c r="G15" s="614" t="str">
        <f>'A-G'!A97</f>
        <v>E. </v>
      </c>
      <c r="H15" s="614" t="str">
        <f>'A-G'!B97</f>
        <v>Normatieve boekwaarde medische en overige inventarissen artikel 2 WBMV apparatuur</v>
      </c>
      <c r="I15" s="865">
        <f>'A-G'!G91</f>
        <v>19</v>
      </c>
    </row>
    <row r="16" spans="1:13" s="511" customFormat="1" ht="12">
      <c r="A16" s="42"/>
      <c r="B16" s="614" t="str">
        <f>Opbrengsten!G18</f>
        <v>2.5</v>
      </c>
      <c r="C16" s="614" t="str">
        <f>Opbrengsten!H18</f>
        <v>Aanvullende inkomsten (niet ter dekking van het budget)</v>
      </c>
      <c r="D16" s="613">
        <f>Opbrengsten!J2</f>
        <v>10</v>
      </c>
      <c r="F16" s="458"/>
      <c r="G16" s="614" t="str">
        <f>'A-G'!A111</f>
        <v>F.</v>
      </c>
      <c r="H16" s="614" t="str">
        <f>'A-G'!B111</f>
        <v>Normatief werkkapitaal</v>
      </c>
      <c r="I16" s="865">
        <f>'A-G'!G91</f>
        <v>19</v>
      </c>
      <c r="J16" s="458"/>
      <c r="K16" s="547"/>
      <c r="L16" s="547"/>
      <c r="M16" s="547"/>
    </row>
    <row r="17" spans="1:10" s="462" customFormat="1" ht="12">
      <c r="A17" s="42"/>
      <c r="B17" s="592"/>
      <c r="C17" s="592"/>
      <c r="D17" s="613"/>
      <c r="F17" s="458"/>
      <c r="G17" s="614" t="str">
        <f>'A-G'!A120</f>
        <v>G. </v>
      </c>
      <c r="H17" s="614" t="str">
        <f>'A-G'!B120</f>
        <v>Nog in tarieven te verrekenen kosten/opbrengsten</v>
      </c>
      <c r="I17" s="865">
        <f>'A-G'!G118</f>
        <v>20</v>
      </c>
      <c r="J17" s="458"/>
    </row>
    <row r="18" spans="1:10" s="458" customFormat="1" ht="12">
      <c r="A18" s="14" t="str">
        <f>Afschrijvingen!A4</f>
        <v>RUBRIEK 3: KAPITAALSLASTEN</v>
      </c>
      <c r="B18" s="864"/>
      <c r="C18" s="94"/>
      <c r="D18" s="613"/>
      <c r="G18" s="614" t="str">
        <f>H!A7</f>
        <v>H. </v>
      </c>
      <c r="H18" s="614" t="str">
        <f>H!B7</f>
        <v>Langlopende leningen (incl. langlopende leasecontracten)</v>
      </c>
      <c r="I18" s="613" t="str">
        <f>CONCATENATE(H!T2,"-",H!T42)</f>
        <v>21-22</v>
      </c>
      <c r="J18" s="547"/>
    </row>
    <row r="19" spans="2:10" s="511" customFormat="1" ht="12">
      <c r="B19" s="614" t="str">
        <f>Afschrijvingen!A6</f>
        <v>3.1</v>
      </c>
      <c r="C19" s="614" t="str">
        <f>Afschrijvingen!B6</f>
        <v>Nacalculeerbare afschrijvingskosten (normale en verkorte procedures)</v>
      </c>
      <c r="D19" s="613">
        <f>Afschrijvingen!I2</f>
        <v>11</v>
      </c>
      <c r="F19" s="545"/>
      <c r="G19" s="614" t="str">
        <f>'I-J'!A6</f>
        <v>I. </v>
      </c>
      <c r="H19" s="614" t="str">
        <f>'I-J'!B6</f>
        <v>Eigen vermogen</v>
      </c>
      <c r="I19" s="613">
        <f>'I-J'!E2</f>
        <v>23</v>
      </c>
      <c r="J19" s="462"/>
    </row>
    <row r="20" spans="2:10" s="511" customFormat="1" ht="12">
      <c r="B20" s="614" t="str">
        <f>Afschrijvingen!A24</f>
        <v>3.2</v>
      </c>
      <c r="C20" s="614" t="str">
        <f>Afschrijvingen!B24</f>
        <v>Instandhoudingsinvesteringen (WZV-meldingsplichtige vaste activa)</v>
      </c>
      <c r="D20" s="613">
        <f>Afschrijvingen!I2</f>
        <v>11</v>
      </c>
      <c r="G20" s="614" t="str">
        <f>'I-J'!A26</f>
        <v>J. </v>
      </c>
      <c r="H20" s="614" t="str">
        <f>'I-J'!B26</f>
        <v>Rentekosten langlopende leningen</v>
      </c>
      <c r="I20" s="613">
        <f>'I-J'!E2</f>
        <v>23</v>
      </c>
      <c r="J20" s="458"/>
    </row>
    <row r="21" spans="1:9" s="511" customFormat="1" ht="12">
      <c r="A21" s="42"/>
      <c r="B21" s="614" t="str">
        <f>WZV!A5</f>
        <v>3.3</v>
      </c>
      <c r="C21" s="614" t="str">
        <f>WZV!B5</f>
        <v>Specificatie in gebruikgenomen nacalculeerbare investeringen</v>
      </c>
      <c r="D21" s="613">
        <f>WZV!M2</f>
        <v>12</v>
      </c>
      <c r="F21" s="449"/>
      <c r="G21" s="47"/>
      <c r="H21" s="47"/>
      <c r="I21" s="47"/>
    </row>
    <row r="22" spans="1:9" s="511" customFormat="1" ht="12">
      <c r="A22" s="592"/>
      <c r="B22" s="614" t="str">
        <f>Instandhouding!A4</f>
        <v>3.4</v>
      </c>
      <c r="C22" s="614" t="str">
        <f>Instandhouding!B4</f>
        <v>Specificatie investeringen in instandhouding (WZV-meldingsplichtige vaste activa)</v>
      </c>
      <c r="D22" s="613">
        <f>Instandhouding!I2</f>
        <v>13</v>
      </c>
      <c r="F22" s="458"/>
      <c r="G22" s="864"/>
      <c r="H22" s="94"/>
      <c r="I22" s="866"/>
    </row>
    <row r="23" spans="1:9" s="511" customFormat="1" ht="12">
      <c r="A23" s="42"/>
      <c r="B23" s="614" t="str">
        <f>'Afschr.inventaris'!A4</f>
        <v>3.5</v>
      </c>
      <c r="C23" s="614" t="str">
        <f>'Afschr.inventaris'!B4</f>
        <v>Afschrijvingskosten medische en overige inventarissen</v>
      </c>
      <c r="D23" s="613">
        <f>'Afschr.inventaris'!H2</f>
        <v>14</v>
      </c>
      <c r="F23" s="458"/>
      <c r="G23" s="632" t="str">
        <f>vragen!A4</f>
        <v>VRAGENLIJST NACALCULATIE</v>
      </c>
      <c r="H23" s="48"/>
      <c r="I23" s="613" t="str">
        <f>CONCATENATE(vragen!F2,"-",vragen!F78)</f>
        <v>24-26</v>
      </c>
    </row>
    <row r="24" spans="1:9" s="511" customFormat="1" ht="12">
      <c r="A24" s="592"/>
      <c r="B24" s="614"/>
      <c r="C24" s="614"/>
      <c r="D24" s="613"/>
      <c r="F24" s="548"/>
      <c r="G24" s="169"/>
      <c r="H24" s="867"/>
      <c r="I24" s="613"/>
    </row>
    <row r="25" spans="1:9" s="511" customFormat="1" ht="12">
      <c r="A25" s="14" t="str">
        <f>Mutaties!A4</f>
        <v>RUBRIEK 4: OVERZICHT MUTATIES</v>
      </c>
      <c r="B25" s="864"/>
      <c r="C25" s="94"/>
      <c r="D25" s="613"/>
      <c r="E25" s="462"/>
      <c r="F25" s="548"/>
      <c r="G25" s="632"/>
      <c r="H25" s="868"/>
      <c r="I25" s="613"/>
    </row>
    <row r="26" spans="1:9" s="511" customFormat="1" ht="12">
      <c r="A26" s="462"/>
      <c r="B26" s="614" t="str">
        <f>Mutaties!A7</f>
        <v>4.1</v>
      </c>
      <c r="C26" s="614" t="str">
        <f>Mutaties!B7</f>
        <v>Mutaties aanvaardbare kosten</v>
      </c>
      <c r="D26" s="613">
        <f>Mutaties!E2</f>
        <v>15</v>
      </c>
      <c r="F26" s="548"/>
      <c r="G26" s="869"/>
      <c r="H26" s="868"/>
      <c r="I26" s="48"/>
    </row>
    <row r="27" spans="2:10" s="462" customFormat="1" ht="12">
      <c r="B27" s="614" t="str">
        <f>Mutaties!A26</f>
        <v>4.2</v>
      </c>
      <c r="C27" s="614" t="str">
        <f>Mutaties!B26</f>
        <v>Opbrengstverrekening 2005</v>
      </c>
      <c r="D27" s="613">
        <f>Mutaties!E2</f>
        <v>15</v>
      </c>
      <c r="F27" s="548"/>
      <c r="G27" s="511"/>
      <c r="H27" s="511"/>
      <c r="I27" s="511"/>
      <c r="J27" s="511"/>
    </row>
    <row r="28" spans="1:9" s="511" customFormat="1" ht="12">
      <c r="A28" s="592"/>
      <c r="G28" s="870"/>
      <c r="H28" s="592"/>
      <c r="I28" s="592"/>
    </row>
    <row r="29" spans="1:9" s="462" customFormat="1" ht="12">
      <c r="A29" s="592"/>
      <c r="B29" s="511"/>
      <c r="C29" s="511"/>
      <c r="D29" s="511"/>
      <c r="E29" s="511"/>
      <c r="F29" s="544"/>
      <c r="G29" s="458"/>
      <c r="H29" s="1220"/>
      <c r="I29" s="1156"/>
    </row>
    <row r="30" spans="2:9" s="511" customFormat="1" ht="12.75">
      <c r="B30" s="458"/>
      <c r="C30" s="458"/>
      <c r="D30" s="458"/>
      <c r="E30" s="541"/>
      <c r="G30" s="1221"/>
      <c r="H30" s="1222"/>
      <c r="I30" s="1156"/>
    </row>
    <row r="31" spans="2:10" s="511" customFormat="1" ht="12">
      <c r="B31" s="462"/>
      <c r="C31" s="462"/>
      <c r="D31" s="462"/>
      <c r="F31" s="544"/>
      <c r="G31" s="1221"/>
      <c r="H31" s="1220"/>
      <c r="I31" s="1156"/>
      <c r="J31" s="462"/>
    </row>
    <row r="32" spans="1:10" ht="12.75">
      <c r="A32" s="458"/>
      <c r="B32" s="639"/>
      <c r="C32" s="639"/>
      <c r="D32" s="639"/>
      <c r="E32" s="511"/>
      <c r="F32" s="511"/>
      <c r="G32" s="511"/>
      <c r="H32" s="1222"/>
      <c r="I32" s="1156"/>
      <c r="J32" s="511"/>
    </row>
    <row r="33" spans="1:9" s="511" customFormat="1" ht="12.75">
      <c r="A33" s="462"/>
      <c r="B33" s="639"/>
      <c r="C33" s="639"/>
      <c r="D33" s="639"/>
      <c r="F33" s="532"/>
      <c r="G33" s="1223"/>
      <c r="I33" s="1156"/>
    </row>
    <row r="34" spans="1:10" s="511" customFormat="1" ht="12.75">
      <c r="A34" s="592"/>
      <c r="B34" s="639"/>
      <c r="C34" s="639"/>
      <c r="D34" s="639"/>
      <c r="E34" s="438"/>
      <c r="F34" s="541"/>
      <c r="G34" s="1224"/>
      <c r="H34" s="1224"/>
      <c r="I34" s="1157"/>
      <c r="J34" s="541"/>
    </row>
    <row r="35" spans="1:9" s="511" customFormat="1" ht="12.75">
      <c r="A35" s="47"/>
      <c r="B35" s="639"/>
      <c r="C35" s="639"/>
      <c r="D35" s="639"/>
      <c r="E35" s="438"/>
      <c r="G35" s="1222"/>
      <c r="H35" s="1222"/>
      <c r="I35" s="1156"/>
    </row>
    <row r="36" spans="1:10" s="458" customFormat="1" ht="12.75">
      <c r="A36" s="592"/>
      <c r="B36" s="639"/>
      <c r="C36" s="639"/>
      <c r="D36" s="639"/>
      <c r="E36" s="438"/>
      <c r="F36" s="511"/>
      <c r="G36" s="1222"/>
      <c r="H36" s="1222"/>
      <c r="I36" s="1156"/>
      <c r="J36" s="511"/>
    </row>
    <row r="37" spans="1:10" s="462" customFormat="1" ht="12.75">
      <c r="A37" s="592"/>
      <c r="B37" s="871"/>
      <c r="C37" s="42"/>
      <c r="D37" s="614"/>
      <c r="E37" s="438"/>
      <c r="F37" s="511"/>
      <c r="G37" s="1222"/>
      <c r="H37" s="1222"/>
      <c r="I37" s="730"/>
      <c r="J37" s="511"/>
    </row>
    <row r="38" spans="1:9" s="458" customFormat="1" ht="12.75">
      <c r="A38" s="42"/>
      <c r="B38" s="871"/>
      <c r="C38" s="42"/>
      <c r="D38" s="42"/>
      <c r="E38" s="438"/>
      <c r="G38" s="1220"/>
      <c r="H38" s="1220"/>
      <c r="I38" s="730"/>
    </row>
    <row r="39" spans="1:10" s="458" customFormat="1" ht="12">
      <c r="A39" s="41"/>
      <c r="B39" s="871"/>
      <c r="C39" s="42"/>
      <c r="D39" s="42"/>
      <c r="F39" s="544"/>
      <c r="G39" s="1220"/>
      <c r="H39" s="1220"/>
      <c r="I39" s="730"/>
      <c r="J39" s="462"/>
    </row>
    <row r="40" spans="1:9" s="458" customFormat="1" ht="12">
      <c r="A40" s="41"/>
      <c r="B40" s="871"/>
      <c r="C40" s="42"/>
      <c r="D40" s="42"/>
      <c r="F40" s="546"/>
      <c r="G40" s="1225"/>
      <c r="H40" s="1225"/>
      <c r="I40" s="730"/>
    </row>
    <row r="41" spans="1:9" s="458" customFormat="1" ht="12">
      <c r="A41" s="41"/>
      <c r="B41" s="871"/>
      <c r="C41" s="42"/>
      <c r="D41" s="42"/>
      <c r="G41" s="1220"/>
      <c r="H41" s="1220"/>
      <c r="I41" s="730"/>
    </row>
    <row r="42" spans="1:9" s="458" customFormat="1" ht="12">
      <c r="A42" s="41"/>
      <c r="B42" s="871"/>
      <c r="C42" s="42"/>
      <c r="D42" s="42"/>
      <c r="G42" s="1220"/>
      <c r="H42" s="1220"/>
      <c r="I42" s="730"/>
    </row>
    <row r="43" spans="1:4" s="458" customFormat="1" ht="12">
      <c r="A43" s="41"/>
      <c r="B43" s="871"/>
      <c r="C43" s="42"/>
      <c r="D43" s="42"/>
    </row>
    <row r="44" spans="1:2" s="458" customFormat="1" ht="12">
      <c r="A44" s="41"/>
      <c r="B44" s="543"/>
    </row>
    <row r="45" spans="1:2" s="458" customFormat="1" ht="12">
      <c r="A45" s="41"/>
      <c r="B45" s="543"/>
    </row>
    <row r="46" spans="1:2" s="458" customFormat="1" ht="12">
      <c r="A46" s="457"/>
      <c r="B46" s="543"/>
    </row>
    <row r="47" spans="1:2" s="458" customFormat="1" ht="12">
      <c r="A47" s="457"/>
      <c r="B47" s="543"/>
    </row>
    <row r="48" spans="1:2" s="458" customFormat="1" ht="12">
      <c r="A48" s="457"/>
      <c r="B48" s="543"/>
    </row>
    <row r="49" spans="1:2" s="458" customFormat="1" ht="12">
      <c r="A49" s="457"/>
      <c r="B49" s="543"/>
    </row>
    <row r="50" spans="1:2" s="458" customFormat="1" ht="12">
      <c r="A50" s="457"/>
      <c r="B50" s="543"/>
    </row>
    <row r="51" spans="1:4" s="458" customFormat="1" ht="12.75">
      <c r="A51" s="457"/>
      <c r="B51" s="549"/>
      <c r="C51" s="485"/>
      <c r="D51" s="485"/>
    </row>
    <row r="52" spans="1:4" s="458" customFormat="1" ht="12.75">
      <c r="A52" s="457"/>
      <c r="B52" s="549"/>
      <c r="C52" s="485"/>
      <c r="D52" s="485"/>
    </row>
    <row r="53" spans="1:5" s="458" customFormat="1" ht="12.75">
      <c r="A53" s="433"/>
      <c r="B53" s="549"/>
      <c r="C53" s="485"/>
      <c r="D53" s="485"/>
      <c r="E53" s="485"/>
    </row>
    <row r="54" spans="1:5" s="458" customFormat="1" ht="12.75">
      <c r="A54" s="433"/>
      <c r="B54" s="549"/>
      <c r="C54" s="485"/>
      <c r="D54" s="485"/>
      <c r="E54" s="485"/>
    </row>
    <row r="55" spans="1:10" s="485" customFormat="1" ht="12.75">
      <c r="A55" s="433"/>
      <c r="B55" s="549"/>
      <c r="F55" s="458"/>
      <c r="G55" s="458"/>
      <c r="H55" s="458"/>
      <c r="I55" s="458"/>
      <c r="J55" s="458"/>
    </row>
    <row r="56" spans="1:10" s="485" customFormat="1" ht="12.75">
      <c r="A56" s="433"/>
      <c r="B56" s="549"/>
      <c r="F56" s="458"/>
      <c r="G56" s="458"/>
      <c r="H56" s="458"/>
      <c r="I56" s="458"/>
      <c r="J56" s="458"/>
    </row>
    <row r="57" spans="1:2" s="485" customFormat="1" ht="12.75">
      <c r="A57" s="433"/>
      <c r="B57" s="549"/>
    </row>
    <row r="58" spans="1:2" s="485" customFormat="1" ht="12.75">
      <c r="A58" s="433"/>
      <c r="B58" s="549"/>
    </row>
    <row r="59" spans="1:2" s="485" customFormat="1" ht="12.75">
      <c r="A59" s="433"/>
      <c r="B59" s="549"/>
    </row>
    <row r="60" spans="1:2" s="485" customFormat="1" ht="12.75">
      <c r="A60" s="433"/>
      <c r="B60" s="549"/>
    </row>
    <row r="61" spans="1:2" s="485" customFormat="1" ht="12.75">
      <c r="A61" s="433"/>
      <c r="B61" s="549"/>
    </row>
    <row r="62" spans="1:2" s="485" customFormat="1" ht="12.75">
      <c r="A62" s="433"/>
      <c r="B62" s="549"/>
    </row>
    <row r="63" spans="1:2" s="485" customFormat="1" ht="12.75">
      <c r="A63" s="433"/>
      <c r="B63" s="549"/>
    </row>
    <row r="64" spans="1:2" s="485" customFormat="1" ht="12.75">
      <c r="A64" s="433"/>
      <c r="B64" s="549"/>
    </row>
    <row r="65" spans="1:2" s="485" customFormat="1" ht="12.75">
      <c r="A65" s="433"/>
      <c r="B65" s="549"/>
    </row>
    <row r="66" spans="1:2" s="485" customFormat="1" ht="12.75">
      <c r="A66" s="433"/>
      <c r="B66" s="549"/>
    </row>
    <row r="67" spans="1:2" s="485" customFormat="1" ht="12.75">
      <c r="A67" s="433"/>
      <c r="B67" s="549"/>
    </row>
    <row r="68" spans="1:2" s="485" customFormat="1" ht="12.75">
      <c r="A68" s="433"/>
      <c r="B68" s="549"/>
    </row>
    <row r="69" spans="1:2" s="485" customFormat="1" ht="12.75">
      <c r="A69" s="433"/>
      <c r="B69" s="549"/>
    </row>
    <row r="70" spans="1:2" s="485" customFormat="1" ht="12.75">
      <c r="A70" s="433"/>
      <c r="B70" s="549"/>
    </row>
    <row r="71" spans="1:2" s="485" customFormat="1" ht="12.75">
      <c r="A71" s="433"/>
      <c r="B71" s="549"/>
    </row>
    <row r="72" spans="1:2" s="485" customFormat="1" ht="12.75">
      <c r="A72" s="433"/>
      <c r="B72" s="549"/>
    </row>
    <row r="73" spans="1:2" s="485" customFormat="1" ht="12.75">
      <c r="A73" s="433"/>
      <c r="B73" s="549"/>
    </row>
    <row r="74" spans="1:2" s="485" customFormat="1" ht="12.75">
      <c r="A74" s="433"/>
      <c r="B74" s="549"/>
    </row>
    <row r="75" spans="1:2" s="485" customFormat="1" ht="12.75">
      <c r="A75" s="433"/>
      <c r="B75" s="549"/>
    </row>
    <row r="76" spans="1:2" s="485" customFormat="1" ht="12.75">
      <c r="A76" s="433"/>
      <c r="B76" s="549"/>
    </row>
    <row r="77" spans="1:2" s="485" customFormat="1" ht="12.75">
      <c r="A77" s="433"/>
      <c r="B77" s="549"/>
    </row>
    <row r="78" spans="1:2" s="485" customFormat="1" ht="12.75">
      <c r="A78" s="433"/>
      <c r="B78" s="549"/>
    </row>
    <row r="79" spans="1:2" s="485" customFormat="1" ht="12.75">
      <c r="A79" s="433"/>
      <c r="B79" s="549"/>
    </row>
    <row r="80" spans="1:2" s="485" customFormat="1" ht="12.75">
      <c r="A80" s="433"/>
      <c r="B80" s="549"/>
    </row>
    <row r="81" spans="1:2" s="485" customFormat="1" ht="12.75">
      <c r="A81" s="433"/>
      <c r="B81" s="549"/>
    </row>
    <row r="82" spans="1:2" s="485" customFormat="1" ht="12.75">
      <c r="A82" s="433"/>
      <c r="B82" s="549"/>
    </row>
    <row r="83" spans="1:2" s="485" customFormat="1" ht="12.75">
      <c r="A83" s="433"/>
      <c r="B83" s="549"/>
    </row>
    <row r="84" spans="1:2" s="485" customFormat="1" ht="12.75">
      <c r="A84" s="433"/>
      <c r="B84" s="549"/>
    </row>
    <row r="85" spans="1:2" s="485" customFormat="1" ht="12.75">
      <c r="A85" s="433"/>
      <c r="B85" s="549"/>
    </row>
    <row r="86" spans="1:2" s="485" customFormat="1" ht="12.75">
      <c r="A86" s="433"/>
      <c r="B86" s="549"/>
    </row>
    <row r="87" spans="1:2" s="485" customFormat="1" ht="12.75">
      <c r="A87" s="433"/>
      <c r="B87" s="549"/>
    </row>
    <row r="88" spans="1:2" s="485" customFormat="1" ht="12.75">
      <c r="A88" s="433"/>
      <c r="B88" s="549"/>
    </row>
    <row r="89" spans="1:2" s="485" customFormat="1" ht="12.75">
      <c r="A89" s="433"/>
      <c r="B89" s="549"/>
    </row>
    <row r="90" spans="1:2" s="485" customFormat="1" ht="12.75">
      <c r="A90" s="433"/>
      <c r="B90" s="549"/>
    </row>
    <row r="91" spans="1:2" s="485" customFormat="1" ht="12.75">
      <c r="A91" s="433"/>
      <c r="B91" s="549"/>
    </row>
    <row r="92" spans="1:2" s="485" customFormat="1" ht="12.75">
      <c r="A92" s="433"/>
      <c r="B92" s="549"/>
    </row>
    <row r="93" spans="1:2" s="485" customFormat="1" ht="12.75">
      <c r="A93" s="433"/>
      <c r="B93" s="549"/>
    </row>
    <row r="94" spans="1:2" s="485" customFormat="1" ht="12.75">
      <c r="A94" s="433"/>
      <c r="B94" s="549"/>
    </row>
    <row r="95" spans="1:2" s="485" customFormat="1" ht="12.75">
      <c r="A95" s="433"/>
      <c r="B95" s="549"/>
    </row>
    <row r="96" spans="1:2" s="485" customFormat="1" ht="12.75">
      <c r="A96" s="433"/>
      <c r="B96" s="549"/>
    </row>
    <row r="97" spans="1:2" s="485" customFormat="1" ht="12.75">
      <c r="A97" s="433"/>
      <c r="B97" s="549"/>
    </row>
    <row r="98" spans="1:2" s="485" customFormat="1" ht="12.75">
      <c r="A98" s="433"/>
      <c r="B98" s="549"/>
    </row>
    <row r="99" spans="1:2" s="485" customFormat="1" ht="12.75">
      <c r="A99" s="433"/>
      <c r="B99" s="549"/>
    </row>
    <row r="100" spans="1:4" s="485" customFormat="1" ht="12.75">
      <c r="A100" s="433"/>
      <c r="B100" s="550"/>
      <c r="C100" s="541"/>
      <c r="D100" s="541"/>
    </row>
    <row r="101" spans="1:4" s="485" customFormat="1" ht="12.75">
      <c r="A101" s="433"/>
      <c r="B101" s="550"/>
      <c r="C101" s="541"/>
      <c r="D101" s="541"/>
    </row>
    <row r="102" spans="1:5" s="485" customFormat="1" ht="12.75">
      <c r="A102" s="540"/>
      <c r="B102" s="550"/>
      <c r="C102" s="541"/>
      <c r="D102" s="541"/>
      <c r="E102" s="541"/>
    </row>
    <row r="103" spans="1:5" s="485" customFormat="1" ht="12.75">
      <c r="A103" s="540"/>
      <c r="B103" s="550"/>
      <c r="C103" s="541"/>
      <c r="D103" s="541"/>
      <c r="E103" s="541"/>
    </row>
    <row r="104" spans="6:10" ht="12.75">
      <c r="F104" s="485"/>
      <c r="G104" s="485"/>
      <c r="H104" s="485"/>
      <c r="I104" s="485"/>
      <c r="J104" s="485"/>
    </row>
    <row r="105" spans="6:10" ht="12.75">
      <c r="F105" s="485"/>
      <c r="G105" s="485"/>
      <c r="H105" s="485"/>
      <c r="I105" s="485"/>
      <c r="J105" s="485"/>
    </row>
  </sheetData>
  <sheetProtection password="CCBC" sheet="1" objects="1" scenarios="1"/>
  <mergeCells count="2">
    <mergeCell ref="H10:H11"/>
    <mergeCell ref="H12:H13"/>
  </mergeCells>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4"/>
  <dimension ref="A1:E90"/>
  <sheetViews>
    <sheetView showGridLines="0" showRowColHeaders="0" showZeros="0" showOutlineSymbols="0" view="pageBreakPreview" zoomScale="75" zoomScaleNormal="86" zoomScaleSheetLayoutView="75" workbookViewId="0" topLeftCell="A1">
      <selection activeCell="A1" sqref="A1"/>
    </sheetView>
  </sheetViews>
  <sheetFormatPr defaultColWidth="9.140625" defaultRowHeight="12.75"/>
  <cols>
    <col min="1" max="1" width="5.7109375" style="551" customWidth="1"/>
    <col min="2" max="2" width="100.140625" style="511" customWidth="1"/>
    <col min="3" max="3" width="21.421875" style="511" customWidth="1"/>
    <col min="4" max="4" width="7.7109375" style="511" customWidth="1"/>
    <col min="5" max="5" width="5.7109375" style="511" customWidth="1"/>
    <col min="6" max="16384" width="9.140625" style="511" customWidth="1"/>
  </cols>
  <sheetData>
    <row r="1" spans="1:5" s="456" customFormat="1" ht="15.75" customHeight="1">
      <c r="A1" s="457"/>
      <c r="B1" s="458"/>
      <c r="C1" s="467"/>
      <c r="E1" s="458"/>
    </row>
    <row r="2" spans="1:5" s="501" customFormat="1" ht="15.75" customHeight="1">
      <c r="A2" s="441" t="str">
        <f>CONCATENATE("Nacalculatieformulier ",Voorblad!D3)</f>
        <v>Nacalculatieformulier 2005</v>
      </c>
      <c r="B2" s="533"/>
      <c r="C2" s="565"/>
      <c r="D2" s="565"/>
      <c r="E2" s="598">
        <f>Inhoud!$I$2+1</f>
        <v>3</v>
      </c>
    </row>
    <row r="3" ht="12" customHeight="1">
      <c r="D3" s="547"/>
    </row>
    <row r="4" spans="1:5" s="458" customFormat="1" ht="12">
      <c r="A4" s="41" t="s">
        <v>516</v>
      </c>
      <c r="B4" s="42"/>
      <c r="C4" s="42"/>
      <c r="D4" s="42"/>
      <c r="E4" s="42"/>
    </row>
    <row r="5" spans="1:5" s="458" customFormat="1" ht="12">
      <c r="A5" s="41"/>
      <c r="B5" s="42"/>
      <c r="C5" s="42"/>
      <c r="D5" s="42"/>
      <c r="E5" s="42"/>
    </row>
    <row r="6" spans="1:5" s="458" customFormat="1" ht="12">
      <c r="A6" s="47" t="s">
        <v>110</v>
      </c>
      <c r="C6" s="42"/>
      <c r="D6" s="42"/>
      <c r="E6" s="42"/>
    </row>
    <row r="7" spans="1:5" s="458" customFormat="1" ht="40.5" customHeight="1">
      <c r="A7" s="1306" t="str">
        <f>CONCATENATE("Het electronische formulier is beveiligd met een wachtwoord. Dit betekent dat in het formulier geen veranderingen kunnen worden aangebracht. ","Als toch de wens of de noodzaak bestaat om van het formulier af te wijken, dan kunt u dit verwerken onder de overige mutaties op regel ",Mutaties!A19,".")</f>
        <v>Het electronische formulier is beveiligd met een wachtwoord. Dit betekent dat in het formulier geen veranderingen kunnen worden aangebracht. Als toch de wens of de noodzaak bestaat om van het formulier af te wijken, dan kunt u dit verwerken onder de overige mutaties op regel 1511.</v>
      </c>
      <c r="B7" s="1304"/>
      <c r="C7" s="1304"/>
      <c r="D7" s="1304"/>
      <c r="E7" s="1304"/>
    </row>
    <row r="8" spans="1:5" s="458" customFormat="1" ht="12" customHeight="1">
      <c r="A8" s="1307" t="s">
        <v>323</v>
      </c>
      <c r="B8" s="1307"/>
      <c r="C8" s="572"/>
      <c r="D8" s="572"/>
      <c r="E8" s="572"/>
    </row>
    <row r="9" spans="1:5" s="458" customFormat="1" ht="15" customHeight="1">
      <c r="A9" s="1300" t="s">
        <v>494</v>
      </c>
      <c r="B9" s="1300"/>
      <c r="C9" s="1300"/>
      <c r="D9" s="1300"/>
      <c r="E9" s="1300"/>
    </row>
    <row r="10" spans="1:5" s="458" customFormat="1" ht="12" customHeight="1">
      <c r="A10" s="1307"/>
      <c r="B10" s="1307"/>
      <c r="C10" s="838"/>
      <c r="D10" s="838"/>
      <c r="E10" s="838"/>
    </row>
    <row r="11" spans="1:5" s="458" customFormat="1" ht="12" customHeight="1">
      <c r="A11" s="41" t="s">
        <v>324</v>
      </c>
      <c r="B11" s="41"/>
      <c r="C11" s="589"/>
      <c r="D11" s="590"/>
      <c r="E11" s="589"/>
    </row>
    <row r="12" spans="1:5" s="458" customFormat="1" ht="48" customHeight="1">
      <c r="A12" s="1309" t="s">
        <v>32</v>
      </c>
      <c r="B12" s="1310"/>
      <c r="C12" s="1310"/>
      <c r="D12" s="1310"/>
      <c r="E12" s="1310"/>
    </row>
    <row r="13" spans="1:5" s="458" customFormat="1" ht="36" customHeight="1">
      <c r="A13" s="1309" t="s">
        <v>30</v>
      </c>
      <c r="B13" s="1309"/>
      <c r="C13" s="1309"/>
      <c r="D13" s="1309"/>
      <c r="E13" s="1309"/>
    </row>
    <row r="14" spans="1:5" s="458" customFormat="1" ht="24" customHeight="1">
      <c r="A14" s="1304" t="s">
        <v>31</v>
      </c>
      <c r="B14" s="1304"/>
      <c r="C14" s="1304"/>
      <c r="D14" s="1304"/>
      <c r="E14" s="1304"/>
    </row>
    <row r="15" spans="1:5" s="458" customFormat="1" ht="12" customHeight="1">
      <c r="A15" s="1308" t="s">
        <v>325</v>
      </c>
      <c r="B15" s="1308"/>
      <c r="C15" s="838"/>
      <c r="D15" s="838"/>
      <c r="E15" s="838"/>
    </row>
    <row r="16" spans="1:5" s="458" customFormat="1" ht="84" customHeight="1">
      <c r="A16" s="1309" t="str">
        <f>"Het betreft hier opbrengsten die vallen onder de beleidsregel ""aanvullende inkomsten zorginstellingen."&amp;" Hierin is vastgelegd dat inkomsten van bepaalde activiteiten niet met de aanvaardbare kosten behoeven te worden verrekend, maar dat deze onder bepaalde voorwaarden kunnen worden behouden."&amp;" Deze opbrengsten dienen in het rekeningschema "&amp;Voorblad!D3&amp;" verantwoord te worden in rekeninggroep 83."&amp;" Onder de aanvullende inkomsten valt tevens onderlinge dienstverlening tussen instellingen; hierop is de beleidsregel onderlinge dienstverlening van toepassing."&amp;" 
Slechts ter bepaling van de reserve aanvaardbare kosten kunnen deze opbrengsten met de exploitatiekosten worden verrekend. "&amp;"Ook als u de opbrengsten als negatieve kosten in de exploitatie-rekening hebt verwerkt, wordt u verzocht een specificatie te geven. "</f>
        <v>Het betreft hier opbrengsten die vallen onder de beleidsregel "aanvullende inkomsten zorginstellingen. Hierin is vastgelegd dat inkomsten van bepaalde activiteiten niet met de aanvaardbare kosten behoeven te worden verrekend, maar dat deze onder bepaalde voorwaarden kunnen worden behouden. Deze opbrengsten dienen in het rekeningschema 2005 verantwoord te worden in rekeninggroep 83. Onder de aanvullende inkomsten valt tevens onderlinge dienstverlening tussen instellingen; hierop is de beleidsregel onderlinge dienstverlening van toepassing. 
Slechts ter bepaling van de reserve aanvaardbare kosten kunnen deze opbrengsten met de exploitatiekosten worden verrekend. Ook als u de opbrengsten als negatieve kosten in de exploitatie-rekening hebt verwerkt, wordt u verzocht een specificatie te geven. </v>
      </c>
      <c r="B16" s="1309"/>
      <c r="C16" s="1309"/>
      <c r="D16" s="1309"/>
      <c r="E16" s="1309"/>
    </row>
    <row r="17" spans="1:5" s="458" customFormat="1" ht="12" customHeight="1">
      <c r="A17" s="1068"/>
      <c r="B17" s="1068"/>
      <c r="C17" s="1068"/>
      <c r="D17" s="1068"/>
      <c r="E17" s="1068"/>
    </row>
    <row r="18" spans="1:5" s="458" customFormat="1" ht="12" customHeight="1">
      <c r="A18" s="1307" t="s">
        <v>326</v>
      </c>
      <c r="B18" s="1307"/>
      <c r="C18" s="1307"/>
      <c r="D18" s="1307"/>
      <c r="E18" s="1307"/>
    </row>
    <row r="19" spans="1:5" s="458" customFormat="1" ht="60" customHeight="1">
      <c r="A19" s="1311" t="s">
        <v>33</v>
      </c>
      <c r="B19" s="1311"/>
      <c r="C19" s="1311"/>
      <c r="D19" s="1311"/>
      <c r="E19" s="1311"/>
    </row>
    <row r="20" spans="1:5" s="458" customFormat="1" ht="48" customHeight="1">
      <c r="A20" s="1311" t="str">
        <f>CONCATENATE("Voor een onderbouwing van de afschrijvingsbedragen over investeringen die in ",Voorblad!D3," in gebruik zijn genomen, dient u op de volgende pagina de investeringen per vergunning te specificeren (pagina ",WZV!M2,"). U wordt verzocht om per project een kopie van de betreffende vergunning met het nacalculatieformulier mee te zenden. Dit geldt ook voor de goedgekeurde huurbedragen.")</f>
        <v>Voor een onderbouwing van de afschrijvingsbedragen over investeringen die in 2005 in gebruik zijn genomen, dient u op de volgende pagina de investeringen per vergunning te specificeren (pagina 12). U wordt verzocht om per project een kopie van de betreffende vergunning met het nacalculatieformulier mee te zenden. Dit geldt ook voor de goedgekeurde huurbedragen.</v>
      </c>
      <c r="B20" s="1311"/>
      <c r="C20" s="1311"/>
      <c r="D20" s="1311"/>
      <c r="E20" s="1311"/>
    </row>
    <row r="21" spans="1:4" s="458" customFormat="1" ht="12" customHeight="1">
      <c r="A21" s="457"/>
      <c r="C21" s="467"/>
      <c r="D21" s="456"/>
    </row>
    <row r="22" spans="1:5" s="458" customFormat="1" ht="12" customHeight="1">
      <c r="A22" s="441" t="str">
        <f>CONCATENATE("Nacalculatieformulier ",Voorblad!D3)</f>
        <v>Nacalculatieformulier 2005</v>
      </c>
      <c r="B22" s="533"/>
      <c r="C22" s="565"/>
      <c r="D22" s="565"/>
      <c r="E22" s="598">
        <f>E2+1</f>
        <v>4</v>
      </c>
    </row>
    <row r="23" spans="1:5" s="458" customFormat="1" ht="12" customHeight="1">
      <c r="A23" s="551"/>
      <c r="B23" s="511"/>
      <c r="C23" s="511"/>
      <c r="D23" s="547"/>
      <c r="E23" s="511"/>
    </row>
    <row r="24" spans="1:5" s="458" customFormat="1" ht="12" customHeight="1">
      <c r="A24" s="626" t="s">
        <v>64</v>
      </c>
      <c r="B24" s="587"/>
      <c r="C24" s="586"/>
      <c r="D24" s="586"/>
      <c r="E24" s="586"/>
    </row>
    <row r="25" spans="1:5" s="458" customFormat="1" ht="72" customHeight="1">
      <c r="A25" s="1298" t="str">
        <f>CONCATENATE("Hier dient u investeringen waarvoor een normale WZV-procedure is doorlopen en ingebruikname in ",Voorblad!D8," heeft plaatsgevonden te specificeren. ","Met betrekking tot de rentekosten tijdens de bouw wordt nog opgemerkt dat overeenkomstig de beleidsregel rentenormering de rentekosten tijdens de bouw tot 2002 onderdeel uitmaken van de investeringskosten, waarover dient te worden afgeschreven. ","In de verleende WZV-vergunning van normale procedures tot 2002 maken de rentekosten tijdens de bouw ook onderdeel uit van de totale investeringskosten waarvoor toestemming is verleend. ","De investeringen op grond  van verkorte procedures kunt u tevens kwijt op deze pagina´s. ","Voor deze investeringen dient de rente tijdens de bouw niet te worden geactiveerd, maar rechtstreeks ten laste van het exploitatieresultaat te worden gebracht.")</f>
        <v>Hier dient u investeringen waarvoor een normale WZV-procedure is doorlopen en ingebruikname in  heeft plaatsgevonden te specificeren. Met betrekking tot de rentekosten tijdens de bouw wordt nog opgemerkt dat overeenkomstig de beleidsregel rentenormering de rentekosten tijdens de bouw tot 2002 onderdeel uitmaken van de investeringskosten, waarover dient te worden afgeschreven. In de verleende WZV-vergunning van normale procedures tot 2002 maken de rentekosten tijdens de bouw ook onderdeel uit van de totale investeringskosten waarvoor toestemming is verleend. De investeringen op grond  van verkorte procedures kunt u tevens kwijt op deze pagina´s. Voor deze investeringen dient de rente tijdens de bouw niet te worden geactiveerd, maar rechtstreeks ten laste van het exploitatieresultaat te worden gebracht.</v>
      </c>
      <c r="B25" s="1298"/>
      <c r="C25" s="1298"/>
      <c r="D25" s="1298"/>
      <c r="E25" s="1298"/>
    </row>
    <row r="26" spans="1:5" s="456" customFormat="1" ht="15" customHeight="1">
      <c r="A26" s="1301" t="s">
        <v>65</v>
      </c>
      <c r="B26" s="1301"/>
      <c r="C26" s="1301"/>
      <c r="D26" s="1301"/>
      <c r="E26" s="1301"/>
    </row>
    <row r="27" spans="1:5" s="501" customFormat="1" ht="36" customHeight="1">
      <c r="A27" s="1304" t="str">
        <f>CONCATENATE("De instandhoudingsinvesteringen die in ",Voorblad!D3," in gebruik zijn genomen dienen te worden gespecificeerd. Hierbij wordt onderscheid gemaakt in investeringen ten laste van de jaarlijkse instandhoudingen en investeringen ten laste van trekkingsrechten. ")</f>
        <v>De instandhoudingsinvesteringen die in 2005 in gebruik zijn genomen dienen te worden gespecificeerd. Hierbij wordt onderscheid gemaakt in investeringen ten laste van de jaarlijkse instandhoudingen en investeringen ten laste van trekkingsrechten. </v>
      </c>
      <c r="B27" s="1304"/>
      <c r="C27" s="1304"/>
      <c r="D27" s="1304"/>
      <c r="E27" s="1304"/>
    </row>
    <row r="28" spans="1:5" s="501" customFormat="1" ht="12" customHeight="1">
      <c r="A28" s="475" t="s">
        <v>66</v>
      </c>
      <c r="B28" s="585"/>
      <c r="C28" s="586"/>
      <c r="D28" s="586"/>
      <c r="E28" s="586"/>
    </row>
    <row r="29" spans="1:5" s="458" customFormat="1" ht="60" customHeight="1">
      <c r="A29" s="1300" t="str">
        <f>CONCATENATE("Op pagina ",'Afschr.inventaris'!G2," kunt u het kortingspercentage ",Voorblad!D3," van de beleidsregel investeringen berekenen. ","De kortingspercentages voor WZV goedgekeurde investeringen t/m ",Voorblad!D3-1," zijn al eerder vastgesteld, u kunt deze in het schema overnemen. ","Tevens kunnen budgetaanpassingen in verband met WZV-goedkeuringen voor medische en overige inventarissen (onderdeel 1) en voor artikel 2 WBMV functies (onderdeel 3) worden gespecificeerd. ","Aanpassingen van de aanvaardbare kosten op grond van goedkeuringen ex WZV worden alleen verwerkt voor zover deze vergezeld gaan van de goedkeuringsbeslissing en een specificatie van de (afschrijvings)kosten. 
")</f>
        <v>Op pagina  kunt u het kortingspercentage 2005 van de beleidsregel investeringen berekenen. De kortingspercentages voor WZV goedgekeurde investeringen t/m 2004 zijn al eerder vastgesteld, u kunt deze in het schema overnemen. Tevens kunnen budgetaanpassingen in verband met WZV-goedkeuringen voor medische en overige inventarissen (onderdeel 1) en voor artikel 2 WBMV functies (onderdeel 3) worden gespecificeerd. Aanpassingen van de aanvaardbare kosten op grond van goedkeuringen ex WZV worden alleen verwerkt voor zover deze vergezeld gaan van de goedkeuringsbeslissing en een specificatie van de (afschrijvings)kosten. 
</v>
      </c>
      <c r="B29" s="1300"/>
      <c r="C29" s="1300"/>
      <c r="D29" s="1300"/>
      <c r="E29" s="1300"/>
    </row>
    <row r="30" spans="1:5" s="458" customFormat="1" ht="12" customHeight="1">
      <c r="A30" s="457"/>
      <c r="C30" s="467"/>
      <c r="E30" s="456"/>
    </row>
    <row r="31" spans="1:5" s="458" customFormat="1" ht="12" customHeight="1">
      <c r="A31" s="441" t="str">
        <f>CONCATENATE("Nacalculatieformulier ",Voorblad!D3)</f>
        <v>Nacalculatieformulier 2005</v>
      </c>
      <c r="B31" s="533"/>
      <c r="C31" s="565"/>
      <c r="D31" s="581"/>
      <c r="E31" s="598">
        <f>E22+1</f>
        <v>5</v>
      </c>
    </row>
    <row r="32" spans="1:5" s="458" customFormat="1" ht="12" customHeight="1">
      <c r="A32" s="569"/>
      <c r="B32" s="502"/>
      <c r="C32" s="582"/>
      <c r="D32" s="582"/>
      <c r="E32" s="583"/>
    </row>
    <row r="33" spans="1:5" s="458" customFormat="1" ht="12" customHeight="1">
      <c r="A33" s="41"/>
      <c r="B33" s="41" t="str">
        <f>'Rentecalc.'!A6</f>
        <v>CALCULATIEMODEL RENTEKOSTEN</v>
      </c>
      <c r="C33" s="594"/>
      <c r="D33" s="594"/>
      <c r="E33" s="595"/>
    </row>
    <row r="34" spans="1:5" s="462" customFormat="1" ht="24" customHeight="1">
      <c r="A34" s="1314" t="s">
        <v>34</v>
      </c>
      <c r="B34" s="1252"/>
      <c r="C34" s="1252"/>
      <c r="D34" s="1252"/>
      <c r="E34" s="1252"/>
    </row>
    <row r="35" spans="1:5" s="458" customFormat="1" ht="13.5" customHeight="1">
      <c r="A35" s="41" t="str">
        <f>'A-G'!A8</f>
        <v>A. </v>
      </c>
      <c r="B35" s="41" t="str">
        <f>'A-G'!B8</f>
        <v>Boekwaarde investeringen waarvoor vergunning is verleend</v>
      </c>
      <c r="C35" s="592"/>
      <c r="D35" s="592"/>
      <c r="E35" s="592"/>
    </row>
    <row r="36" spans="1:5" s="458" customFormat="1" ht="48" customHeight="1">
      <c r="A36" s="1313" t="str">
        <f>CONCATENATE("Op regel ",'A-G'!A9," dient u de samenstelling van de boekwaarde per 31 december  ",Voorblad!D3-1," volgens de jaarrekening op te nemen. Deze gegevens zijn exclusief de kosten voor onderhanden projecten van normale WZV-procedures. Op regel ",'A-G'!A11," t/m ",'A-G'!A22," vermeldt u in de eerste kolom de aanschafwaarde van (des)investeringen die in ",Voorblad!D3,"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1701 dient u de samenstelling van de boekwaarde per 31 december  2004 volgens de jaarrekening op te nemen. Deze gegevens zijn exclusief de kosten voor onderhanden projecten van normale WZV-procedures. Op regel 1703 t/m 1714 vermeldt u in de eerste kolom de aanschafwaarde van (des)investeringen die in 2005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36" s="1300"/>
      <c r="C36" s="1300"/>
      <c r="D36" s="1300"/>
      <c r="E36" s="1300"/>
    </row>
    <row r="37" spans="1:5" s="458" customFormat="1" ht="13.5" customHeight="1">
      <c r="A37" s="41" t="str">
        <f>'A-G'!A31</f>
        <v>B.</v>
      </c>
      <c r="B37" s="41" t="str">
        <f>'A-G'!B31</f>
        <v>Onderhanden bouwprojecten  met WZV vergunning (geen investeringen meldingsregeling)</v>
      </c>
      <c r="C37" s="597"/>
      <c r="D37" s="597"/>
      <c r="E37" s="42"/>
    </row>
    <row r="38" spans="1:5" s="458" customFormat="1" ht="48" customHeight="1">
      <c r="A38" s="1300" t="str">
        <f>CONCATENATE("Op regel ",'A-G'!A32," dient u in de eerste kolom de kosten voor onderhanden projecten van WZV-vergunningen per 31 december ",Voorblad!D3-1," volgens de jaarrekening op te nemen. U kunt de bedragen vermelden in de maand waarin het uitgevoerde werk is gefactureerd."," In de factor wordt rekening gehouden met een betalingstermijn van 1 maand. In de tweede kolom vult u de onderhanden WZV-investeringen in die in ",Voorblad!D3," in gebruik zijn genomen. ")</f>
        <v>Op regel 1718 dient u in de eerste kolom de kosten voor onderhanden projecten van WZV-vergunningen per 31 december 2004 volgens de jaarrekening op te nemen. U kunt de bedragen vermelden in de maand waarin het uitgevoerde werk is gefactureerd. In de factor wordt rekening gehouden met een betalingstermijn van 1 maand. In de tweede kolom vult u de onderhanden WZV-investeringen in die in 2005 in gebruik zijn genomen. </v>
      </c>
      <c r="B38" s="1300"/>
      <c r="C38" s="1300"/>
      <c r="D38" s="1300"/>
      <c r="E38" s="1300"/>
    </row>
    <row r="39" spans="1:5" s="456" customFormat="1" ht="15" customHeight="1">
      <c r="A39" s="41" t="str">
        <f>'A-G'!A53</f>
        <v>C. </v>
      </c>
      <c r="B39" s="41" t="str">
        <f>'A-G'!B53</f>
        <v>Werkelijke boekwaarde instandhoudingsinvesteringen (inclusief onderhanden werk)</v>
      </c>
      <c r="C39" s="597"/>
      <c r="D39" s="597"/>
      <c r="E39" s="42"/>
    </row>
    <row r="40" spans="1:5" s="501" customFormat="1" ht="48" customHeight="1">
      <c r="A40" s="1299" t="str">
        <f>CONCATENATE("Op regel ",'A-G'!A54," dient u de samenstelling van de boekwaarde per 31 december ",Voorblad!D3-1," volgens de jaarrekening op te nemen. Voor instandhoudingsinvesteringen in uitvoering zijn twee varianten mogelijk."," U kunt er voor kiezen de investeringskosten aan het eind van het jaar direct te activeren en de afschrijving daarop in ",Voorblad!D3," te starten. U kunt er ook voor kiezen de investeringskosten te boeken op onderhanden werk. Alleen als u kiest voor de laatste variant dienen de regels ",'A-G'!A56," en ",'A-G'!A70," te worden ingevuld. Evenals in overzicht B wordt ook hier in de toegepaste factoren rekening gehouden met een betalingstermijn van 1 maand.")</f>
        <v>Op regel 1801 dient u de samenstelling van de boekwaarde per 31 december 2004 volgens de jaarrekening op te nemen. Voor instandhoudingsinvesteringen in uitvoering zijn twee varianten mogelijk. U kunt er voor kiezen de investeringskosten aan het eind van het jaar direct te activeren en de afschrijving daarop in 2005 te starten. U kunt er ook voor kiezen de investeringskosten te boeken op onderhanden werk. Alleen als u kiest voor de laatste variant dienen de regels 1803 en 1817 te worden ingevuld. Evenals in overzicht B wordt ook hier in de toegepaste factoren rekening gehouden met een betalingstermijn van 1 maand.</v>
      </c>
      <c r="B40" s="1300"/>
      <c r="C40" s="1300"/>
      <c r="D40" s="1300"/>
      <c r="E40" s="1300"/>
    </row>
    <row r="41" spans="1:5" s="501" customFormat="1" ht="12" customHeight="1">
      <c r="A41" s="591"/>
      <c r="B41" s="591"/>
      <c r="C41" s="591"/>
      <c r="D41" s="591"/>
      <c r="E41" s="42"/>
    </row>
    <row r="42" spans="1:5" s="501" customFormat="1" ht="12" customHeight="1">
      <c r="A42" s="41" t="s">
        <v>298</v>
      </c>
      <c r="B42" s="41" t="str">
        <f>'A-G'!B76</f>
        <v>Normatieve boekwaarde medische en overige inventarissen</v>
      </c>
      <c r="C42" s="582"/>
      <c r="D42" s="582"/>
      <c r="E42" s="595"/>
    </row>
    <row r="43" spans="1:5" s="501" customFormat="1" ht="36" customHeight="1">
      <c r="A43" s="1300" t="str">
        <f>CONCATENATE("U dient hier de afschrijvingen volgens de laatste rekenstaat ",Voorblad!D3," in te vullen en deze vervolgens te vermenigvuldigen met de aangegeven factor. Het resultaat is de normatieve boekwaarde van medische en overige inventarissen. ")</f>
        <v>U dient hier de afschrijvingen volgens de laatste rekenstaat 2005 in te vullen en deze vervolgens te vermenigvuldigen met de aangegeven factor. Het resultaat is de normatieve boekwaarde van medische en overige inventarissen. </v>
      </c>
      <c r="B43" s="1300"/>
      <c r="C43" s="1300"/>
      <c r="D43" s="1300"/>
      <c r="E43" s="1300"/>
    </row>
    <row r="44" spans="1:5" s="501" customFormat="1" ht="12" customHeight="1">
      <c r="A44" s="41" t="s">
        <v>299</v>
      </c>
      <c r="B44" s="41" t="s">
        <v>300</v>
      </c>
      <c r="C44" s="582"/>
      <c r="D44" s="582"/>
      <c r="E44" s="595"/>
    </row>
    <row r="45" spans="1:5" s="501" customFormat="1" ht="60" customHeight="1">
      <c r="A45" s="1304" t="str">
        <f>CONCATENATE("In de derde kolom dient te worden uitgegaan van het budget op kasbasis volgens de laatst bekende rekenstaat ",Voorblad!D3," aangevuld met de budgetmutaties volgens het nacalculatieformulier ",Voorblad!D3," uitgezonderd de rentemutatie. Het totaal van deze kolom dient gelijk te zijn aan het bedrag op pagina ",Mutaties!E2,", regel ",Mutaties!A22,". 
In de vierde kolom dient per maand te worden aangegeven de declaratiewaarde van de productie in die maand, ","ongeacht het moment van factureren. Opbrengsten van toeslagen die zijn afgegeven voor de verrekening van de lumpsum (specialistenhonorering) dienen buiten beschouwing te blijven. ")</f>
        <v>In de derde kolom dient te worden uitgegaan van het budget op kasbasis volgens de laatst bekende rekenstaat 2005 aangevuld met de budgetmutaties volgens het nacalculatieformulier 2005 uitgezonderd de rentemutatie. Het totaal van deze kolom dient gelijk te zijn aan het bedrag op pagina 15, regel 1514. 
In de vierde kolom dient per maand te worden aangegeven de declaratiewaarde van de productie in die maand, ongeacht het moment van factureren. Opbrengsten van toeslagen die zijn afgegeven voor de verrekening van de lumpsum (specialistenhonorering) dienen buiten beschouwing te blijven. </v>
      </c>
      <c r="B45" s="1304"/>
      <c r="C45" s="1304"/>
      <c r="D45" s="1304"/>
      <c r="E45" s="1304"/>
    </row>
    <row r="46" spans="1:5" s="501" customFormat="1" ht="36" customHeight="1">
      <c r="A46" s="1309" t="str">
        <f>CONCATENATE("In de laatste kolom komt op regel ",'A-G'!A127," het saldo ultimo ",Voorblad!D3-1," te staan. Dit bedrag komt overeen met het financieringsresultaat ultimo ",Voorblad!D3-1," conform de berekening in de eerste tabel bij onderdeel G. ","Voor het invullen van de eerste tabel dient u uit te gaan van de opbrengstregistratie uit de meest recente rekenstaat van het lopende jaar.")</f>
        <v>In de laatste kolom komt op regel 2004 het saldo ultimo 2004 te staan. Dit bedrag komt overeen met het financieringsresultaat ultimo 2004 conform de berekening in de eerste tabel bij onderdeel G. Voor het invullen van de eerste tabel dient u uit te gaan van de opbrengstregistratie uit de meest recente rekenstaat van het lopende jaar.</v>
      </c>
      <c r="B46" s="1309"/>
      <c r="C46" s="1309"/>
      <c r="D46" s="1309"/>
      <c r="E46" s="1309"/>
    </row>
    <row r="47" spans="1:5" s="501" customFormat="1" ht="12" customHeight="1">
      <c r="A47" s="457"/>
      <c r="B47" s="458"/>
      <c r="C47" s="467"/>
      <c r="D47" s="458"/>
      <c r="E47" s="456"/>
    </row>
    <row r="48" spans="1:5" s="501" customFormat="1" ht="12" customHeight="1">
      <c r="A48" s="441" t="str">
        <f>CONCATENATE("Nacalculatieformulier ",Voorblad!D3)</f>
        <v>Nacalculatieformulier 2005</v>
      </c>
      <c r="B48" s="533"/>
      <c r="C48" s="565"/>
      <c r="D48" s="581"/>
      <c r="E48" s="598">
        <f>E31+1</f>
        <v>6</v>
      </c>
    </row>
    <row r="49" spans="1:5" s="501" customFormat="1" ht="12" customHeight="1">
      <c r="A49" s="569"/>
      <c r="B49" s="502"/>
      <c r="C49" s="582"/>
      <c r="D49" s="582"/>
      <c r="E49" s="583"/>
    </row>
    <row r="50" spans="1:5" s="501" customFormat="1" ht="12" customHeight="1">
      <c r="A50" s="1116" t="s">
        <v>495</v>
      </c>
      <c r="B50" s="462" t="s">
        <v>508</v>
      </c>
      <c r="C50" s="458"/>
      <c r="D50" s="458"/>
      <c r="E50" s="458"/>
    </row>
    <row r="51" spans="1:5" ht="24" customHeight="1">
      <c r="A51" s="1312" t="str">
        <f>CONCATENATE("1. In de kolom ´Datum normrente´ moet voor leningen die in ",Voorblad!D3," zijn afgesloten de datum worden vermeld waarop het berekende normpercentage is vastgesteld. Dit is de datum waarop de leningsovereenkomst tot stand is gekomen.")</f>
        <v>1. In de kolom ´Datum normrente´ moet voor leningen die in 2005 zijn afgesloten de datum worden vermeld waarop het berekende normpercentage is vastgesteld. Dit is de datum waarop de leningsovereenkomst tot stand is gekomen.</v>
      </c>
      <c r="B51" s="1312"/>
      <c r="C51" s="1312"/>
      <c r="D51" s="1312"/>
      <c r="E51" s="1312"/>
    </row>
    <row r="52" spans="1:5" ht="12" customHeight="1">
      <c r="A52" s="1117"/>
      <c r="B52" s="1117"/>
      <c r="C52" s="1117"/>
      <c r="D52" s="1117"/>
      <c r="E52" s="1117"/>
    </row>
    <row r="53" spans="1:5" ht="48" customHeight="1">
      <c r="A53" s="1312" t="str">
        <f>CONCATENATE("2. In de kolom ´einddatum rentevastperiode´ dient de datum worden opgenomen waarop het huidige rentepercentage expireert. Als een bestaande lening in ",Voorblad!D3,"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f>
        <v>2. In de kolom ´einddatum rentevastperiode´ dient de datum worden opgenomen waarop het huidige rentepercentage expireert. Als een bestaande lening in 2005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v>
      </c>
      <c r="B53" s="1312"/>
      <c r="C53" s="1312"/>
      <c r="D53" s="1312"/>
      <c r="E53" s="1312"/>
    </row>
    <row r="54" spans="1:5" s="458" customFormat="1" ht="24" customHeight="1">
      <c r="A54" s="1315" t="s">
        <v>504</v>
      </c>
      <c r="B54" s="1315"/>
      <c r="C54" s="1315"/>
      <c r="D54" s="1315"/>
      <c r="E54" s="1315"/>
    </row>
    <row r="55" spans="1:5" s="458" customFormat="1" ht="12" customHeight="1">
      <c r="A55" s="1118"/>
      <c r="B55" s="1118"/>
      <c r="C55" s="1118"/>
      <c r="D55" s="1118"/>
      <c r="E55" s="1118"/>
    </row>
    <row r="56" spans="1:5" s="458" customFormat="1" ht="36" customHeight="1">
      <c r="A56" s="1312" t="s">
        <v>505</v>
      </c>
      <c r="B56" s="1312"/>
      <c r="C56" s="1312"/>
      <c r="D56" s="1312"/>
      <c r="E56" s="1312"/>
    </row>
    <row r="57" spans="1:5" s="458" customFormat="1" ht="12" customHeight="1">
      <c r="A57" s="1117"/>
      <c r="B57" s="1117"/>
      <c r="C57" s="1117"/>
      <c r="D57" s="1117"/>
      <c r="E57" s="1117"/>
    </row>
    <row r="58" spans="1:5" s="458" customFormat="1" ht="36" customHeight="1">
      <c r="A58" s="1312" t="str">
        <f>CONCATENATE("4. In de kolommen van ´Storting/Aflossing ",Voorblad!D3,"´ dient u het aflossingsbedrag, de dagen en de maand(en) van afslossing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4. In de kolommen van ´Storting/Aflossing 2005´ dient u het aflossingsbedrag, de dagen en de maand(en) van afslossing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58" s="1312"/>
      <c r="C58" s="1312"/>
      <c r="D58" s="1312"/>
      <c r="E58" s="1312"/>
    </row>
    <row r="59" spans="1:5" s="458" customFormat="1" ht="24" customHeight="1">
      <c r="A59" s="1312" t="s">
        <v>549</v>
      </c>
      <c r="B59" s="1312"/>
      <c r="C59" s="1312"/>
      <c r="D59" s="1312"/>
      <c r="E59" s="1312"/>
    </row>
    <row r="60" s="458" customFormat="1" ht="12" customHeight="1">
      <c r="A60" s="457"/>
    </row>
    <row r="61" spans="1:2" s="458" customFormat="1" ht="12" customHeight="1">
      <c r="A61" s="457" t="s">
        <v>496</v>
      </c>
      <c r="B61" s="462" t="s">
        <v>511</v>
      </c>
    </row>
    <row r="62" spans="1:5" s="458" customFormat="1" ht="36" customHeight="1">
      <c r="A62" s="1312" t="str">
        <f>CONCATENATE("Voor de bepaling van het resultaat dient te worden uitgegeaan van het budget aanvaarbare kosten op kasbasis volgens de laatst bekende rekenstaat ",Voorblad!D3,", aangevuld met de budgetmutaties volgens het nacalculatieformulier ",Voorblad!D3,", uitgezonderd de mutatie op de rente. De gegevens op deze bijlage dienen aan te sluiten bij de jaarrekening. ","In het resultaat volgens de jaarrekening is het volledige resultaat op rente inbegrepen. Teneinde aansluiting te behouden kan op regel ",'I-J'!A18," de mutatie op rente worden opgenomen. Als het resultaat in de reserves is verwerkt, behoeft regel ",'I-J'!A17," niet te worden ingevuld.")</f>
        <v>Voor de bepaling van het resultaat dient te worden uitgegeaan van het budget aanvaarbare kosten op kasbasis volgens de laatst bekende rekenstaat 2005, aangevuld met de budgetmutaties volgens het nacalculatieformulier 2005, uitgezonderd de mutatie op de rente. De gegevens op deze bijlage dienen aan te sluiten bij de jaarrekening. In het resultaat volgens de jaarrekening is het volledige resultaat op rente inbegrepen. Teneinde aansluiting te behouden kan op regel 2312 de mutatie op rente worden opgenomen. Als het resultaat in de reserves is verwerkt, behoeft regel 2311 niet te worden ingevuld.</v>
      </c>
      <c r="B62" s="1312"/>
      <c r="C62" s="1312"/>
      <c r="D62" s="1312"/>
      <c r="E62" s="1312"/>
    </row>
    <row r="63" s="458" customFormat="1" ht="12" hidden="1">
      <c r="A63" s="457" t="s">
        <v>537</v>
      </c>
    </row>
    <row r="64" spans="1:5" s="458" customFormat="1" ht="12" hidden="1">
      <c r="A64" s="441" t="str">
        <f>CONCATENATE("Nacalculatieformulier ",Voorblad!D3)</f>
        <v>Nacalculatieformulier 2005</v>
      </c>
      <c r="B64" s="533"/>
      <c r="C64" s="565"/>
      <c r="D64" s="581"/>
      <c r="E64" s="598">
        <f>E31+1</f>
        <v>6</v>
      </c>
    </row>
    <row r="65" spans="1:5" s="458" customFormat="1" ht="12" hidden="1">
      <c r="A65" s="596"/>
      <c r="B65" s="502"/>
      <c r="C65" s="582"/>
      <c r="D65" s="582"/>
      <c r="E65" s="595"/>
    </row>
    <row r="66" spans="1:5" s="458" customFormat="1" ht="12" hidden="1">
      <c r="A66" s="41" t="str">
        <f>H!A7</f>
        <v>H. </v>
      </c>
      <c r="B66" s="41" t="str">
        <f>H!B7</f>
        <v>Langlopende leningen (incl. langlopende leasecontracten)</v>
      </c>
      <c r="C66" s="591"/>
      <c r="D66" s="591"/>
      <c r="E66" s="42"/>
    </row>
    <row r="67" spans="1:5" s="458" customFormat="1" ht="12.75" hidden="1">
      <c r="A67" s="1300" t="str">
        <f>CONCATENATE("1. In de kolom 'Datum normrente' moet voor leningen die in 2001 en ",Voorblad!D3," zijn afgesloten de datum worden vermeld waarop het berekende normpercentage is vastgesteld. Dit is datum waarop de leningsovereenkomst tot stand is gekomen.")</f>
        <v>1. In de kolom 'Datum normrente' moet voor leningen die in 2001 en 2005 zijn afgesloten de datum worden vermeld waarop het berekende normpercentage is vastgesteld. Dit is datum waarop de leningsovereenkomst tot stand is gekomen.</v>
      </c>
      <c r="B67" s="1305"/>
      <c r="C67" s="1305"/>
      <c r="D67" s="1305"/>
      <c r="E67" s="1305"/>
    </row>
    <row r="68" spans="1:5" s="458" customFormat="1" ht="12.75" hidden="1">
      <c r="A68" s="1300" t="str">
        <f>CONCATENATE("2. In de kolom 'einddatum rentevastperiode' dient de datum worden opgenomen waarop het huidige rentepercentage expireert. Als een bestaande lening in ",Voorblad!D3,"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f>
        <v>2. In de kolom 'einddatum rentevastperiode' dient de datum worden opgenomen waarop het huidige rentepercentage expireert. Als een bestaande lening in 2005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v>
      </c>
      <c r="B68" s="1305"/>
      <c r="C68" s="1305"/>
      <c r="D68" s="1305"/>
      <c r="E68" s="1305"/>
    </row>
    <row r="69" spans="1:5" s="458" customFormat="1" ht="12.75" hidden="1">
      <c r="A69" s="1300" t="s">
        <v>158</v>
      </c>
      <c r="B69" s="1305"/>
      <c r="C69" s="1305"/>
      <c r="D69" s="1305"/>
      <c r="E69" s="1305"/>
    </row>
    <row r="70" spans="1:5" s="458" customFormat="1" ht="12.75" hidden="1">
      <c r="A70" s="1300" t="s">
        <v>155</v>
      </c>
      <c r="B70" s="1305"/>
      <c r="C70" s="1305"/>
      <c r="D70" s="1305"/>
      <c r="E70" s="1305"/>
    </row>
    <row r="71" spans="1:5" s="458" customFormat="1" ht="12" hidden="1">
      <c r="A71" s="1302" t="str">
        <f>CONCATENATE("4. In de kolommen van 'Storting/Aflossing ",Voorblad!D3,"'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4. In de kolommen van 'Storting/Aflossing 2005'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71" s="1303"/>
      <c r="C71" s="1303"/>
      <c r="D71" s="1303"/>
      <c r="E71" s="1303"/>
    </row>
    <row r="72" spans="1:5" s="458" customFormat="1" ht="12" hidden="1">
      <c r="A72" s="1303" t="s">
        <v>159</v>
      </c>
      <c r="B72" s="1303"/>
      <c r="C72" s="1303"/>
      <c r="D72" s="1303"/>
      <c r="E72" s="1303"/>
    </row>
    <row r="73" spans="1:5" s="458" customFormat="1" ht="12" hidden="1">
      <c r="A73" s="41" t="str">
        <f>'I-J'!A6</f>
        <v>I. </v>
      </c>
      <c r="B73" s="41" t="str">
        <f>'I-J'!B6</f>
        <v>Eigen vermogen</v>
      </c>
      <c r="C73" s="42"/>
      <c r="D73" s="42"/>
      <c r="E73" s="42"/>
    </row>
    <row r="74" spans="1:5" s="458" customFormat="1" ht="12" hidden="1">
      <c r="A74" s="1299" t="str">
        <f>CONCATENATE("Voor de bepaling van het resultaat dient te worden uitgegaan van het budget aanvaardbare kosten op kasbasis volgens de laatst bekende rekenstaat ",Voorblad!D3," , aangevuld met de budgetmutaties volgens het nacalculatieformulier ",Voorblad!D3," , uitgezonderd de mutatie op de rente. De gegevens op deze bijlage dienen aan te sluiten bij de jaarrekening. In het resultaat volgens de jaarrekening is het volledige resultaat op rente inbegrepen. Teneinde aanluiting te behouden kan op regel ",'I-J'!A19," de mutatie op rente worden opgenomen. Als het resultaat in de reserves is verwerkt, behoeft regel ",'I-J'!A17," niet te worden ingevuld.")</f>
        <v>Voor de bepaling van het resultaat dient te worden uitgegaan van het budget aanvaardbare kosten op kasbasis volgens de laatst bekende rekenstaat 2005 , aangevuld met de budgetmutaties volgens het nacalculatieformulier 2005 , uitgezonderd de mutatie op de rente. De gegevens op deze bijlage dienen aan te sluiten bij de jaarrekening. In het resultaat volgens de jaarrekening is het volledige resultaat op rente inbegrepen. Teneinde aanluiting te behouden kan op regel 2313 de mutatie op rente worden opgenomen. Als het resultaat in de reserves is verwerkt, behoeft regel 2311 niet te worden ingevuld.</v>
      </c>
      <c r="B74" s="1300"/>
      <c r="C74" s="1300"/>
      <c r="D74" s="1300"/>
      <c r="E74" s="1300"/>
    </row>
    <row r="75" spans="1:5" s="458" customFormat="1" ht="48" customHeight="1">
      <c r="A75" s="1299" t="str">
        <f>CONCATENATE(" Op regel ",'I-J'!A20,"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f>
        <v> Op regel 2314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v>
      </c>
      <c r="B75" s="1300"/>
      <c r="C75" s="1300"/>
      <c r="D75" s="1300"/>
      <c r="E75" s="1300"/>
    </row>
    <row r="76" spans="1:5" s="458" customFormat="1" ht="15.75" customHeight="1">
      <c r="A76" s="41" t="str">
        <f>'I-J'!A26</f>
        <v>J. </v>
      </c>
      <c r="B76" s="41" t="str">
        <f>'I-J'!B26</f>
        <v>Rentekosten langlopende leningen</v>
      </c>
      <c r="C76" s="42"/>
      <c r="D76" s="42"/>
      <c r="E76" s="42"/>
    </row>
    <row r="77" spans="1:5" s="458" customFormat="1" ht="48" customHeight="1">
      <c r="A77" s="1300" t="str">
        <f>CONCATENATE("De rente van lange leningen op regel ",'I-J'!A27," dient te corresponderen met de leningen die in het overzicht onder G zijn vermeld. B","oeterente als gevolg van het converteren van leningen (voor 2001) wordt afgeschreven over een variabele periode. ","De lengte van de periode wordt berekend door het bedrag van de boeterente te delen door het rentevoordeel dat in het eerste jaar na de conversiedatum wordt behaald.")</f>
        <v>De rente van lange leningen op regel 2317 dient te corresponderen met de leningen die in het overzicht onder G zijn vermeld. Boeterente als gevolg van het converteren van leningen (voor 2001) wordt afgeschreven over een variabele periode. De lengte van de periode wordt berekend door het bedrag van de boeterente te delen door het rentevoordeel dat in het eerste jaar na de conversiedatum wordt behaald.</v>
      </c>
      <c r="B77" s="1300"/>
      <c r="C77" s="1300"/>
      <c r="D77" s="1300"/>
      <c r="E77" s="1300"/>
    </row>
    <row r="78" s="458" customFormat="1" ht="27.75" customHeight="1">
      <c r="A78" s="457"/>
    </row>
    <row r="79" s="458" customFormat="1" ht="53.25" customHeight="1">
      <c r="A79" s="457"/>
    </row>
    <row r="80" spans="1:5" s="458" customFormat="1" ht="29.25" customHeight="1">
      <c r="A80" s="551"/>
      <c r="B80" s="511"/>
      <c r="C80" s="511"/>
      <c r="D80" s="511"/>
      <c r="E80" s="511"/>
    </row>
    <row r="81" spans="1:5" s="458" customFormat="1" ht="42.75" customHeight="1">
      <c r="A81" s="551"/>
      <c r="B81" s="511"/>
      <c r="C81" s="511"/>
      <c r="D81" s="511"/>
      <c r="E81" s="511"/>
    </row>
    <row r="82" spans="1:5" s="458" customFormat="1" ht="42" customHeight="1">
      <c r="A82" s="551"/>
      <c r="B82" s="511"/>
      <c r="C82" s="511"/>
      <c r="D82" s="511"/>
      <c r="E82" s="511"/>
    </row>
    <row r="83" spans="1:5" s="458" customFormat="1" ht="42" customHeight="1">
      <c r="A83" s="551"/>
      <c r="B83" s="511"/>
      <c r="C83" s="511"/>
      <c r="D83" s="511"/>
      <c r="E83" s="511"/>
    </row>
    <row r="84" spans="1:5" s="458" customFormat="1" ht="12">
      <c r="A84" s="551"/>
      <c r="B84" s="511"/>
      <c r="C84" s="511"/>
      <c r="D84" s="511"/>
      <c r="E84" s="511"/>
    </row>
    <row r="85" spans="1:5" s="458" customFormat="1" ht="50.25" customHeight="1">
      <c r="A85" s="551"/>
      <c r="B85" s="511"/>
      <c r="C85" s="511"/>
      <c r="D85" s="511"/>
      <c r="E85" s="511"/>
    </row>
    <row r="86" spans="1:5" s="458" customFormat="1" ht="47.25" customHeight="1">
      <c r="A86" s="551"/>
      <c r="B86" s="511"/>
      <c r="C86" s="511"/>
      <c r="D86" s="511"/>
      <c r="E86" s="511"/>
    </row>
    <row r="87" spans="1:5" s="458" customFormat="1" ht="12">
      <c r="A87" s="551"/>
      <c r="B87" s="511"/>
      <c r="C87" s="511"/>
      <c r="D87" s="511"/>
      <c r="E87" s="511"/>
    </row>
    <row r="88" spans="1:5" s="458" customFormat="1" ht="36" customHeight="1">
      <c r="A88" s="551"/>
      <c r="B88" s="511"/>
      <c r="C88" s="511"/>
      <c r="D88" s="511"/>
      <c r="E88" s="511"/>
    </row>
    <row r="89" spans="1:5" s="458" customFormat="1" ht="12">
      <c r="A89" s="551"/>
      <c r="B89" s="511"/>
      <c r="C89" s="511"/>
      <c r="D89" s="511"/>
      <c r="E89" s="511"/>
    </row>
    <row r="90" spans="1:5" s="458" customFormat="1" ht="12">
      <c r="A90" s="551"/>
      <c r="B90" s="511"/>
      <c r="C90" s="511"/>
      <c r="D90" s="511"/>
      <c r="E90" s="511"/>
    </row>
  </sheetData>
  <sheetProtection password="CCBC" sheet="1" objects="1" scenarios="1"/>
  <mergeCells count="39">
    <mergeCell ref="A59:E59"/>
    <mergeCell ref="A62:E62"/>
    <mergeCell ref="A51:E51"/>
    <mergeCell ref="A53:E53"/>
    <mergeCell ref="A54:E54"/>
    <mergeCell ref="A56:E56"/>
    <mergeCell ref="A19:E19"/>
    <mergeCell ref="A16:E16"/>
    <mergeCell ref="A58:E58"/>
    <mergeCell ref="A36:E36"/>
    <mergeCell ref="A38:E38"/>
    <mergeCell ref="A29:E29"/>
    <mergeCell ref="A27:E27"/>
    <mergeCell ref="A20:E20"/>
    <mergeCell ref="A46:E46"/>
    <mergeCell ref="A34:E34"/>
    <mergeCell ref="A69:E69"/>
    <mergeCell ref="A72:E72"/>
    <mergeCell ref="A67:E67"/>
    <mergeCell ref="A68:E68"/>
    <mergeCell ref="A7:E7"/>
    <mergeCell ref="A9:E9"/>
    <mergeCell ref="A18:E18"/>
    <mergeCell ref="A8:B8"/>
    <mergeCell ref="A10:B10"/>
    <mergeCell ref="A15:B15"/>
    <mergeCell ref="A12:E12"/>
    <mergeCell ref="A13:E13"/>
    <mergeCell ref="A14:E14"/>
    <mergeCell ref="A25:E25"/>
    <mergeCell ref="A75:E75"/>
    <mergeCell ref="A77:E77"/>
    <mergeCell ref="A26:E26"/>
    <mergeCell ref="A74:E74"/>
    <mergeCell ref="A40:E40"/>
    <mergeCell ref="A71:E71"/>
    <mergeCell ref="A45:E45"/>
    <mergeCell ref="A43:E43"/>
    <mergeCell ref="A70:E70"/>
  </mergeCells>
  <printOptions/>
  <pageMargins left="0.3937007874015748" right="0.3937007874015748" top="0.3937007874015748" bottom="0.1968503937007874" header="0.5118110236220472" footer="0.11811023622047245"/>
  <pageSetup fitToHeight="3" horizontalDpi="300" verticalDpi="300" orientation="landscape" paperSize="9" r:id="rId2"/>
  <rowBreaks count="3" manualBreakCount="3">
    <brk id="20" max="4" man="1"/>
    <brk id="29" max="255" man="1"/>
    <brk id="46" max="255" man="1"/>
  </rowBreaks>
  <drawing r:id="rId1"/>
</worksheet>
</file>

<file path=xl/worksheets/sheet6.xml><?xml version="1.0" encoding="utf-8"?>
<worksheet xmlns="http://schemas.openxmlformats.org/spreadsheetml/2006/main" xmlns:r="http://schemas.openxmlformats.org/officeDocument/2006/relationships">
  <dimension ref="A1:L2480"/>
  <sheetViews>
    <sheetView showGridLines="0" showRowColHeaders="0" showZeros="0" showOutlineSymbols="0" view="pageBreakPreview" zoomScale="75" zoomScaleNormal="86" zoomScaleSheetLayoutView="75" workbookViewId="0" topLeftCell="A1">
      <selection activeCell="A1" sqref="A1"/>
    </sheetView>
  </sheetViews>
  <sheetFormatPr defaultColWidth="9.140625" defaultRowHeight="12" customHeight="1"/>
  <cols>
    <col min="1" max="1" width="5.7109375" style="901" customWidth="1"/>
    <col min="2" max="2" width="38.28125" style="901" customWidth="1"/>
    <col min="3" max="3" width="12.7109375" style="892" customWidth="1"/>
    <col min="4" max="4" width="12.8515625" style="892" customWidth="1"/>
    <col min="5" max="5" width="12.7109375" style="892" customWidth="1"/>
    <col min="6" max="6" width="10.8515625" style="892" customWidth="1"/>
    <col min="7" max="7" width="12.7109375" style="892" customWidth="1"/>
    <col min="8" max="8" width="12.7109375" style="901" customWidth="1"/>
    <col min="9" max="9" width="3.7109375" style="901" customWidth="1"/>
    <col min="10" max="11" width="12.7109375" style="901" customWidth="1"/>
    <col min="12" max="16384" width="9.140625" style="901" customWidth="1"/>
  </cols>
  <sheetData>
    <row r="1" spans="2:9" ht="12" customHeight="1">
      <c r="B1" s="880"/>
      <c r="C1" s="905"/>
      <c r="D1" s="458"/>
      <c r="E1" s="458"/>
      <c r="F1" s="561"/>
      <c r="G1" s="458"/>
      <c r="H1" s="458"/>
      <c r="I1" s="456"/>
    </row>
    <row r="2" spans="1:8" ht="12" customHeight="1">
      <c r="A2" s="1022" t="str">
        <f>CONCATENATE("Nacalculatieformulier ",Voorblad!D3)</f>
        <v>Nacalculatieformulier 2005</v>
      </c>
      <c r="B2" s="904"/>
      <c r="C2" s="599"/>
      <c r="D2" s="599"/>
      <c r="E2" s="599"/>
      <c r="F2" s="599"/>
      <c r="G2" s="603" t="b">
        <f>Voorblad!D30</f>
        <v>1</v>
      </c>
      <c r="H2" s="598">
        <f>instructie!E64+1</f>
        <v>7</v>
      </c>
    </row>
    <row r="3" spans="1:8" ht="12" customHeight="1">
      <c r="A3" s="569"/>
      <c r="B3" s="873"/>
      <c r="C3" s="91"/>
      <c r="D3" s="91"/>
      <c r="E3" s="91"/>
      <c r="F3" s="91"/>
      <c r="G3" s="923"/>
      <c r="H3" s="595"/>
    </row>
    <row r="4" spans="1:8" ht="12" customHeight="1">
      <c r="A4" s="562" t="s">
        <v>274</v>
      </c>
      <c r="B4" s="873"/>
      <c r="C4" s="91"/>
      <c r="D4" s="91"/>
      <c r="E4" s="91"/>
      <c r="F4" s="91"/>
      <c r="G4" s="923"/>
      <c r="H4" s="595"/>
    </row>
    <row r="5" spans="2:9" ht="12" customHeight="1">
      <c r="B5" s="922"/>
      <c r="C5" s="873"/>
      <c r="D5" s="873"/>
      <c r="E5" s="873"/>
      <c r="F5" s="91"/>
      <c r="G5" s="91"/>
      <c r="H5" s="91"/>
      <c r="I5" s="923"/>
    </row>
    <row r="6" spans="1:2" ht="12" customHeight="1">
      <c r="A6" s="1071" t="s">
        <v>111</v>
      </c>
      <c r="B6" s="1071" t="s">
        <v>548</v>
      </c>
    </row>
    <row r="7" spans="2:12" ht="12" customHeight="1">
      <c r="B7" s="1071"/>
      <c r="K7" s="1072" t="str">
        <f>CONCATENATE("index ",Voorblad!D3)</f>
        <v>index 2005</v>
      </c>
      <c r="L7" s="1073"/>
    </row>
    <row r="8" spans="3:12" ht="12" customHeight="1">
      <c r="C8" s="894" t="s">
        <v>248</v>
      </c>
      <c r="D8" s="894" t="s">
        <v>249</v>
      </c>
      <c r="E8" s="1328" t="s">
        <v>35</v>
      </c>
      <c r="F8" s="1320"/>
      <c r="G8" s="1319" t="s">
        <v>250</v>
      </c>
      <c r="H8" s="1320"/>
      <c r="K8" s="1074" t="s">
        <v>190</v>
      </c>
      <c r="L8" s="1075" t="s">
        <v>82</v>
      </c>
    </row>
    <row r="9" spans="3:12" ht="12" customHeight="1">
      <c r="C9" s="1076"/>
      <c r="D9" s="1076" t="s">
        <v>251</v>
      </c>
      <c r="E9" s="1321">
        <f>D10</f>
        <v>2005</v>
      </c>
      <c r="F9" s="1322"/>
      <c r="G9" s="1323">
        <f>E9</f>
        <v>2005</v>
      </c>
      <c r="H9" s="1324"/>
      <c r="K9" s="1077">
        <v>1.0092</v>
      </c>
      <c r="L9" s="1078">
        <v>1.0142</v>
      </c>
    </row>
    <row r="10" spans="3:8" ht="12" customHeight="1">
      <c r="C10" s="895">
        <f>Voorblad!D3</f>
        <v>2005</v>
      </c>
      <c r="D10" s="895">
        <f>C10</f>
        <v>2005</v>
      </c>
      <c r="E10" s="896" t="s">
        <v>190</v>
      </c>
      <c r="F10" s="909" t="s">
        <v>82</v>
      </c>
      <c r="G10" s="896" t="s">
        <v>190</v>
      </c>
      <c r="H10" s="909" t="s">
        <v>82</v>
      </c>
    </row>
    <row r="11" spans="3:7" ht="12" customHeight="1">
      <c r="C11" s="1079"/>
      <c r="D11" s="1079"/>
      <c r="E11" s="1079"/>
      <c r="F11" s="901"/>
      <c r="G11" s="901"/>
    </row>
    <row r="12" spans="1:8" ht="12" customHeight="1">
      <c r="A12" s="973">
        <f>H2*100+1</f>
        <v>701</v>
      </c>
      <c r="B12" s="907" t="s">
        <v>252</v>
      </c>
      <c r="C12" s="734"/>
      <c r="D12" s="908"/>
      <c r="E12" s="1193">
        <v>34.94</v>
      </c>
      <c r="F12" s="1193">
        <v>5.39</v>
      </c>
      <c r="G12" s="1196">
        <f aca="true" t="shared" si="0" ref="G12:G17">ROUND((C12-D12)*ROUND(E12*$K$9,2),0)</f>
        <v>0</v>
      </c>
      <c r="H12" s="1196">
        <f aca="true" t="shared" si="1" ref="H12:H17">ROUND((C12-D12)*ROUND(F12*$L$9,2),0)</f>
        <v>0</v>
      </c>
    </row>
    <row r="13" spans="1:8" ht="12" customHeight="1">
      <c r="A13" s="973">
        <f>A12+1</f>
        <v>702</v>
      </c>
      <c r="B13" s="907" t="s">
        <v>253</v>
      </c>
      <c r="C13" s="902">
        <f>ROUND(E53,0)</f>
        <v>0</v>
      </c>
      <c r="D13" s="564"/>
      <c r="E13" s="1193">
        <v>62.73</v>
      </c>
      <c r="F13" s="1193">
        <v>9.32</v>
      </c>
      <c r="G13" s="1196">
        <f t="shared" si="0"/>
        <v>0</v>
      </c>
      <c r="H13" s="1196">
        <f t="shared" si="1"/>
        <v>0</v>
      </c>
    </row>
    <row r="14" spans="1:8" ht="12" customHeight="1">
      <c r="A14" s="973">
        <f>A13+1</f>
        <v>703</v>
      </c>
      <c r="B14" s="907" t="s">
        <v>254</v>
      </c>
      <c r="C14" s="902">
        <f>ROUND(E49,0)</f>
        <v>0</v>
      </c>
      <c r="D14" s="564"/>
      <c r="E14" s="1193">
        <v>62.73</v>
      </c>
      <c r="F14" s="1193">
        <v>9.32</v>
      </c>
      <c r="G14" s="1196">
        <f t="shared" si="0"/>
        <v>0</v>
      </c>
      <c r="H14" s="1196">
        <f t="shared" si="1"/>
        <v>0</v>
      </c>
    </row>
    <row r="15" spans="1:8" ht="12" customHeight="1">
      <c r="A15" s="973">
        <f>A14+1</f>
        <v>704</v>
      </c>
      <c r="B15" s="907" t="s">
        <v>255</v>
      </c>
      <c r="C15" s="872"/>
      <c r="D15" s="908"/>
      <c r="E15" s="1193">
        <v>53.97</v>
      </c>
      <c r="F15" s="1193"/>
      <c r="G15" s="1196">
        <f t="shared" si="0"/>
        <v>0</v>
      </c>
      <c r="H15" s="1196">
        <f t="shared" si="1"/>
        <v>0</v>
      </c>
    </row>
    <row r="16" spans="1:8" ht="12" customHeight="1">
      <c r="A16" s="973">
        <f>A15+1</f>
        <v>705</v>
      </c>
      <c r="B16" s="907" t="s">
        <v>256</v>
      </c>
      <c r="C16" s="432"/>
      <c r="D16" s="908"/>
      <c r="E16" s="1193">
        <v>6139</v>
      </c>
      <c r="F16" s="1193"/>
      <c r="G16" s="1196">
        <f t="shared" si="0"/>
        <v>0</v>
      </c>
      <c r="H16" s="1196">
        <f t="shared" si="1"/>
        <v>0</v>
      </c>
    </row>
    <row r="17" spans="1:8" ht="12" customHeight="1">
      <c r="A17" s="973">
        <f>A16+1</f>
        <v>706</v>
      </c>
      <c r="B17" s="907" t="s">
        <v>257</v>
      </c>
      <c r="C17" s="432"/>
      <c r="D17" s="908"/>
      <c r="E17" s="1193">
        <v>51.03</v>
      </c>
      <c r="F17" s="1193"/>
      <c r="G17" s="1196">
        <f t="shared" si="0"/>
        <v>0</v>
      </c>
      <c r="H17" s="1196">
        <f t="shared" si="1"/>
        <v>0</v>
      </c>
    </row>
    <row r="18" spans="1:8" ht="12" customHeight="1">
      <c r="A18" s="1161"/>
      <c r="C18" s="1002"/>
      <c r="D18" s="1002"/>
      <c r="E18" s="1081"/>
      <c r="F18" s="1082"/>
      <c r="G18" s="1083"/>
      <c r="H18" s="1083"/>
    </row>
    <row r="19" spans="1:8" ht="12" customHeight="1">
      <c r="A19" s="1161"/>
      <c r="B19" s="901" t="s">
        <v>258</v>
      </c>
      <c r="C19" s="1002"/>
      <c r="D19" s="1002"/>
      <c r="E19" s="1081"/>
      <c r="F19" s="1082"/>
      <c r="G19" s="1083"/>
      <c r="H19" s="1083"/>
    </row>
    <row r="20" spans="1:8" ht="12" customHeight="1">
      <c r="A20" s="973">
        <f>A17+1</f>
        <v>707</v>
      </c>
      <c r="B20" s="1195" t="s">
        <v>76</v>
      </c>
      <c r="C20" s="432"/>
      <c r="D20" s="908"/>
      <c r="E20" s="1194">
        <f>ROUND(0.8*242,2)</f>
        <v>193.6</v>
      </c>
      <c r="F20" s="1193">
        <f>242-E20</f>
        <v>48.400000000000006</v>
      </c>
      <c r="G20" s="1196">
        <f aca="true" t="shared" si="2" ref="G20:H24">($C20-$D20)*E20</f>
        <v>0</v>
      </c>
      <c r="H20" s="1196">
        <f t="shared" si="2"/>
        <v>0</v>
      </c>
    </row>
    <row r="21" spans="1:8" ht="12" customHeight="1">
      <c r="A21" s="973">
        <f>A20+1</f>
        <v>708</v>
      </c>
      <c r="B21" s="1195" t="s">
        <v>77</v>
      </c>
      <c r="C21" s="432"/>
      <c r="D21" s="908"/>
      <c r="E21" s="1194">
        <f>ROUND(0.8*106.5,2)</f>
        <v>85.2</v>
      </c>
      <c r="F21" s="1193">
        <f>106.5-E21</f>
        <v>21.299999999999997</v>
      </c>
      <c r="G21" s="1196">
        <f t="shared" si="2"/>
        <v>0</v>
      </c>
      <c r="H21" s="1196">
        <f t="shared" si="2"/>
        <v>0</v>
      </c>
    </row>
    <row r="22" spans="1:8" ht="12" customHeight="1">
      <c r="A22" s="973">
        <f>A21+1</f>
        <v>709</v>
      </c>
      <c r="B22" s="1195" t="s">
        <v>78</v>
      </c>
      <c r="C22" s="432"/>
      <c r="D22" s="908"/>
      <c r="E22" s="1194">
        <f>ROUND(0.8*245,2)</f>
        <v>196</v>
      </c>
      <c r="F22" s="1193">
        <f>245-E22</f>
        <v>49</v>
      </c>
      <c r="G22" s="1196">
        <f t="shared" si="2"/>
        <v>0</v>
      </c>
      <c r="H22" s="1196">
        <f t="shared" si="2"/>
        <v>0</v>
      </c>
    </row>
    <row r="23" spans="1:8" ht="12" customHeight="1">
      <c r="A23" s="973">
        <f>A22+1</f>
        <v>710</v>
      </c>
      <c r="B23" s="1195" t="s">
        <v>79</v>
      </c>
      <c r="C23" s="432"/>
      <c r="D23" s="908"/>
      <c r="E23" s="1194">
        <f>ROUND(0.8*488.5,2)</f>
        <v>390.8</v>
      </c>
      <c r="F23" s="1193">
        <f>488.5-E23</f>
        <v>97.69999999999999</v>
      </c>
      <c r="G23" s="1196">
        <f t="shared" si="2"/>
        <v>0</v>
      </c>
      <c r="H23" s="1196">
        <f t="shared" si="2"/>
        <v>0</v>
      </c>
    </row>
    <row r="24" spans="1:8" ht="12" customHeight="1">
      <c r="A24" s="973">
        <f>A21+1</f>
        <v>709</v>
      </c>
      <c r="B24" s="1195" t="s">
        <v>80</v>
      </c>
      <c r="C24" s="432"/>
      <c r="D24" s="908"/>
      <c r="E24" s="1194">
        <f>ROUND(0.8*888,2)</f>
        <v>710.4</v>
      </c>
      <c r="F24" s="1193">
        <f>888-E24</f>
        <v>177.60000000000002</v>
      </c>
      <c r="G24" s="1196">
        <f t="shared" si="2"/>
        <v>0</v>
      </c>
      <c r="H24" s="1196">
        <f t="shared" si="2"/>
        <v>0</v>
      </c>
    </row>
    <row r="25" spans="1:8" ht="12" customHeight="1">
      <c r="A25" s="1161"/>
      <c r="B25" s="1084"/>
      <c r="C25" s="1085"/>
      <c r="D25" s="1085"/>
      <c r="E25" s="1121"/>
      <c r="F25" s="1121"/>
      <c r="G25" s="1086"/>
      <c r="H25" s="1086"/>
    </row>
    <row r="26" spans="1:8" ht="12" customHeight="1">
      <c r="A26" s="973">
        <f>A24+1</f>
        <v>710</v>
      </c>
      <c r="B26" s="907" t="s">
        <v>259</v>
      </c>
      <c r="C26" s="432"/>
      <c r="D26" s="908"/>
      <c r="E26" s="1121">
        <f>0.82</f>
        <v>0.82</v>
      </c>
      <c r="F26" s="1120">
        <f>0.18</f>
        <v>0.18</v>
      </c>
      <c r="G26" s="1196">
        <f>($C26-$D26)*E26</f>
        <v>0</v>
      </c>
      <c r="H26" s="1196">
        <f>($C26-$D26)*F26</f>
        <v>0</v>
      </c>
    </row>
    <row r="27" spans="1:8" ht="12" customHeight="1">
      <c r="A27" s="973">
        <f>A26+1</f>
        <v>711</v>
      </c>
      <c r="B27" s="907" t="s">
        <v>260</v>
      </c>
      <c r="C27" s="734"/>
      <c r="D27" s="1087"/>
      <c r="E27" s="1125">
        <f>0.82</f>
        <v>0.82</v>
      </c>
      <c r="F27" s="1126">
        <f>0.18</f>
        <v>0.18</v>
      </c>
      <c r="G27" s="1196">
        <f>($C27-$D27)*E27</f>
        <v>0</v>
      </c>
      <c r="H27" s="1196">
        <f>($C27-$D27)*F27</f>
        <v>0</v>
      </c>
    </row>
    <row r="28" spans="1:9" ht="12" customHeight="1">
      <c r="A28" s="973">
        <f>A27+1</f>
        <v>712</v>
      </c>
      <c r="B28" s="1317" t="s">
        <v>261</v>
      </c>
      <c r="C28" s="1317"/>
      <c r="D28" s="1317"/>
      <c r="E28" s="1317"/>
      <c r="F28" s="1318"/>
      <c r="G28" s="943">
        <f>SUM(G12:G27)</f>
        <v>0</v>
      </c>
      <c r="H28" s="943">
        <f>SUM(H12:H27)</f>
        <v>0</v>
      </c>
      <c r="I28" s="997"/>
    </row>
    <row r="29" spans="1:11" ht="12" customHeight="1">
      <c r="A29" s="1071"/>
      <c r="C29" s="1085"/>
      <c r="D29" s="1085"/>
      <c r="E29" s="1085"/>
      <c r="F29" s="1085"/>
      <c r="G29" s="1085"/>
      <c r="H29" s="1088"/>
      <c r="I29" s="1089"/>
      <c r="J29" s="1090"/>
      <c r="K29" s="1090"/>
    </row>
    <row r="30" spans="1:11" ht="12" customHeight="1">
      <c r="A30" s="1071"/>
      <c r="B30" s="901" t="str">
        <f>CONCATENATE("* Prijspeil ultimo ",Voorblad!D3-1)</f>
        <v>* Prijspeil ultimo 2004</v>
      </c>
      <c r="C30" s="1085"/>
      <c r="D30" s="1085"/>
      <c r="E30" s="1085"/>
      <c r="F30" s="1085"/>
      <c r="G30" s="1085"/>
      <c r="H30" s="1088"/>
      <c r="I30" s="1088"/>
      <c r="J30" s="1088"/>
      <c r="K30" s="1088"/>
    </row>
    <row r="31" spans="1:11" ht="12" customHeight="1">
      <c r="A31" s="1071"/>
      <c r="B31" s="901" t="s">
        <v>36</v>
      </c>
      <c r="C31" s="1085"/>
      <c r="D31" s="1085"/>
      <c r="E31" s="1085"/>
      <c r="F31" s="1085"/>
      <c r="G31" s="1085"/>
      <c r="H31" s="1088"/>
      <c r="I31" s="1088"/>
      <c r="J31" s="1088"/>
      <c r="K31" s="1088"/>
    </row>
    <row r="32" spans="1:11" ht="12" customHeight="1">
      <c r="A32" s="1071"/>
      <c r="B32" s="901" t="s">
        <v>37</v>
      </c>
      <c r="C32" s="1085"/>
      <c r="D32" s="1085"/>
      <c r="E32" s="1085"/>
      <c r="F32" s="1085"/>
      <c r="G32" s="1085"/>
      <c r="H32" s="1088"/>
      <c r="I32" s="1088"/>
      <c r="J32" s="1088"/>
      <c r="K32" s="1088"/>
    </row>
    <row r="33" spans="1:11" ht="12" customHeight="1">
      <c r="A33" s="1071"/>
      <c r="B33" s="901" t="s">
        <v>38</v>
      </c>
      <c r="C33" s="1085"/>
      <c r="D33" s="1085"/>
      <c r="E33" s="1085"/>
      <c r="F33" s="1085"/>
      <c r="G33" s="1085"/>
      <c r="H33" s="1088"/>
      <c r="I33" s="1088"/>
      <c r="J33" s="1088"/>
      <c r="K33" s="1088"/>
    </row>
    <row r="34" spans="1:11" ht="12" customHeight="1">
      <c r="A34" s="1071"/>
      <c r="B34" s="901" t="s">
        <v>39</v>
      </c>
      <c r="C34" s="891"/>
      <c r="D34" s="891"/>
      <c r="E34" s="891"/>
      <c r="F34" s="891"/>
      <c r="G34" s="891"/>
      <c r="H34" s="1088"/>
      <c r="I34" s="1088"/>
      <c r="J34" s="1088"/>
      <c r="K34" s="1088"/>
    </row>
    <row r="35" spans="1:11" ht="12" customHeight="1">
      <c r="A35" s="1071"/>
      <c r="B35" s="901" t="s">
        <v>27</v>
      </c>
      <c r="C35" s="891"/>
      <c r="D35" s="891"/>
      <c r="E35" s="891"/>
      <c r="F35" s="891"/>
      <c r="G35" s="891"/>
      <c r="H35" s="1088"/>
      <c r="I35" s="1088"/>
      <c r="J35" s="1088"/>
      <c r="K35" s="1088"/>
    </row>
    <row r="36" spans="1:11" ht="12" customHeight="1">
      <c r="A36" s="1071"/>
      <c r="C36" s="891"/>
      <c r="D36" s="891"/>
      <c r="E36" s="891"/>
      <c r="F36" s="891"/>
      <c r="G36" s="891"/>
      <c r="H36" s="1088"/>
      <c r="I36" s="1088"/>
      <c r="J36" s="1088"/>
      <c r="K36" s="1088"/>
    </row>
    <row r="37" spans="1:11" ht="12" customHeight="1">
      <c r="A37" s="1071"/>
      <c r="C37" s="891"/>
      <c r="D37" s="891"/>
      <c r="E37" s="891"/>
      <c r="F37" s="891"/>
      <c r="G37" s="891"/>
      <c r="H37" s="1088"/>
      <c r="I37" s="1088"/>
      <c r="J37" s="1088"/>
      <c r="K37" s="1088"/>
    </row>
    <row r="38" spans="1:11" ht="12" customHeight="1">
      <c r="A38" s="1071"/>
      <c r="C38" s="891"/>
      <c r="D38" s="891"/>
      <c r="E38" s="891"/>
      <c r="F38" s="891"/>
      <c r="G38" s="891"/>
      <c r="H38" s="1088"/>
      <c r="I38" s="1088"/>
      <c r="J38" s="1088"/>
      <c r="K38" s="1088"/>
    </row>
    <row r="39" spans="2:11" ht="12" customHeight="1">
      <c r="B39" s="880"/>
      <c r="C39" s="905"/>
      <c r="D39" s="458"/>
      <c r="E39" s="458"/>
      <c r="F39" s="561"/>
      <c r="G39" s="458"/>
      <c r="H39" s="458"/>
      <c r="I39" s="456"/>
      <c r="J39" s="1088"/>
      <c r="K39" s="1088"/>
    </row>
    <row r="40" spans="1:11" ht="12" customHeight="1">
      <c r="A40" s="1022" t="str">
        <f>CONCATENATE("Nacalculatieformulier ",Voorblad!D3)</f>
        <v>Nacalculatieformulier 2005</v>
      </c>
      <c r="B40" s="904"/>
      <c r="C40" s="599"/>
      <c r="D40" s="599"/>
      <c r="E40" s="599"/>
      <c r="F40" s="599"/>
      <c r="G40" s="603">
        <f>Voorblad!D68</f>
        <v>0</v>
      </c>
      <c r="H40" s="598">
        <f>H2+1</f>
        <v>8</v>
      </c>
      <c r="J40" s="1088"/>
      <c r="K40" s="1088"/>
    </row>
    <row r="41" spans="1:11" ht="12" customHeight="1">
      <c r="A41" s="569"/>
      <c r="B41" s="873"/>
      <c r="C41" s="91"/>
      <c r="D41" s="91"/>
      <c r="E41" s="91"/>
      <c r="F41" s="91"/>
      <c r="G41" s="923"/>
      <c r="H41" s="595"/>
      <c r="J41" s="1088"/>
      <c r="K41" s="1088"/>
    </row>
    <row r="42" spans="1:11" ht="12" customHeight="1">
      <c r="A42" s="1071"/>
      <c r="C42" s="891"/>
      <c r="D42" s="891"/>
      <c r="E42" s="891"/>
      <c r="F42" s="891"/>
      <c r="G42" s="891"/>
      <c r="H42" s="1088"/>
      <c r="I42" s="1088"/>
      <c r="J42" s="1088"/>
      <c r="K42" s="1088"/>
    </row>
    <row r="43" spans="1:11" ht="12" customHeight="1">
      <c r="A43" s="1071"/>
      <c r="B43" s="1071" t="s">
        <v>262</v>
      </c>
      <c r="C43" s="1091" t="s">
        <v>369</v>
      </c>
      <c r="D43" s="1092"/>
      <c r="E43" s="1093" t="s">
        <v>370</v>
      </c>
      <c r="G43" s="901"/>
      <c r="H43" s="1088"/>
      <c r="I43" s="1088"/>
      <c r="J43" s="1094"/>
      <c r="K43" s="1088"/>
    </row>
    <row r="44" spans="1:10" ht="12" customHeight="1">
      <c r="A44" s="1071"/>
      <c r="C44" s="1095" t="s">
        <v>263</v>
      </c>
      <c r="D44" s="1096" t="s">
        <v>264</v>
      </c>
      <c r="E44" s="1096" t="s">
        <v>311</v>
      </c>
      <c r="F44" s="1088"/>
      <c r="G44" s="1097"/>
      <c r="H44" s="467"/>
      <c r="J44" s="467"/>
    </row>
    <row r="45" spans="1:8" ht="12" customHeight="1">
      <c r="A45" s="1071"/>
      <c r="C45" s="1098" t="s">
        <v>248</v>
      </c>
      <c r="D45" s="1099"/>
      <c r="E45" s="1099" t="s">
        <v>248</v>
      </c>
      <c r="F45" s="1088"/>
      <c r="G45" s="1100"/>
      <c r="H45" s="467"/>
    </row>
    <row r="46" spans="1:8" ht="12" customHeight="1">
      <c r="A46" s="1071"/>
      <c r="C46" s="1101">
        <f>C10</f>
        <v>2005</v>
      </c>
      <c r="D46" s="1102"/>
      <c r="E46" s="1102">
        <f>C46</f>
        <v>2005</v>
      </c>
      <c r="F46" s="1088"/>
      <c r="G46" s="1103"/>
      <c r="H46" s="467"/>
    </row>
    <row r="47" spans="1:8" ht="12" customHeight="1">
      <c r="A47" s="973">
        <f>H40*100+1</f>
        <v>801</v>
      </c>
      <c r="B47" s="907" t="s">
        <v>265</v>
      </c>
      <c r="C47" s="734"/>
      <c r="D47" s="1104">
        <v>1</v>
      </c>
      <c r="E47" s="1107">
        <f>D47*C47</f>
        <v>0</v>
      </c>
      <c r="F47" s="1088"/>
      <c r="G47" s="1105"/>
      <c r="H47" s="467"/>
    </row>
    <row r="48" spans="1:8" ht="12" customHeight="1">
      <c r="A48" s="973">
        <f>A47+1</f>
        <v>802</v>
      </c>
      <c r="B48" s="907" t="s">
        <v>266</v>
      </c>
      <c r="C48" s="734"/>
      <c r="D48" s="1106">
        <v>1.5</v>
      </c>
      <c r="E48" s="1107">
        <f>D48*C48</f>
        <v>0</v>
      </c>
      <c r="F48" s="1088"/>
      <c r="G48" s="1105"/>
      <c r="H48" s="467"/>
    </row>
    <row r="49" spans="1:9" ht="12" customHeight="1">
      <c r="A49" s="973">
        <f>A48+1</f>
        <v>803</v>
      </c>
      <c r="B49" s="906" t="s">
        <v>261</v>
      </c>
      <c r="C49" s="1108">
        <f>SUM(C47:C48)</f>
        <v>0</v>
      </c>
      <c r="D49" s="900"/>
      <c r="E49" s="1129">
        <f>E47+E48</f>
        <v>0</v>
      </c>
      <c r="F49" s="901"/>
      <c r="G49" s="1088"/>
      <c r="H49" s="1105"/>
      <c r="I49" s="467"/>
    </row>
    <row r="50" spans="1:9" ht="12" customHeight="1">
      <c r="A50" s="1161"/>
      <c r="C50" s="1110"/>
      <c r="D50" s="1110"/>
      <c r="E50" s="1111"/>
      <c r="F50" s="1110"/>
      <c r="G50" s="1088"/>
      <c r="H50" s="1105"/>
      <c r="I50" s="1112"/>
    </row>
    <row r="51" spans="1:9" ht="12" customHeight="1">
      <c r="A51" s="973">
        <f>A49+1</f>
        <v>804</v>
      </c>
      <c r="B51" s="907" t="s">
        <v>267</v>
      </c>
      <c r="C51" s="571"/>
      <c r="D51" s="1113">
        <v>1</v>
      </c>
      <c r="E51" s="1080">
        <f>D51*C51</f>
        <v>0</v>
      </c>
      <c r="F51" s="1090"/>
      <c r="G51" s="1088"/>
      <c r="H51" s="1105"/>
      <c r="I51" s="467"/>
    </row>
    <row r="52" spans="1:9" ht="12" customHeight="1">
      <c r="A52" s="973">
        <f>A51+1</f>
        <v>805</v>
      </c>
      <c r="B52" s="907" t="s">
        <v>268</v>
      </c>
      <c r="C52" s="432"/>
      <c r="D52" s="1113">
        <v>1.5</v>
      </c>
      <c r="E52" s="907">
        <f>D52*C52</f>
        <v>0</v>
      </c>
      <c r="F52" s="1090"/>
      <c r="G52" s="1088"/>
      <c r="H52" s="1105"/>
      <c r="I52" s="467"/>
    </row>
    <row r="53" spans="1:9" ht="12" customHeight="1">
      <c r="A53" s="973">
        <f>A52+1</f>
        <v>806</v>
      </c>
      <c r="B53" s="942" t="s">
        <v>261</v>
      </c>
      <c r="C53" s="1109">
        <f>SUM(C51:C52)</f>
        <v>0</v>
      </c>
      <c r="D53" s="1109"/>
      <c r="E53" s="1109">
        <f>SUM(E51:E52)</f>
        <v>0</v>
      </c>
      <c r="F53" s="1090"/>
      <c r="G53" s="1088"/>
      <c r="H53" s="1105"/>
      <c r="I53" s="467"/>
    </row>
    <row r="54" spans="1:10" ht="12" customHeight="1">
      <c r="A54" s="1161"/>
      <c r="C54" s="891"/>
      <c r="D54" s="891"/>
      <c r="E54" s="891"/>
      <c r="F54" s="1085"/>
      <c r="G54" s="891"/>
      <c r="H54" s="1088"/>
      <c r="I54" s="1088"/>
      <c r="J54" s="1088"/>
    </row>
    <row r="55" spans="1:11" ht="12" customHeight="1">
      <c r="A55" s="1162"/>
      <c r="B55" s="880"/>
      <c r="C55" s="880"/>
      <c r="D55" s="880"/>
      <c r="E55" s="891"/>
      <c r="F55" s="891"/>
      <c r="G55" s="891"/>
      <c r="H55" s="1088"/>
      <c r="I55" s="1088"/>
      <c r="J55" s="1088"/>
      <c r="K55" s="1088"/>
    </row>
    <row r="56" spans="1:11" ht="12" customHeight="1">
      <c r="A56" s="888"/>
      <c r="B56" s="880" t="s">
        <v>492</v>
      </c>
      <c r="C56" s="880"/>
      <c r="D56" s="880"/>
      <c r="E56" s="891"/>
      <c r="F56" s="891"/>
      <c r="G56" s="891"/>
      <c r="H56" s="1088"/>
      <c r="I56" s="1088"/>
      <c r="J56" s="1088"/>
      <c r="K56" s="1088"/>
    </row>
    <row r="57" spans="1:11" ht="12" customHeight="1">
      <c r="A57" s="973">
        <f>A53+1</f>
        <v>807</v>
      </c>
      <c r="B57" s="1325" t="str">
        <f>CONCATENATE("Verschil realisatie ",Voorblad!D3," volgens definitieve nacalculatie en voorlopige nacalculatie ")</f>
        <v>Verschil realisatie 2005 volgens definitieve nacalculatie en voorlopige nacalculatie </v>
      </c>
      <c r="C57" s="1326"/>
      <c r="D57" s="1326"/>
      <c r="E57" s="1327"/>
      <c r="F57" s="966">
        <f>G28+H28</f>
        <v>0</v>
      </c>
      <c r="G57" s="891"/>
      <c r="H57" s="1088"/>
      <c r="I57" s="1088"/>
      <c r="J57" s="1088"/>
      <c r="K57" s="1088"/>
    </row>
    <row r="58" spans="1:11" ht="12" customHeight="1">
      <c r="A58" s="973">
        <f>A57+1</f>
        <v>808</v>
      </c>
      <c r="B58" s="1316" t="str">
        <f>CONCATENATE("Overeengekomen nog te verwerken nacalculatie productie ",Voorblad!D3)</f>
        <v>Overeengekomen nog te verwerken nacalculatie productie 2005</v>
      </c>
      <c r="C58" s="1317"/>
      <c r="D58" s="1317"/>
      <c r="E58" s="1318"/>
      <c r="F58" s="432"/>
      <c r="G58" s="891"/>
      <c r="H58" s="1088"/>
      <c r="I58" s="1088"/>
      <c r="J58" s="1088"/>
      <c r="K58" s="1088"/>
    </row>
    <row r="59" spans="1:11" ht="12" customHeight="1">
      <c r="A59" s="888"/>
      <c r="B59" s="563" t="s">
        <v>272</v>
      </c>
      <c r="C59" s="563"/>
      <c r="D59" s="563"/>
      <c r="E59" s="891"/>
      <c r="F59" s="891"/>
      <c r="G59" s="891"/>
      <c r="H59" s="1088"/>
      <c r="I59" s="1088"/>
      <c r="J59" s="1088"/>
      <c r="K59" s="1088"/>
    </row>
    <row r="60" spans="1:11" ht="12" customHeight="1">
      <c r="A60" s="888"/>
      <c r="B60" s="563"/>
      <c r="C60" s="563"/>
      <c r="D60" s="563"/>
      <c r="E60" s="891"/>
      <c r="F60" s="891"/>
      <c r="G60" s="891"/>
      <c r="H60" s="1088"/>
      <c r="I60" s="1088"/>
      <c r="J60" s="1088"/>
      <c r="K60" s="1088"/>
    </row>
    <row r="61" spans="1:6" s="563" customFormat="1" ht="12">
      <c r="A61" s="973">
        <f>A58+1</f>
        <v>809</v>
      </c>
      <c r="B61" s="1316" t="str">
        <f>CONCATENATE("Werkelijke productie cf ´totaal FB budget ",Voorblad!D3,"´, blad 3 productieafsprakenformulier ",Voorblad!D3+1)</f>
        <v>Werkelijke productie cf ´totaal FB budget 2005´, blad 3 productieafsprakenformulier 2006</v>
      </c>
      <c r="C61" s="1317"/>
      <c r="D61" s="1317"/>
      <c r="E61" s="1318"/>
      <c r="F61" s="734"/>
    </row>
    <row r="62" spans="1:6" s="563" customFormat="1" ht="12">
      <c r="A62" s="1163">
        <f>A61+1</f>
        <v>810</v>
      </c>
      <c r="B62" s="1122" t="s">
        <v>156</v>
      </c>
      <c r="C62" s="618"/>
      <c r="D62" s="1122"/>
      <c r="E62" s="1122"/>
      <c r="F62" s="1123" t="str">
        <f>IF(F61=0," ",ROUND(F57/F61,4))</f>
        <v> </v>
      </c>
    </row>
    <row r="63" spans="3:11" ht="12" customHeight="1">
      <c r="C63" s="891"/>
      <c r="D63" s="891"/>
      <c r="E63" s="891"/>
      <c r="F63" s="891"/>
      <c r="G63" s="891"/>
      <c r="H63" s="1088"/>
      <c r="I63" s="1088"/>
      <c r="J63" s="1088"/>
      <c r="K63" s="1088"/>
    </row>
    <row r="64" spans="3:11" ht="12" customHeight="1">
      <c r="C64" s="891"/>
      <c r="D64" s="891"/>
      <c r="E64" s="891"/>
      <c r="F64" s="891"/>
      <c r="G64" s="891"/>
      <c r="H64" s="1088"/>
      <c r="I64" s="1088"/>
      <c r="J64" s="1088"/>
      <c r="K64" s="1088"/>
    </row>
    <row r="65" spans="3:11" ht="12" customHeight="1">
      <c r="C65" s="891"/>
      <c r="D65" s="891"/>
      <c r="E65" s="891"/>
      <c r="F65" s="891"/>
      <c r="G65" s="891"/>
      <c r="H65" s="1088"/>
      <c r="I65" s="1088"/>
      <c r="J65" s="1088"/>
      <c r="K65" s="1088"/>
    </row>
    <row r="66" spans="3:11" ht="12" customHeight="1">
      <c r="C66" s="891"/>
      <c r="D66" s="891"/>
      <c r="E66" s="891"/>
      <c r="F66" s="891"/>
      <c r="G66" s="891"/>
      <c r="H66" s="1088"/>
      <c r="I66" s="1088"/>
      <c r="J66" s="1088"/>
      <c r="K66" s="1088"/>
    </row>
    <row r="67" spans="3:11" ht="12" customHeight="1">
      <c r="C67" s="891"/>
      <c r="D67" s="891"/>
      <c r="E67" s="891"/>
      <c r="F67" s="891"/>
      <c r="G67" s="891"/>
      <c r="H67" s="1088"/>
      <c r="I67" s="1088"/>
      <c r="J67" s="1088"/>
      <c r="K67" s="1088"/>
    </row>
    <row r="68" spans="3:11" ht="12" customHeight="1">
      <c r="C68" s="891"/>
      <c r="D68" s="891"/>
      <c r="E68" s="891"/>
      <c r="F68" s="891"/>
      <c r="G68" s="891"/>
      <c r="H68" s="1088"/>
      <c r="I68" s="1088"/>
      <c r="J68" s="1088"/>
      <c r="K68" s="1088"/>
    </row>
    <row r="69" spans="3:11" ht="12" customHeight="1">
      <c r="C69" s="891"/>
      <c r="D69" s="891"/>
      <c r="E69" s="891"/>
      <c r="F69" s="891"/>
      <c r="G69" s="891"/>
      <c r="H69" s="1088"/>
      <c r="I69" s="1088"/>
      <c r="J69" s="1088"/>
      <c r="K69" s="1088"/>
    </row>
    <row r="70" spans="3:11" ht="12" customHeight="1">
      <c r="C70" s="891"/>
      <c r="D70" s="891"/>
      <c r="E70" s="891"/>
      <c r="F70" s="891"/>
      <c r="G70" s="891"/>
      <c r="H70" s="1088"/>
      <c r="I70" s="1088"/>
      <c r="J70" s="1088"/>
      <c r="K70" s="1088"/>
    </row>
    <row r="71" spans="3:11" ht="12" customHeight="1">
      <c r="C71" s="891"/>
      <c r="D71" s="891"/>
      <c r="E71" s="891"/>
      <c r="F71" s="891"/>
      <c r="G71" s="891"/>
      <c r="H71" s="1088"/>
      <c r="I71" s="1088"/>
      <c r="J71" s="1088"/>
      <c r="K71" s="1088"/>
    </row>
    <row r="72" spans="3:11" ht="12" customHeight="1">
      <c r="C72" s="891"/>
      <c r="D72" s="891"/>
      <c r="E72" s="891"/>
      <c r="F72" s="891"/>
      <c r="G72" s="891"/>
      <c r="H72" s="1088"/>
      <c r="I72" s="1088"/>
      <c r="J72" s="1088"/>
      <c r="K72" s="1088"/>
    </row>
    <row r="73" spans="3:11" ht="12" customHeight="1">
      <c r="C73" s="891"/>
      <c r="D73" s="891"/>
      <c r="E73" s="891"/>
      <c r="F73" s="891"/>
      <c r="G73" s="891"/>
      <c r="H73" s="1088"/>
      <c r="I73" s="1088"/>
      <c r="J73" s="1088"/>
      <c r="K73" s="1088"/>
    </row>
    <row r="74" spans="3:11" ht="12" customHeight="1">
      <c r="C74" s="891"/>
      <c r="D74" s="891"/>
      <c r="E74" s="891"/>
      <c r="F74" s="891"/>
      <c r="G74" s="891"/>
      <c r="H74" s="1088"/>
      <c r="I74" s="1088"/>
      <c r="J74" s="1088"/>
      <c r="K74" s="1088"/>
    </row>
    <row r="75" spans="3:11" ht="12" customHeight="1">
      <c r="C75" s="891"/>
      <c r="D75" s="891"/>
      <c r="E75" s="891"/>
      <c r="F75" s="891"/>
      <c r="G75" s="891"/>
      <c r="H75" s="1088"/>
      <c r="I75" s="1088"/>
      <c r="J75" s="1088"/>
      <c r="K75" s="1088"/>
    </row>
    <row r="76" spans="3:11" ht="12" customHeight="1">
      <c r="C76" s="891"/>
      <c r="D76" s="891"/>
      <c r="E76" s="891"/>
      <c r="F76" s="891"/>
      <c r="G76" s="891"/>
      <c r="H76" s="1088"/>
      <c r="I76" s="1088"/>
      <c r="J76" s="1088"/>
      <c r="K76" s="1088"/>
    </row>
    <row r="77" spans="3:11" ht="12" customHeight="1">
      <c r="C77" s="891"/>
      <c r="D77" s="891"/>
      <c r="E77" s="891"/>
      <c r="F77" s="891"/>
      <c r="G77" s="891"/>
      <c r="H77" s="1088"/>
      <c r="I77" s="1088"/>
      <c r="J77" s="1088"/>
      <c r="K77" s="1088"/>
    </row>
    <row r="78" spans="3:11" ht="12" customHeight="1">
      <c r="C78" s="891"/>
      <c r="D78" s="891"/>
      <c r="E78" s="891"/>
      <c r="F78" s="891"/>
      <c r="G78" s="891"/>
      <c r="H78" s="1088"/>
      <c r="I78" s="1088"/>
      <c r="J78" s="1088"/>
      <c r="K78" s="1088"/>
    </row>
    <row r="79" spans="3:11" ht="12" customHeight="1">
      <c r="C79" s="891"/>
      <c r="D79" s="891"/>
      <c r="E79" s="891"/>
      <c r="F79" s="891"/>
      <c r="G79" s="891"/>
      <c r="H79" s="1088"/>
      <c r="I79" s="1088"/>
      <c r="J79" s="1088"/>
      <c r="K79" s="1088"/>
    </row>
    <row r="80" spans="3:11" ht="12" customHeight="1">
      <c r="C80" s="891"/>
      <c r="D80" s="891"/>
      <c r="E80" s="891"/>
      <c r="F80" s="891"/>
      <c r="G80" s="891"/>
      <c r="H80" s="1088"/>
      <c r="I80" s="1088"/>
      <c r="J80" s="1088"/>
      <c r="K80" s="1088"/>
    </row>
    <row r="81" spans="3:11" ht="12" customHeight="1">
      <c r="C81" s="891"/>
      <c r="D81" s="891"/>
      <c r="E81" s="891"/>
      <c r="F81" s="891"/>
      <c r="G81" s="891"/>
      <c r="H81" s="1088"/>
      <c r="I81" s="1088"/>
      <c r="J81" s="1088"/>
      <c r="K81" s="1088"/>
    </row>
    <row r="82" spans="3:11" ht="12" customHeight="1">
      <c r="C82" s="891"/>
      <c r="D82" s="891"/>
      <c r="E82" s="891"/>
      <c r="F82" s="891"/>
      <c r="G82" s="891"/>
      <c r="H82" s="1088"/>
      <c r="I82" s="1088"/>
      <c r="J82" s="1088"/>
      <c r="K82" s="1088"/>
    </row>
    <row r="83" spans="3:11" ht="12" customHeight="1">
      <c r="C83" s="891"/>
      <c r="D83" s="891"/>
      <c r="E83" s="891"/>
      <c r="F83" s="891"/>
      <c r="G83" s="891"/>
      <c r="H83" s="1088"/>
      <c r="I83" s="1088"/>
      <c r="J83" s="1088"/>
      <c r="K83" s="1088"/>
    </row>
    <row r="84" spans="3:11" ht="12" customHeight="1">
      <c r="C84" s="891"/>
      <c r="D84" s="891"/>
      <c r="E84" s="891"/>
      <c r="F84" s="891"/>
      <c r="G84" s="891"/>
      <c r="H84" s="1088"/>
      <c r="I84" s="1088"/>
      <c r="J84" s="1088"/>
      <c r="K84" s="1088"/>
    </row>
    <row r="85" spans="3:11" ht="12" customHeight="1">
      <c r="C85" s="891"/>
      <c r="D85" s="891"/>
      <c r="E85" s="891"/>
      <c r="F85" s="891"/>
      <c r="G85" s="891"/>
      <c r="H85" s="1088"/>
      <c r="I85" s="1088"/>
      <c r="J85" s="1088"/>
      <c r="K85" s="1088"/>
    </row>
    <row r="86" spans="3:11" ht="12" customHeight="1">
      <c r="C86" s="891"/>
      <c r="D86" s="891"/>
      <c r="E86" s="891"/>
      <c r="F86" s="891"/>
      <c r="G86" s="891"/>
      <c r="H86" s="1088"/>
      <c r="I86" s="1088"/>
      <c r="J86" s="1088"/>
      <c r="K86" s="1088"/>
    </row>
    <row r="87" spans="3:11" ht="12" customHeight="1">
      <c r="C87" s="891"/>
      <c r="D87" s="891"/>
      <c r="E87" s="891"/>
      <c r="F87" s="891"/>
      <c r="G87" s="891"/>
      <c r="H87" s="1088"/>
      <c r="I87" s="1088"/>
      <c r="J87" s="1088"/>
      <c r="K87" s="1088"/>
    </row>
    <row r="88" spans="3:11" ht="12" customHeight="1">
      <c r="C88" s="891"/>
      <c r="D88" s="891"/>
      <c r="E88" s="891"/>
      <c r="F88" s="891"/>
      <c r="G88" s="891"/>
      <c r="H88" s="1088"/>
      <c r="I88" s="1088"/>
      <c r="J88" s="1088"/>
      <c r="K88" s="1088"/>
    </row>
    <row r="89" spans="3:11" ht="12" customHeight="1">
      <c r="C89" s="891"/>
      <c r="D89" s="891"/>
      <c r="E89" s="891"/>
      <c r="F89" s="891"/>
      <c r="G89" s="891"/>
      <c r="H89" s="1088"/>
      <c r="I89" s="1088"/>
      <c r="J89" s="1088"/>
      <c r="K89" s="1088"/>
    </row>
    <row r="90" spans="3:11" ht="12" customHeight="1">
      <c r="C90" s="891"/>
      <c r="D90" s="891"/>
      <c r="E90" s="891"/>
      <c r="F90" s="891"/>
      <c r="G90" s="891"/>
      <c r="H90" s="1088"/>
      <c r="I90" s="1088"/>
      <c r="J90" s="1088"/>
      <c r="K90" s="1088"/>
    </row>
    <row r="91" spans="3:11" ht="12" customHeight="1">
      <c r="C91" s="891"/>
      <c r="D91" s="891"/>
      <c r="E91" s="891"/>
      <c r="F91" s="891"/>
      <c r="G91" s="891"/>
      <c r="H91" s="1088"/>
      <c r="I91" s="1088"/>
      <c r="J91" s="1088"/>
      <c r="K91" s="1088"/>
    </row>
    <row r="92" spans="3:11" ht="12" customHeight="1">
      <c r="C92" s="891"/>
      <c r="D92" s="891"/>
      <c r="E92" s="891"/>
      <c r="F92" s="891"/>
      <c r="G92" s="891"/>
      <c r="H92" s="1088"/>
      <c r="I92" s="1088"/>
      <c r="J92" s="1088"/>
      <c r="K92" s="1088"/>
    </row>
    <row r="93" spans="3:11" ht="12" customHeight="1">
      <c r="C93" s="891"/>
      <c r="D93" s="891"/>
      <c r="E93" s="891"/>
      <c r="F93" s="891"/>
      <c r="G93" s="891"/>
      <c r="H93" s="1088"/>
      <c r="I93" s="1088"/>
      <c r="J93" s="1088"/>
      <c r="K93" s="1088"/>
    </row>
    <row r="94" spans="3:11" ht="12" customHeight="1">
      <c r="C94" s="891"/>
      <c r="D94" s="891"/>
      <c r="E94" s="891"/>
      <c r="F94" s="891"/>
      <c r="G94" s="891"/>
      <c r="H94" s="1088"/>
      <c r="I94" s="1088"/>
      <c r="J94" s="1088"/>
      <c r="K94" s="1088"/>
    </row>
    <row r="95" spans="3:11" ht="12" customHeight="1">
      <c r="C95" s="891"/>
      <c r="D95" s="891"/>
      <c r="E95" s="891"/>
      <c r="F95" s="891"/>
      <c r="G95" s="891"/>
      <c r="H95" s="1088"/>
      <c r="I95" s="1088"/>
      <c r="J95" s="1088"/>
      <c r="K95" s="1088"/>
    </row>
    <row r="96" spans="3:11" ht="12" customHeight="1">
      <c r="C96" s="891"/>
      <c r="D96" s="891"/>
      <c r="E96" s="891"/>
      <c r="F96" s="891"/>
      <c r="G96" s="891"/>
      <c r="H96" s="1088"/>
      <c r="I96" s="1088"/>
      <c r="J96" s="1088"/>
      <c r="K96" s="1088"/>
    </row>
    <row r="97" spans="3:11" ht="12" customHeight="1">
      <c r="C97" s="891"/>
      <c r="D97" s="891"/>
      <c r="E97" s="891"/>
      <c r="F97" s="891"/>
      <c r="G97" s="891"/>
      <c r="H97" s="1088"/>
      <c r="I97" s="1088"/>
      <c r="J97" s="1088"/>
      <c r="K97" s="1088"/>
    </row>
    <row r="98" spans="3:11" ht="12" customHeight="1">
      <c r="C98" s="891"/>
      <c r="D98" s="891"/>
      <c r="E98" s="891"/>
      <c r="F98" s="891"/>
      <c r="G98" s="891"/>
      <c r="H98" s="1088"/>
      <c r="I98" s="1088"/>
      <c r="J98" s="1088"/>
      <c r="K98" s="1088"/>
    </row>
    <row r="99" spans="3:11" ht="12" customHeight="1">
      <c r="C99" s="891"/>
      <c r="D99" s="891"/>
      <c r="E99" s="891"/>
      <c r="F99" s="891"/>
      <c r="G99" s="891"/>
      <c r="H99" s="1088"/>
      <c r="I99" s="1088"/>
      <c r="J99" s="1088"/>
      <c r="K99" s="1088"/>
    </row>
    <row r="100" spans="3:11" ht="12" customHeight="1">
      <c r="C100" s="891"/>
      <c r="D100" s="891"/>
      <c r="E100" s="891"/>
      <c r="F100" s="891"/>
      <c r="G100" s="891"/>
      <c r="H100" s="1088"/>
      <c r="I100" s="1088"/>
      <c r="J100" s="1088"/>
      <c r="K100" s="1088"/>
    </row>
    <row r="101" spans="3:11" ht="12" customHeight="1">
      <c r="C101" s="891"/>
      <c r="D101" s="891"/>
      <c r="E101" s="891"/>
      <c r="F101" s="891"/>
      <c r="G101" s="891"/>
      <c r="H101" s="1088"/>
      <c r="I101" s="1088"/>
      <c r="J101" s="1088"/>
      <c r="K101" s="1088"/>
    </row>
    <row r="102" spans="3:11" ht="12" customHeight="1">
      <c r="C102" s="891"/>
      <c r="D102" s="891"/>
      <c r="E102" s="891"/>
      <c r="F102" s="891"/>
      <c r="G102" s="891"/>
      <c r="H102" s="1088"/>
      <c r="I102" s="1088"/>
      <c r="J102" s="1088"/>
      <c r="K102" s="1088"/>
    </row>
    <row r="103" spans="3:11" ht="12" customHeight="1">
      <c r="C103" s="891"/>
      <c r="D103" s="891"/>
      <c r="E103" s="891"/>
      <c r="F103" s="891"/>
      <c r="G103" s="891"/>
      <c r="H103" s="1088"/>
      <c r="I103" s="1088"/>
      <c r="J103" s="1088"/>
      <c r="K103" s="1088"/>
    </row>
    <row r="104" spans="3:11" ht="12" customHeight="1">
      <c r="C104" s="891"/>
      <c r="D104" s="891"/>
      <c r="E104" s="891"/>
      <c r="F104" s="891"/>
      <c r="G104" s="891"/>
      <c r="H104" s="1088"/>
      <c r="I104" s="1088"/>
      <c r="J104" s="1088"/>
      <c r="K104" s="1088"/>
    </row>
    <row r="105" spans="3:11" ht="12" customHeight="1">
      <c r="C105" s="891"/>
      <c r="D105" s="891"/>
      <c r="E105" s="891"/>
      <c r="F105" s="891"/>
      <c r="G105" s="891"/>
      <c r="H105" s="1088"/>
      <c r="I105" s="1088"/>
      <c r="J105" s="1088"/>
      <c r="K105" s="1088"/>
    </row>
    <row r="106" spans="3:11" ht="12" customHeight="1">
      <c r="C106" s="891"/>
      <c r="D106" s="891"/>
      <c r="E106" s="891"/>
      <c r="F106" s="891"/>
      <c r="G106" s="891"/>
      <c r="H106" s="1088"/>
      <c r="I106" s="1088"/>
      <c r="J106" s="1088"/>
      <c r="K106" s="1088"/>
    </row>
    <row r="107" spans="3:11" ht="12" customHeight="1">
      <c r="C107" s="891"/>
      <c r="D107" s="891"/>
      <c r="E107" s="891"/>
      <c r="F107" s="891"/>
      <c r="G107" s="891"/>
      <c r="H107" s="1088"/>
      <c r="I107" s="1088"/>
      <c r="J107" s="1088"/>
      <c r="K107" s="1088"/>
    </row>
    <row r="108" spans="3:11" ht="12" customHeight="1">
      <c r="C108" s="891"/>
      <c r="D108" s="891"/>
      <c r="E108" s="891"/>
      <c r="F108" s="891"/>
      <c r="G108" s="891"/>
      <c r="H108" s="1088"/>
      <c r="I108" s="1088"/>
      <c r="J108" s="1088"/>
      <c r="K108" s="1088"/>
    </row>
    <row r="109" spans="3:11" ht="12" customHeight="1">
      <c r="C109" s="891"/>
      <c r="D109" s="891"/>
      <c r="E109" s="891"/>
      <c r="F109" s="891"/>
      <c r="G109" s="891"/>
      <c r="H109" s="1088"/>
      <c r="I109" s="1088"/>
      <c r="J109" s="1088"/>
      <c r="K109" s="1088"/>
    </row>
    <row r="110" spans="3:11" ht="12" customHeight="1">
      <c r="C110" s="891"/>
      <c r="D110" s="891"/>
      <c r="E110" s="891"/>
      <c r="F110" s="891"/>
      <c r="G110" s="891"/>
      <c r="H110" s="1088"/>
      <c r="I110" s="1088"/>
      <c r="J110" s="1088"/>
      <c r="K110" s="1088"/>
    </row>
    <row r="111" spans="3:11" ht="12" customHeight="1">
      <c r="C111" s="891"/>
      <c r="D111" s="891"/>
      <c r="E111" s="891"/>
      <c r="F111" s="891"/>
      <c r="G111" s="891"/>
      <c r="H111" s="1088"/>
      <c r="I111" s="1088"/>
      <c r="J111" s="1088"/>
      <c r="K111" s="1088"/>
    </row>
    <row r="112" spans="3:11" ht="12" customHeight="1">
      <c r="C112" s="891"/>
      <c r="D112" s="891"/>
      <c r="E112" s="891"/>
      <c r="F112" s="891"/>
      <c r="G112" s="891"/>
      <c r="H112" s="1088"/>
      <c r="I112" s="1088"/>
      <c r="J112" s="1088"/>
      <c r="K112" s="1088"/>
    </row>
    <row r="113" spans="3:11" ht="12" customHeight="1">
      <c r="C113" s="891"/>
      <c r="D113" s="891"/>
      <c r="E113" s="891"/>
      <c r="F113" s="891"/>
      <c r="G113" s="891"/>
      <c r="H113" s="1088"/>
      <c r="I113" s="1088"/>
      <c r="J113" s="1088"/>
      <c r="K113" s="1088"/>
    </row>
    <row r="114" spans="3:11" ht="12" customHeight="1">
      <c r="C114" s="891"/>
      <c r="D114" s="891"/>
      <c r="E114" s="891"/>
      <c r="F114" s="891"/>
      <c r="G114" s="891"/>
      <c r="H114" s="1088"/>
      <c r="I114" s="1088"/>
      <c r="J114" s="1088"/>
      <c r="K114" s="1088"/>
    </row>
    <row r="115" spans="3:11" ht="12" customHeight="1">
      <c r="C115" s="891"/>
      <c r="D115" s="891"/>
      <c r="E115" s="891"/>
      <c r="F115" s="891"/>
      <c r="G115" s="891"/>
      <c r="H115" s="1088"/>
      <c r="I115" s="1088"/>
      <c r="J115" s="1088"/>
      <c r="K115" s="1088"/>
    </row>
    <row r="116" spans="3:11" ht="12" customHeight="1">
      <c r="C116" s="891"/>
      <c r="D116" s="891"/>
      <c r="E116" s="891"/>
      <c r="F116" s="891"/>
      <c r="G116" s="891"/>
      <c r="H116" s="1088"/>
      <c r="I116" s="1088"/>
      <c r="J116" s="1088"/>
      <c r="K116" s="1088"/>
    </row>
    <row r="117" spans="3:11" ht="12" customHeight="1">
      <c r="C117" s="891"/>
      <c r="D117" s="891"/>
      <c r="E117" s="891"/>
      <c r="F117" s="891"/>
      <c r="G117" s="891"/>
      <c r="H117" s="1088"/>
      <c r="I117" s="1088"/>
      <c r="J117" s="1088"/>
      <c r="K117" s="1088"/>
    </row>
    <row r="118" spans="3:11" ht="12" customHeight="1">
      <c r="C118" s="891"/>
      <c r="D118" s="891"/>
      <c r="E118" s="891"/>
      <c r="F118" s="891"/>
      <c r="G118" s="891"/>
      <c r="H118" s="1088"/>
      <c r="I118" s="1088"/>
      <c r="J118" s="1088"/>
      <c r="K118" s="1088"/>
    </row>
    <row r="119" spans="3:11" ht="12" customHeight="1">
      <c r="C119" s="891"/>
      <c r="D119" s="891"/>
      <c r="E119" s="891"/>
      <c r="F119" s="891"/>
      <c r="G119" s="891"/>
      <c r="H119" s="1088"/>
      <c r="I119" s="1088"/>
      <c r="J119" s="1088"/>
      <c r="K119" s="1088"/>
    </row>
    <row r="120" spans="3:11" ht="12" customHeight="1">
      <c r="C120" s="891"/>
      <c r="D120" s="891"/>
      <c r="E120" s="891"/>
      <c r="F120" s="891"/>
      <c r="G120" s="891"/>
      <c r="H120" s="1088"/>
      <c r="I120" s="1088"/>
      <c r="J120" s="1088"/>
      <c r="K120" s="1088"/>
    </row>
    <row r="121" spans="3:11" ht="12" customHeight="1">
      <c r="C121" s="891"/>
      <c r="D121" s="891"/>
      <c r="E121" s="891"/>
      <c r="F121" s="891"/>
      <c r="G121" s="891"/>
      <c r="H121" s="1088"/>
      <c r="I121" s="1088"/>
      <c r="J121" s="1088"/>
      <c r="K121" s="1088"/>
    </row>
    <row r="122" spans="3:11" ht="12" customHeight="1">
      <c r="C122" s="891"/>
      <c r="D122" s="891"/>
      <c r="E122" s="891"/>
      <c r="F122" s="891"/>
      <c r="G122" s="891"/>
      <c r="H122" s="1088"/>
      <c r="I122" s="1088"/>
      <c r="J122" s="1088"/>
      <c r="K122" s="1088"/>
    </row>
    <row r="123" spans="3:11" ht="12" customHeight="1">
      <c r="C123" s="891"/>
      <c r="D123" s="891"/>
      <c r="E123" s="891"/>
      <c r="F123" s="891"/>
      <c r="G123" s="891"/>
      <c r="H123" s="1088"/>
      <c r="I123" s="1088"/>
      <c r="J123" s="1088"/>
      <c r="K123" s="1088"/>
    </row>
    <row r="124" spans="3:11" ht="12" customHeight="1">
      <c r="C124" s="891"/>
      <c r="D124" s="891"/>
      <c r="E124" s="891"/>
      <c r="F124" s="891"/>
      <c r="G124" s="891"/>
      <c r="H124" s="1088"/>
      <c r="I124" s="1088"/>
      <c r="J124" s="1088"/>
      <c r="K124" s="1088"/>
    </row>
    <row r="125" spans="3:11" ht="12" customHeight="1">
      <c r="C125" s="891"/>
      <c r="D125" s="891"/>
      <c r="E125" s="891"/>
      <c r="F125" s="891"/>
      <c r="G125" s="891"/>
      <c r="H125" s="1088"/>
      <c r="I125" s="1088"/>
      <c r="J125" s="1088"/>
      <c r="K125" s="1088"/>
    </row>
    <row r="126" spans="3:11" ht="12" customHeight="1">
      <c r="C126" s="891"/>
      <c r="D126" s="891"/>
      <c r="E126" s="891"/>
      <c r="F126" s="891"/>
      <c r="G126" s="891"/>
      <c r="H126" s="1088"/>
      <c r="I126" s="1088"/>
      <c r="J126" s="1088"/>
      <c r="K126" s="1088"/>
    </row>
    <row r="127" spans="3:11" ht="12" customHeight="1">
      <c r="C127" s="891"/>
      <c r="D127" s="891"/>
      <c r="E127" s="891"/>
      <c r="F127" s="891"/>
      <c r="G127" s="891"/>
      <c r="H127" s="1088"/>
      <c r="I127" s="1088"/>
      <c r="J127" s="1088"/>
      <c r="K127" s="1088"/>
    </row>
    <row r="128" spans="3:11" ht="12" customHeight="1">
      <c r="C128" s="891"/>
      <c r="D128" s="891"/>
      <c r="E128" s="891"/>
      <c r="F128" s="891"/>
      <c r="G128" s="891"/>
      <c r="H128" s="1088"/>
      <c r="I128" s="1088"/>
      <c r="J128" s="1088"/>
      <c r="K128" s="1088"/>
    </row>
    <row r="129" spans="3:11" ht="12" customHeight="1">
      <c r="C129" s="891"/>
      <c r="D129" s="891"/>
      <c r="E129" s="891"/>
      <c r="F129" s="891"/>
      <c r="G129" s="891"/>
      <c r="H129" s="1088"/>
      <c r="I129" s="1088"/>
      <c r="J129" s="1088"/>
      <c r="K129" s="1088"/>
    </row>
    <row r="130" spans="3:11" ht="12" customHeight="1">
      <c r="C130" s="891"/>
      <c r="D130" s="891"/>
      <c r="E130" s="891"/>
      <c r="F130" s="891"/>
      <c r="G130" s="891"/>
      <c r="H130" s="1088"/>
      <c r="I130" s="1088"/>
      <c r="J130" s="1088"/>
      <c r="K130" s="1088"/>
    </row>
    <row r="131" spans="3:11" ht="12" customHeight="1">
      <c r="C131" s="891"/>
      <c r="D131" s="891"/>
      <c r="E131" s="891"/>
      <c r="F131" s="891"/>
      <c r="G131" s="891"/>
      <c r="H131" s="1088"/>
      <c r="I131" s="1088"/>
      <c r="J131" s="1088"/>
      <c r="K131" s="1088"/>
    </row>
    <row r="132" spans="3:11" ht="12" customHeight="1">
      <c r="C132" s="891"/>
      <c r="D132" s="891"/>
      <c r="E132" s="891"/>
      <c r="F132" s="891"/>
      <c r="G132" s="891"/>
      <c r="H132" s="1088"/>
      <c r="I132" s="1088"/>
      <c r="J132" s="1088"/>
      <c r="K132" s="1088"/>
    </row>
    <row r="133" spans="3:11" ht="12" customHeight="1">
      <c r="C133" s="891"/>
      <c r="D133" s="891"/>
      <c r="E133" s="891"/>
      <c r="F133" s="891"/>
      <c r="G133" s="891"/>
      <c r="H133" s="1088"/>
      <c r="I133" s="1088"/>
      <c r="J133" s="1088"/>
      <c r="K133" s="1088"/>
    </row>
    <row r="134" spans="3:11" ht="12" customHeight="1">
      <c r="C134" s="891"/>
      <c r="D134" s="891"/>
      <c r="E134" s="891"/>
      <c r="F134" s="891"/>
      <c r="G134" s="891"/>
      <c r="H134" s="1088"/>
      <c r="I134" s="1088"/>
      <c r="J134" s="1088"/>
      <c r="K134" s="1088"/>
    </row>
    <row r="135" spans="3:11" ht="12" customHeight="1">
      <c r="C135" s="891"/>
      <c r="D135" s="891"/>
      <c r="E135" s="891"/>
      <c r="F135" s="891"/>
      <c r="G135" s="891"/>
      <c r="H135" s="1088"/>
      <c r="I135" s="1088"/>
      <c r="J135" s="1088"/>
      <c r="K135" s="1088"/>
    </row>
    <row r="136" spans="3:11" ht="12" customHeight="1">
      <c r="C136" s="891"/>
      <c r="D136" s="891"/>
      <c r="E136" s="891"/>
      <c r="F136" s="891"/>
      <c r="G136" s="891"/>
      <c r="H136" s="1088"/>
      <c r="I136" s="1088"/>
      <c r="J136" s="1088"/>
      <c r="K136" s="1088"/>
    </row>
    <row r="137" spans="3:11" ht="12" customHeight="1">
      <c r="C137" s="891"/>
      <c r="D137" s="891"/>
      <c r="E137" s="891"/>
      <c r="F137" s="891"/>
      <c r="G137" s="891"/>
      <c r="H137" s="1088"/>
      <c r="I137" s="1088"/>
      <c r="J137" s="1088"/>
      <c r="K137" s="1088"/>
    </row>
    <row r="138" spans="3:11" ht="12" customHeight="1">
      <c r="C138" s="891"/>
      <c r="D138" s="891"/>
      <c r="E138" s="891"/>
      <c r="F138" s="891"/>
      <c r="G138" s="891"/>
      <c r="H138" s="1088"/>
      <c r="I138" s="1088"/>
      <c r="J138" s="1088"/>
      <c r="K138" s="1088"/>
    </row>
    <row r="139" spans="3:11" ht="12" customHeight="1">
      <c r="C139" s="891"/>
      <c r="D139" s="891"/>
      <c r="E139" s="891"/>
      <c r="F139" s="891"/>
      <c r="G139" s="891"/>
      <c r="H139" s="1088"/>
      <c r="I139" s="1088"/>
      <c r="J139" s="1088"/>
      <c r="K139" s="1088"/>
    </row>
    <row r="140" spans="3:11" ht="12" customHeight="1">
      <c r="C140" s="891"/>
      <c r="D140" s="891"/>
      <c r="E140" s="891"/>
      <c r="F140" s="891"/>
      <c r="G140" s="891"/>
      <c r="H140" s="1088"/>
      <c r="I140" s="1088"/>
      <c r="J140" s="1088"/>
      <c r="K140" s="1088"/>
    </row>
    <row r="141" spans="3:11" ht="12" customHeight="1">
      <c r="C141" s="891"/>
      <c r="D141" s="891"/>
      <c r="E141" s="891"/>
      <c r="F141" s="891"/>
      <c r="G141" s="891"/>
      <c r="H141" s="1088"/>
      <c r="I141" s="1088"/>
      <c r="J141" s="1088"/>
      <c r="K141" s="1088"/>
    </row>
    <row r="142" spans="3:11" ht="12" customHeight="1">
      <c r="C142" s="891"/>
      <c r="D142" s="891"/>
      <c r="E142" s="891"/>
      <c r="F142" s="891"/>
      <c r="G142" s="891"/>
      <c r="H142" s="1088"/>
      <c r="I142" s="1088"/>
      <c r="J142" s="1088"/>
      <c r="K142" s="1088"/>
    </row>
    <row r="143" spans="3:11" ht="12" customHeight="1">
      <c r="C143" s="891"/>
      <c r="D143" s="891"/>
      <c r="E143" s="891"/>
      <c r="F143" s="891"/>
      <c r="G143" s="891"/>
      <c r="H143" s="1088"/>
      <c r="I143" s="1088"/>
      <c r="J143" s="1088"/>
      <c r="K143" s="1088"/>
    </row>
    <row r="144" spans="3:11" ht="12" customHeight="1">
      <c r="C144" s="891"/>
      <c r="D144" s="891"/>
      <c r="E144" s="891"/>
      <c r="F144" s="891"/>
      <c r="G144" s="891"/>
      <c r="H144" s="1088"/>
      <c r="I144" s="1088"/>
      <c r="J144" s="1088"/>
      <c r="K144" s="1088"/>
    </row>
    <row r="145" spans="3:11" ht="12" customHeight="1">
      <c r="C145" s="891"/>
      <c r="D145" s="891"/>
      <c r="E145" s="891"/>
      <c r="F145" s="891"/>
      <c r="G145" s="891"/>
      <c r="H145" s="1088"/>
      <c r="I145" s="1088"/>
      <c r="J145" s="1088"/>
      <c r="K145" s="1088"/>
    </row>
    <row r="146" spans="3:11" ht="12" customHeight="1">
      <c r="C146" s="891"/>
      <c r="D146" s="891"/>
      <c r="E146" s="891"/>
      <c r="F146" s="891"/>
      <c r="G146" s="891"/>
      <c r="H146" s="1088"/>
      <c r="I146" s="1088"/>
      <c r="J146" s="1088"/>
      <c r="K146" s="1088"/>
    </row>
    <row r="147" spans="3:11" ht="12" customHeight="1">
      <c r="C147" s="891"/>
      <c r="D147" s="891"/>
      <c r="E147" s="891"/>
      <c r="F147" s="891"/>
      <c r="G147" s="891"/>
      <c r="H147" s="1088"/>
      <c r="I147" s="1088"/>
      <c r="J147" s="1088"/>
      <c r="K147" s="1088"/>
    </row>
    <row r="148" spans="3:11" ht="12" customHeight="1">
      <c r="C148" s="891"/>
      <c r="D148" s="891"/>
      <c r="E148" s="891"/>
      <c r="F148" s="891"/>
      <c r="G148" s="891"/>
      <c r="H148" s="1088"/>
      <c r="I148" s="1088"/>
      <c r="J148" s="1088"/>
      <c r="K148" s="1088"/>
    </row>
    <row r="149" spans="3:11" ht="12" customHeight="1">
      <c r="C149" s="891"/>
      <c r="D149" s="891"/>
      <c r="E149" s="891"/>
      <c r="F149" s="891"/>
      <c r="G149" s="891"/>
      <c r="H149" s="1088"/>
      <c r="I149" s="1088"/>
      <c r="J149" s="1088"/>
      <c r="K149" s="1088"/>
    </row>
    <row r="150" spans="3:11" ht="12" customHeight="1">
      <c r="C150" s="891"/>
      <c r="D150" s="891"/>
      <c r="E150" s="891"/>
      <c r="F150" s="891"/>
      <c r="G150" s="891"/>
      <c r="H150" s="1088"/>
      <c r="I150" s="1088"/>
      <c r="J150" s="1088"/>
      <c r="K150" s="1088"/>
    </row>
    <row r="151" spans="3:11" ht="12" customHeight="1">
      <c r="C151" s="891"/>
      <c r="D151" s="891"/>
      <c r="E151" s="891"/>
      <c r="F151" s="891"/>
      <c r="G151" s="891"/>
      <c r="H151" s="1088"/>
      <c r="I151" s="1088"/>
      <c r="J151" s="1088"/>
      <c r="K151" s="1088"/>
    </row>
    <row r="152" spans="3:11" ht="12" customHeight="1">
      <c r="C152" s="891"/>
      <c r="D152" s="891"/>
      <c r="E152" s="891"/>
      <c r="F152" s="891"/>
      <c r="G152" s="891"/>
      <c r="H152" s="1088"/>
      <c r="I152" s="1088"/>
      <c r="J152" s="1088"/>
      <c r="K152" s="1088"/>
    </row>
    <row r="153" spans="3:11" ht="12" customHeight="1">
      <c r="C153" s="891"/>
      <c r="D153" s="891"/>
      <c r="E153" s="891"/>
      <c r="F153" s="891"/>
      <c r="G153" s="891"/>
      <c r="H153" s="1088"/>
      <c r="I153" s="1088"/>
      <c r="J153" s="1088"/>
      <c r="K153" s="1088"/>
    </row>
    <row r="154" spans="3:11" ht="12" customHeight="1">
      <c r="C154" s="891"/>
      <c r="D154" s="891"/>
      <c r="E154" s="891"/>
      <c r="F154" s="891"/>
      <c r="G154" s="891"/>
      <c r="H154" s="1088"/>
      <c r="I154" s="1088"/>
      <c r="J154" s="1088"/>
      <c r="K154" s="1088"/>
    </row>
    <row r="155" spans="3:11" ht="12" customHeight="1">
      <c r="C155" s="891"/>
      <c r="D155" s="891"/>
      <c r="E155" s="891"/>
      <c r="F155" s="891"/>
      <c r="G155" s="891"/>
      <c r="H155" s="1088"/>
      <c r="I155" s="1088"/>
      <c r="J155" s="1088"/>
      <c r="K155" s="1088"/>
    </row>
    <row r="156" spans="3:11" ht="12" customHeight="1">
      <c r="C156" s="891"/>
      <c r="D156" s="891"/>
      <c r="E156" s="891"/>
      <c r="F156" s="891"/>
      <c r="G156" s="891"/>
      <c r="H156" s="1088"/>
      <c r="I156" s="1088"/>
      <c r="J156" s="1088"/>
      <c r="K156" s="1088"/>
    </row>
    <row r="157" spans="3:11" ht="12" customHeight="1">
      <c r="C157" s="891"/>
      <c r="D157" s="891"/>
      <c r="E157" s="891"/>
      <c r="F157" s="891"/>
      <c r="G157" s="891"/>
      <c r="H157" s="1088"/>
      <c r="I157" s="1088"/>
      <c r="J157" s="1088"/>
      <c r="K157" s="1088"/>
    </row>
    <row r="158" spans="3:11" ht="12" customHeight="1">
      <c r="C158" s="891"/>
      <c r="D158" s="891"/>
      <c r="E158" s="891"/>
      <c r="F158" s="891"/>
      <c r="G158" s="891"/>
      <c r="H158" s="1088"/>
      <c r="I158" s="1088"/>
      <c r="J158" s="1088"/>
      <c r="K158" s="1088"/>
    </row>
    <row r="159" spans="3:11" ht="12" customHeight="1">
      <c r="C159" s="891"/>
      <c r="D159" s="891"/>
      <c r="E159" s="891"/>
      <c r="F159" s="891"/>
      <c r="G159" s="891"/>
      <c r="H159" s="1088"/>
      <c r="I159" s="1088"/>
      <c r="J159" s="1088"/>
      <c r="K159" s="1088"/>
    </row>
    <row r="160" spans="3:11" ht="12" customHeight="1">
      <c r="C160" s="891"/>
      <c r="D160" s="891"/>
      <c r="E160" s="891"/>
      <c r="F160" s="891"/>
      <c r="G160" s="891"/>
      <c r="H160" s="1088"/>
      <c r="I160" s="1088"/>
      <c r="J160" s="1088"/>
      <c r="K160" s="1088"/>
    </row>
    <row r="161" spans="3:11" ht="12" customHeight="1">
      <c r="C161" s="891"/>
      <c r="D161" s="891"/>
      <c r="E161" s="891"/>
      <c r="F161" s="891"/>
      <c r="G161" s="891"/>
      <c r="H161" s="1088"/>
      <c r="I161" s="1088"/>
      <c r="J161" s="1088"/>
      <c r="K161" s="1088"/>
    </row>
    <row r="162" spans="3:11" ht="12" customHeight="1">
      <c r="C162" s="891"/>
      <c r="D162" s="891"/>
      <c r="E162" s="891"/>
      <c r="F162" s="891"/>
      <c r="G162" s="891"/>
      <c r="H162" s="1088"/>
      <c r="I162" s="1088"/>
      <c r="J162" s="1088"/>
      <c r="K162" s="1088"/>
    </row>
    <row r="163" spans="3:11" ht="12" customHeight="1">
      <c r="C163" s="891"/>
      <c r="D163" s="891"/>
      <c r="E163" s="891"/>
      <c r="F163" s="891"/>
      <c r="G163" s="891"/>
      <c r="H163" s="1088"/>
      <c r="I163" s="1088"/>
      <c r="J163" s="1088"/>
      <c r="K163" s="1088"/>
    </row>
    <row r="164" spans="3:11" ht="12" customHeight="1">
      <c r="C164" s="891"/>
      <c r="D164" s="891"/>
      <c r="E164" s="891"/>
      <c r="F164" s="891"/>
      <c r="G164" s="891"/>
      <c r="H164" s="1088"/>
      <c r="I164" s="1088"/>
      <c r="J164" s="1088"/>
      <c r="K164" s="1088"/>
    </row>
    <row r="165" spans="3:11" ht="12" customHeight="1">
      <c r="C165" s="891"/>
      <c r="D165" s="891"/>
      <c r="E165" s="891"/>
      <c r="F165" s="891"/>
      <c r="G165" s="891"/>
      <c r="H165" s="1088"/>
      <c r="I165" s="1088"/>
      <c r="J165" s="1088"/>
      <c r="K165" s="1088"/>
    </row>
    <row r="166" spans="3:11" ht="12" customHeight="1">
      <c r="C166" s="891"/>
      <c r="D166" s="891"/>
      <c r="E166" s="891"/>
      <c r="F166" s="891"/>
      <c r="G166" s="891"/>
      <c r="H166" s="1088"/>
      <c r="I166" s="1088"/>
      <c r="J166" s="1088"/>
      <c r="K166" s="1088"/>
    </row>
    <row r="167" spans="3:11" ht="12" customHeight="1">
      <c r="C167" s="891"/>
      <c r="D167" s="891"/>
      <c r="E167" s="891"/>
      <c r="F167" s="891"/>
      <c r="G167" s="891"/>
      <c r="H167" s="1088"/>
      <c r="I167" s="1088"/>
      <c r="J167" s="1088"/>
      <c r="K167" s="1088"/>
    </row>
    <row r="168" spans="3:11" ht="12" customHeight="1">
      <c r="C168" s="891"/>
      <c r="D168" s="891"/>
      <c r="E168" s="891"/>
      <c r="F168" s="891"/>
      <c r="G168" s="891"/>
      <c r="H168" s="1088"/>
      <c r="I168" s="1088"/>
      <c r="J168" s="1088"/>
      <c r="K168" s="1088"/>
    </row>
    <row r="169" spans="3:11" ht="12" customHeight="1">
      <c r="C169" s="891"/>
      <c r="D169" s="891"/>
      <c r="E169" s="891"/>
      <c r="F169" s="891"/>
      <c r="G169" s="891"/>
      <c r="H169" s="1088"/>
      <c r="I169" s="1088"/>
      <c r="J169" s="1088"/>
      <c r="K169" s="1088"/>
    </row>
    <row r="170" spans="3:11" ht="12" customHeight="1">
      <c r="C170" s="891"/>
      <c r="D170" s="891"/>
      <c r="E170" s="891"/>
      <c r="F170" s="891"/>
      <c r="G170" s="891"/>
      <c r="H170" s="1088"/>
      <c r="I170" s="1088"/>
      <c r="J170" s="1088"/>
      <c r="K170" s="1088"/>
    </row>
    <row r="171" spans="3:11" ht="12" customHeight="1">
      <c r="C171" s="891"/>
      <c r="D171" s="891"/>
      <c r="E171" s="891"/>
      <c r="F171" s="891"/>
      <c r="G171" s="891"/>
      <c r="H171" s="1088"/>
      <c r="I171" s="1088"/>
      <c r="J171" s="1088"/>
      <c r="K171" s="1088"/>
    </row>
    <row r="172" spans="3:11" ht="12" customHeight="1">
      <c r="C172" s="891"/>
      <c r="D172" s="891"/>
      <c r="E172" s="891"/>
      <c r="F172" s="891"/>
      <c r="G172" s="891"/>
      <c r="H172" s="1088"/>
      <c r="I172" s="1088"/>
      <c r="J172" s="1088"/>
      <c r="K172" s="1088"/>
    </row>
    <row r="173" spans="3:11" ht="12" customHeight="1">
      <c r="C173" s="891"/>
      <c r="D173" s="891"/>
      <c r="E173" s="891"/>
      <c r="F173" s="891"/>
      <c r="G173" s="891"/>
      <c r="H173" s="1088"/>
      <c r="I173" s="1088"/>
      <c r="J173" s="1088"/>
      <c r="K173" s="1088"/>
    </row>
    <row r="174" spans="3:11" ht="12" customHeight="1">
      <c r="C174" s="891"/>
      <c r="D174" s="891"/>
      <c r="E174" s="891"/>
      <c r="F174" s="891"/>
      <c r="G174" s="891"/>
      <c r="H174" s="1088"/>
      <c r="I174" s="1088"/>
      <c r="J174" s="1088"/>
      <c r="K174" s="1088"/>
    </row>
    <row r="175" spans="3:11" ht="12" customHeight="1">
      <c r="C175" s="891"/>
      <c r="D175" s="891"/>
      <c r="E175" s="891"/>
      <c r="F175" s="891"/>
      <c r="G175" s="891"/>
      <c r="H175" s="1088"/>
      <c r="I175" s="1088"/>
      <c r="J175" s="1088"/>
      <c r="K175" s="1088"/>
    </row>
    <row r="176" spans="3:11" ht="12" customHeight="1">
      <c r="C176" s="891"/>
      <c r="D176" s="891"/>
      <c r="E176" s="891"/>
      <c r="F176" s="891"/>
      <c r="G176" s="891"/>
      <c r="H176" s="1088"/>
      <c r="I176" s="1088"/>
      <c r="J176" s="1088"/>
      <c r="K176" s="1088"/>
    </row>
    <row r="177" spans="3:11" ht="12" customHeight="1">
      <c r="C177" s="891"/>
      <c r="D177" s="891"/>
      <c r="E177" s="891"/>
      <c r="F177" s="891"/>
      <c r="G177" s="891"/>
      <c r="H177" s="1088"/>
      <c r="I177" s="1088"/>
      <c r="J177" s="1088"/>
      <c r="K177" s="1088"/>
    </row>
    <row r="178" spans="3:11" ht="12" customHeight="1">
      <c r="C178" s="891"/>
      <c r="D178" s="891"/>
      <c r="E178" s="891"/>
      <c r="F178" s="891"/>
      <c r="G178" s="891"/>
      <c r="H178" s="1088"/>
      <c r="I178" s="1088"/>
      <c r="J178" s="1088"/>
      <c r="K178" s="1088"/>
    </row>
    <row r="179" spans="3:11" ht="12" customHeight="1">
      <c r="C179" s="891"/>
      <c r="D179" s="891"/>
      <c r="E179" s="891"/>
      <c r="F179" s="891"/>
      <c r="G179" s="891"/>
      <c r="H179" s="1088"/>
      <c r="I179" s="1088"/>
      <c r="J179" s="1088"/>
      <c r="K179" s="1088"/>
    </row>
    <row r="180" spans="3:11" ht="12" customHeight="1">
      <c r="C180" s="891"/>
      <c r="D180" s="891"/>
      <c r="E180" s="891"/>
      <c r="F180" s="891"/>
      <c r="G180" s="891"/>
      <c r="H180" s="1088"/>
      <c r="I180" s="1088"/>
      <c r="J180" s="1088"/>
      <c r="K180" s="1088"/>
    </row>
    <row r="181" spans="3:11" ht="12" customHeight="1">
      <c r="C181" s="891"/>
      <c r="D181" s="891"/>
      <c r="E181" s="891"/>
      <c r="F181" s="891"/>
      <c r="G181" s="891"/>
      <c r="H181" s="1088"/>
      <c r="I181" s="1088"/>
      <c r="J181" s="1088"/>
      <c r="K181" s="1088"/>
    </row>
    <row r="182" spans="3:11" ht="12" customHeight="1">
      <c r="C182" s="891"/>
      <c r="D182" s="891"/>
      <c r="E182" s="891"/>
      <c r="F182" s="891"/>
      <c r="G182" s="891"/>
      <c r="H182" s="1088"/>
      <c r="I182" s="1088"/>
      <c r="J182" s="1088"/>
      <c r="K182" s="1088"/>
    </row>
    <row r="183" spans="3:11" ht="12" customHeight="1">
      <c r="C183" s="891"/>
      <c r="D183" s="891"/>
      <c r="E183" s="891"/>
      <c r="F183" s="891"/>
      <c r="G183" s="891"/>
      <c r="H183" s="1088"/>
      <c r="I183" s="1088"/>
      <c r="J183" s="1088"/>
      <c r="K183" s="1088"/>
    </row>
    <row r="184" spans="3:11" ht="12" customHeight="1">
      <c r="C184" s="891"/>
      <c r="D184" s="891"/>
      <c r="E184" s="891"/>
      <c r="F184" s="891"/>
      <c r="G184" s="891"/>
      <c r="H184" s="1088"/>
      <c r="I184" s="1088"/>
      <c r="J184" s="1088"/>
      <c r="K184" s="1088"/>
    </row>
    <row r="185" spans="3:11" ht="12" customHeight="1">
      <c r="C185" s="891"/>
      <c r="D185" s="891"/>
      <c r="E185" s="891"/>
      <c r="F185" s="891"/>
      <c r="G185" s="891"/>
      <c r="H185" s="1088"/>
      <c r="I185" s="1088"/>
      <c r="J185" s="1088"/>
      <c r="K185" s="1088"/>
    </row>
    <row r="186" spans="3:11" ht="12" customHeight="1">
      <c r="C186" s="891"/>
      <c r="D186" s="891"/>
      <c r="E186" s="891"/>
      <c r="F186" s="891"/>
      <c r="G186" s="891"/>
      <c r="H186" s="1088"/>
      <c r="I186" s="1088"/>
      <c r="J186" s="1088"/>
      <c r="K186" s="1088"/>
    </row>
    <row r="187" spans="3:11" ht="12" customHeight="1">
      <c r="C187" s="891"/>
      <c r="D187" s="891"/>
      <c r="E187" s="891"/>
      <c r="F187" s="891"/>
      <c r="G187" s="891"/>
      <c r="H187" s="1088"/>
      <c r="I187" s="1088"/>
      <c r="J187" s="1088"/>
      <c r="K187" s="1088"/>
    </row>
    <row r="188" spans="3:11" ht="12" customHeight="1">
      <c r="C188" s="891"/>
      <c r="D188" s="891"/>
      <c r="E188" s="891"/>
      <c r="F188" s="891"/>
      <c r="G188" s="891"/>
      <c r="H188" s="1088"/>
      <c r="I188" s="1088"/>
      <c r="J188" s="1088"/>
      <c r="K188" s="1088"/>
    </row>
    <row r="189" spans="3:11" ht="12" customHeight="1">
      <c r="C189" s="891"/>
      <c r="D189" s="891"/>
      <c r="E189" s="891"/>
      <c r="F189" s="891"/>
      <c r="G189" s="891"/>
      <c r="H189" s="1088"/>
      <c r="I189" s="1088"/>
      <c r="J189" s="1088"/>
      <c r="K189" s="1088"/>
    </row>
    <row r="190" spans="3:11" ht="12" customHeight="1">
      <c r="C190" s="891"/>
      <c r="D190" s="891"/>
      <c r="E190" s="891"/>
      <c r="F190" s="891"/>
      <c r="G190" s="891"/>
      <c r="H190" s="1088"/>
      <c r="I190" s="1088"/>
      <c r="J190" s="1088"/>
      <c r="K190" s="1088"/>
    </row>
    <row r="191" spans="3:11" ht="12" customHeight="1">
      <c r="C191" s="891"/>
      <c r="D191" s="891"/>
      <c r="E191" s="891"/>
      <c r="F191" s="891"/>
      <c r="G191" s="891"/>
      <c r="H191" s="1088"/>
      <c r="I191" s="1088"/>
      <c r="J191" s="1088"/>
      <c r="K191" s="1088"/>
    </row>
    <row r="192" spans="3:11" ht="12" customHeight="1">
      <c r="C192" s="891"/>
      <c r="D192" s="891"/>
      <c r="E192" s="891"/>
      <c r="F192" s="891"/>
      <c r="G192" s="891"/>
      <c r="H192" s="1088"/>
      <c r="I192" s="1088"/>
      <c r="J192" s="1088"/>
      <c r="K192" s="1088"/>
    </row>
    <row r="193" spans="3:11" ht="12" customHeight="1">
      <c r="C193" s="891"/>
      <c r="D193" s="891"/>
      <c r="E193" s="891"/>
      <c r="F193" s="891"/>
      <c r="G193" s="891"/>
      <c r="H193" s="1088"/>
      <c r="I193" s="1088"/>
      <c r="J193" s="1088"/>
      <c r="K193" s="1088"/>
    </row>
    <row r="194" spans="3:11" ht="12" customHeight="1">
      <c r="C194" s="891"/>
      <c r="D194" s="891"/>
      <c r="E194" s="891"/>
      <c r="F194" s="891"/>
      <c r="G194" s="891"/>
      <c r="H194" s="1088"/>
      <c r="I194" s="1088"/>
      <c r="J194" s="1088"/>
      <c r="K194" s="1088"/>
    </row>
    <row r="195" spans="3:11" ht="12" customHeight="1">
      <c r="C195" s="891"/>
      <c r="D195" s="891"/>
      <c r="E195" s="891"/>
      <c r="F195" s="891"/>
      <c r="G195" s="891"/>
      <c r="H195" s="1088"/>
      <c r="I195" s="1088"/>
      <c r="J195" s="1088"/>
      <c r="K195" s="1088"/>
    </row>
    <row r="196" spans="3:11" ht="12" customHeight="1">
      <c r="C196" s="891"/>
      <c r="D196" s="891"/>
      <c r="E196" s="891"/>
      <c r="F196" s="891"/>
      <c r="G196" s="891"/>
      <c r="H196" s="1088"/>
      <c r="I196" s="1088"/>
      <c r="J196" s="1088"/>
      <c r="K196" s="1088"/>
    </row>
    <row r="197" spans="3:11" ht="12" customHeight="1">
      <c r="C197" s="891"/>
      <c r="D197" s="891"/>
      <c r="E197" s="891"/>
      <c r="F197" s="891"/>
      <c r="G197" s="891"/>
      <c r="H197" s="1088"/>
      <c r="I197" s="1088"/>
      <c r="J197" s="1088"/>
      <c r="K197" s="1088"/>
    </row>
    <row r="198" spans="3:11" ht="12" customHeight="1">
      <c r="C198" s="891"/>
      <c r="D198" s="891"/>
      <c r="E198" s="891"/>
      <c r="F198" s="891"/>
      <c r="G198" s="891"/>
      <c r="H198" s="1088"/>
      <c r="I198" s="1088"/>
      <c r="J198" s="1088"/>
      <c r="K198" s="1088"/>
    </row>
    <row r="199" spans="3:11" ht="12" customHeight="1">
      <c r="C199" s="891"/>
      <c r="D199" s="891"/>
      <c r="E199" s="891"/>
      <c r="F199" s="891"/>
      <c r="G199" s="891"/>
      <c r="H199" s="1088"/>
      <c r="I199" s="1088"/>
      <c r="J199" s="1088"/>
      <c r="K199" s="1088"/>
    </row>
    <row r="200" spans="3:11" ht="12" customHeight="1">
      <c r="C200" s="891"/>
      <c r="D200" s="891"/>
      <c r="E200" s="891"/>
      <c r="F200" s="891"/>
      <c r="G200" s="891"/>
      <c r="H200" s="1088"/>
      <c r="I200" s="1088"/>
      <c r="J200" s="1088"/>
      <c r="K200" s="1088"/>
    </row>
    <row r="201" spans="3:11" ht="12" customHeight="1">
      <c r="C201" s="891"/>
      <c r="D201" s="891"/>
      <c r="E201" s="891"/>
      <c r="F201" s="891"/>
      <c r="G201" s="891"/>
      <c r="H201" s="1088"/>
      <c r="I201" s="1088"/>
      <c r="J201" s="1088"/>
      <c r="K201" s="1088"/>
    </row>
    <row r="202" spans="3:11" ht="12" customHeight="1">
      <c r="C202" s="891"/>
      <c r="D202" s="891"/>
      <c r="E202" s="891"/>
      <c r="F202" s="891"/>
      <c r="G202" s="891"/>
      <c r="H202" s="1088"/>
      <c r="I202" s="1088"/>
      <c r="J202" s="1088"/>
      <c r="K202" s="1088"/>
    </row>
    <row r="203" spans="3:11" ht="12" customHeight="1">
      <c r="C203" s="891"/>
      <c r="D203" s="891"/>
      <c r="E203" s="891"/>
      <c r="F203" s="891"/>
      <c r="G203" s="891"/>
      <c r="H203" s="1088"/>
      <c r="I203" s="1088"/>
      <c r="J203" s="1088"/>
      <c r="K203" s="1088"/>
    </row>
    <row r="204" spans="3:11" ht="12" customHeight="1">
      <c r="C204" s="891"/>
      <c r="D204" s="891"/>
      <c r="E204" s="891"/>
      <c r="F204" s="891"/>
      <c r="G204" s="891"/>
      <c r="H204" s="1088"/>
      <c r="I204" s="1088"/>
      <c r="J204" s="1088"/>
      <c r="K204" s="1088"/>
    </row>
    <row r="205" spans="3:11" ht="12" customHeight="1">
      <c r="C205" s="891"/>
      <c r="D205" s="891"/>
      <c r="E205" s="891"/>
      <c r="F205" s="891"/>
      <c r="G205" s="891"/>
      <c r="H205" s="1088"/>
      <c r="I205" s="1088"/>
      <c r="J205" s="1088"/>
      <c r="K205" s="1088"/>
    </row>
    <row r="206" spans="3:11" ht="12" customHeight="1">
      <c r="C206" s="891"/>
      <c r="D206" s="891"/>
      <c r="E206" s="891"/>
      <c r="F206" s="891"/>
      <c r="G206" s="891"/>
      <c r="H206" s="1088"/>
      <c r="I206" s="1088"/>
      <c r="J206" s="1088"/>
      <c r="K206" s="1088"/>
    </row>
    <row r="207" spans="3:11" ht="12" customHeight="1">
      <c r="C207" s="891"/>
      <c r="D207" s="891"/>
      <c r="E207" s="891"/>
      <c r="F207" s="891"/>
      <c r="G207" s="891"/>
      <c r="H207" s="1088"/>
      <c r="I207" s="1088"/>
      <c r="J207" s="1088"/>
      <c r="K207" s="1088"/>
    </row>
    <row r="208" spans="3:11" ht="12" customHeight="1">
      <c r="C208" s="891"/>
      <c r="D208" s="891"/>
      <c r="E208" s="891"/>
      <c r="F208" s="891"/>
      <c r="G208" s="891"/>
      <c r="H208" s="1088"/>
      <c r="I208" s="1088"/>
      <c r="J208" s="1088"/>
      <c r="K208" s="1088"/>
    </row>
    <row r="209" spans="3:11" ht="12" customHeight="1">
      <c r="C209" s="891"/>
      <c r="D209" s="891"/>
      <c r="E209" s="891"/>
      <c r="F209" s="891"/>
      <c r="G209" s="891"/>
      <c r="H209" s="1088"/>
      <c r="I209" s="1088"/>
      <c r="J209" s="1088"/>
      <c r="K209" s="1088"/>
    </row>
    <row r="210" spans="3:11" ht="12" customHeight="1">
      <c r="C210" s="891"/>
      <c r="D210" s="891"/>
      <c r="E210" s="891"/>
      <c r="F210" s="891"/>
      <c r="G210" s="891"/>
      <c r="H210" s="1088"/>
      <c r="I210" s="1088"/>
      <c r="J210" s="1088"/>
      <c r="K210" s="1088"/>
    </row>
    <row r="211" spans="3:11" ht="12" customHeight="1">
      <c r="C211" s="891"/>
      <c r="D211" s="891"/>
      <c r="E211" s="891"/>
      <c r="F211" s="891"/>
      <c r="G211" s="891"/>
      <c r="H211" s="1088"/>
      <c r="I211" s="1088"/>
      <c r="J211" s="1088"/>
      <c r="K211" s="1088"/>
    </row>
    <row r="212" spans="3:11" ht="12" customHeight="1">
      <c r="C212" s="891"/>
      <c r="D212" s="891"/>
      <c r="E212" s="891"/>
      <c r="F212" s="891"/>
      <c r="G212" s="891"/>
      <c r="H212" s="1088"/>
      <c r="I212" s="1088"/>
      <c r="J212" s="1088"/>
      <c r="K212" s="1088"/>
    </row>
    <row r="213" spans="3:11" ht="12" customHeight="1">
      <c r="C213" s="891"/>
      <c r="D213" s="891"/>
      <c r="E213" s="891"/>
      <c r="F213" s="891"/>
      <c r="G213" s="891"/>
      <c r="H213" s="1088"/>
      <c r="I213" s="1088"/>
      <c r="J213" s="1088"/>
      <c r="K213" s="1088"/>
    </row>
    <row r="214" spans="3:11" ht="12" customHeight="1">
      <c r="C214" s="891"/>
      <c r="D214" s="891"/>
      <c r="E214" s="891"/>
      <c r="F214" s="891"/>
      <c r="G214" s="891"/>
      <c r="H214" s="1088"/>
      <c r="I214" s="1088"/>
      <c r="J214" s="1088"/>
      <c r="K214" s="1088"/>
    </row>
    <row r="215" spans="3:11" ht="12" customHeight="1">
      <c r="C215" s="891"/>
      <c r="D215" s="891"/>
      <c r="E215" s="891"/>
      <c r="F215" s="891"/>
      <c r="G215" s="891"/>
      <c r="H215" s="1088"/>
      <c r="I215" s="1088"/>
      <c r="J215" s="1088"/>
      <c r="K215" s="1088"/>
    </row>
    <row r="216" spans="3:11" ht="12" customHeight="1">
      <c r="C216" s="891"/>
      <c r="D216" s="891"/>
      <c r="E216" s="891"/>
      <c r="F216" s="891"/>
      <c r="G216" s="891"/>
      <c r="H216" s="1088"/>
      <c r="I216" s="1088"/>
      <c r="J216" s="1088"/>
      <c r="K216" s="1088"/>
    </row>
    <row r="217" spans="3:11" ht="12" customHeight="1">
      <c r="C217" s="891"/>
      <c r="D217" s="891"/>
      <c r="E217" s="891"/>
      <c r="F217" s="891"/>
      <c r="G217" s="891"/>
      <c r="H217" s="1088"/>
      <c r="I217" s="1088"/>
      <c r="J217" s="1088"/>
      <c r="K217" s="1088"/>
    </row>
    <row r="218" spans="3:11" ht="12" customHeight="1">
      <c r="C218" s="891"/>
      <c r="D218" s="891"/>
      <c r="E218" s="891"/>
      <c r="F218" s="891"/>
      <c r="G218" s="891"/>
      <c r="H218" s="1088"/>
      <c r="I218" s="1088"/>
      <c r="J218" s="1088"/>
      <c r="K218" s="1088"/>
    </row>
    <row r="219" spans="3:11" ht="12" customHeight="1">
      <c r="C219" s="891"/>
      <c r="D219" s="891"/>
      <c r="E219" s="891"/>
      <c r="F219" s="891"/>
      <c r="G219" s="891"/>
      <c r="H219" s="1088"/>
      <c r="I219" s="1088"/>
      <c r="J219" s="1088"/>
      <c r="K219" s="1088"/>
    </row>
    <row r="220" spans="3:11" ht="12" customHeight="1">
      <c r="C220" s="891"/>
      <c r="D220" s="891"/>
      <c r="E220" s="891"/>
      <c r="F220" s="891"/>
      <c r="G220" s="891"/>
      <c r="H220" s="1088"/>
      <c r="I220" s="1088"/>
      <c r="J220" s="1088"/>
      <c r="K220" s="1088"/>
    </row>
    <row r="221" spans="3:11" ht="12" customHeight="1">
      <c r="C221" s="891"/>
      <c r="D221" s="891"/>
      <c r="E221" s="891"/>
      <c r="F221" s="891"/>
      <c r="G221" s="891"/>
      <c r="H221" s="1088"/>
      <c r="I221" s="1088"/>
      <c r="J221" s="1088"/>
      <c r="K221" s="1088"/>
    </row>
    <row r="222" spans="3:11" ht="12" customHeight="1">
      <c r="C222" s="891"/>
      <c r="D222" s="891"/>
      <c r="E222" s="891"/>
      <c r="F222" s="891"/>
      <c r="G222" s="891"/>
      <c r="H222" s="1088"/>
      <c r="I222" s="1088"/>
      <c r="J222" s="1088"/>
      <c r="K222" s="1088"/>
    </row>
    <row r="223" spans="3:11" ht="12" customHeight="1">
      <c r="C223" s="891"/>
      <c r="D223" s="891"/>
      <c r="E223" s="891"/>
      <c r="F223" s="891"/>
      <c r="G223" s="891"/>
      <c r="H223" s="1088"/>
      <c r="I223" s="1088"/>
      <c r="J223" s="1088"/>
      <c r="K223" s="1088"/>
    </row>
    <row r="224" spans="3:11" ht="12" customHeight="1">
      <c r="C224" s="891"/>
      <c r="D224" s="891"/>
      <c r="E224" s="891"/>
      <c r="F224" s="891"/>
      <c r="G224" s="891"/>
      <c r="H224" s="1088"/>
      <c r="I224" s="1088"/>
      <c r="J224" s="1088"/>
      <c r="K224" s="1088"/>
    </row>
    <row r="225" spans="3:11" ht="12" customHeight="1">
      <c r="C225" s="891"/>
      <c r="D225" s="891"/>
      <c r="E225" s="891"/>
      <c r="F225" s="891"/>
      <c r="G225" s="891"/>
      <c r="H225" s="1088"/>
      <c r="I225" s="1088"/>
      <c r="J225" s="1088"/>
      <c r="K225" s="1088"/>
    </row>
    <row r="226" spans="3:11" ht="12" customHeight="1">
      <c r="C226" s="891"/>
      <c r="D226" s="891"/>
      <c r="E226" s="891"/>
      <c r="F226" s="891"/>
      <c r="G226" s="891"/>
      <c r="H226" s="1088"/>
      <c r="I226" s="1088"/>
      <c r="J226" s="1088"/>
      <c r="K226" s="1088"/>
    </row>
    <row r="227" spans="3:11" ht="12" customHeight="1">
      <c r="C227" s="891"/>
      <c r="D227" s="891"/>
      <c r="E227" s="891"/>
      <c r="F227" s="891"/>
      <c r="G227" s="891"/>
      <c r="H227" s="1088"/>
      <c r="I227" s="1088"/>
      <c r="J227" s="1088"/>
      <c r="K227" s="1088"/>
    </row>
    <row r="228" spans="3:11" ht="12" customHeight="1">
      <c r="C228" s="891"/>
      <c r="D228" s="891"/>
      <c r="E228" s="891"/>
      <c r="F228" s="891"/>
      <c r="G228" s="891"/>
      <c r="H228" s="1088"/>
      <c r="I228" s="1088"/>
      <c r="J228" s="1088"/>
      <c r="K228" s="1088"/>
    </row>
    <row r="229" spans="3:11" ht="12" customHeight="1">
      <c r="C229" s="891"/>
      <c r="D229" s="891"/>
      <c r="E229" s="891"/>
      <c r="F229" s="891"/>
      <c r="G229" s="891"/>
      <c r="H229" s="1088"/>
      <c r="I229" s="1088"/>
      <c r="J229" s="1088"/>
      <c r="K229" s="1088"/>
    </row>
    <row r="230" spans="3:11" ht="12" customHeight="1">
      <c r="C230" s="891"/>
      <c r="D230" s="891"/>
      <c r="E230" s="891"/>
      <c r="F230" s="891"/>
      <c r="G230" s="891"/>
      <c r="H230" s="1088"/>
      <c r="I230" s="1088"/>
      <c r="J230" s="1088"/>
      <c r="K230" s="1088"/>
    </row>
    <row r="231" spans="3:11" ht="12" customHeight="1">
      <c r="C231" s="891"/>
      <c r="D231" s="891"/>
      <c r="E231" s="891"/>
      <c r="F231" s="891"/>
      <c r="G231" s="891"/>
      <c r="H231" s="1088"/>
      <c r="I231" s="1088"/>
      <c r="J231" s="1088"/>
      <c r="K231" s="1088"/>
    </row>
    <row r="232" spans="3:11" ht="12" customHeight="1">
      <c r="C232" s="891"/>
      <c r="D232" s="891"/>
      <c r="E232" s="891"/>
      <c r="F232" s="891"/>
      <c r="G232" s="891"/>
      <c r="H232" s="1088"/>
      <c r="I232" s="1088"/>
      <c r="J232" s="1088"/>
      <c r="K232" s="1088"/>
    </row>
    <row r="233" spans="3:11" ht="12" customHeight="1">
      <c r="C233" s="891"/>
      <c r="D233" s="891"/>
      <c r="E233" s="891"/>
      <c r="F233" s="891"/>
      <c r="G233" s="891"/>
      <c r="H233" s="1088"/>
      <c r="I233" s="1088"/>
      <c r="J233" s="1088"/>
      <c r="K233" s="1088"/>
    </row>
    <row r="234" spans="3:11" ht="12" customHeight="1">
      <c r="C234" s="891"/>
      <c r="D234" s="891"/>
      <c r="E234" s="891"/>
      <c r="F234" s="891"/>
      <c r="G234" s="891"/>
      <c r="H234" s="1088"/>
      <c r="I234" s="1088"/>
      <c r="J234" s="1088"/>
      <c r="K234" s="1088"/>
    </row>
    <row r="235" spans="3:11" ht="12" customHeight="1">
      <c r="C235" s="891"/>
      <c r="D235" s="891"/>
      <c r="E235" s="891"/>
      <c r="F235" s="891"/>
      <c r="G235" s="891"/>
      <c r="H235" s="1088"/>
      <c r="I235" s="1088"/>
      <c r="J235" s="1088"/>
      <c r="K235" s="1088"/>
    </row>
    <row r="236" spans="3:11" ht="12" customHeight="1">
      <c r="C236" s="891"/>
      <c r="D236" s="891"/>
      <c r="E236" s="891"/>
      <c r="F236" s="891"/>
      <c r="G236" s="891"/>
      <c r="H236" s="1088"/>
      <c r="I236" s="1088"/>
      <c r="J236" s="1088"/>
      <c r="K236" s="1088"/>
    </row>
    <row r="237" spans="3:11" ht="12" customHeight="1">
      <c r="C237" s="891"/>
      <c r="D237" s="891"/>
      <c r="E237" s="891"/>
      <c r="F237" s="891"/>
      <c r="G237" s="891"/>
      <c r="H237" s="1088"/>
      <c r="I237" s="1088"/>
      <c r="J237" s="1088"/>
      <c r="K237" s="1088"/>
    </row>
    <row r="238" spans="3:11" ht="12" customHeight="1">
      <c r="C238" s="891"/>
      <c r="D238" s="891"/>
      <c r="E238" s="891"/>
      <c r="F238" s="891"/>
      <c r="G238" s="891"/>
      <c r="H238" s="1088"/>
      <c r="I238" s="1088"/>
      <c r="J238" s="1088"/>
      <c r="K238" s="1088"/>
    </row>
    <row r="239" spans="3:11" ht="12" customHeight="1">
      <c r="C239" s="891"/>
      <c r="D239" s="891"/>
      <c r="E239" s="891"/>
      <c r="F239" s="891"/>
      <c r="G239" s="891"/>
      <c r="H239" s="1088"/>
      <c r="I239" s="1088"/>
      <c r="J239" s="1088"/>
      <c r="K239" s="1088"/>
    </row>
    <row r="240" spans="3:11" ht="12" customHeight="1">
      <c r="C240" s="891"/>
      <c r="D240" s="891"/>
      <c r="E240" s="891"/>
      <c r="F240" s="891"/>
      <c r="G240" s="891"/>
      <c r="H240" s="1088"/>
      <c r="I240" s="1088"/>
      <c r="J240" s="1088"/>
      <c r="K240" s="1088"/>
    </row>
    <row r="241" spans="3:11" ht="12" customHeight="1">
      <c r="C241" s="891"/>
      <c r="D241" s="891"/>
      <c r="E241" s="891"/>
      <c r="F241" s="891"/>
      <c r="G241" s="891"/>
      <c r="H241" s="1088"/>
      <c r="I241" s="1088"/>
      <c r="J241" s="1088"/>
      <c r="K241" s="1088"/>
    </row>
    <row r="242" spans="3:11" ht="12" customHeight="1">
      <c r="C242" s="891"/>
      <c r="D242" s="891"/>
      <c r="E242" s="891"/>
      <c r="F242" s="891"/>
      <c r="G242" s="891"/>
      <c r="H242" s="1088"/>
      <c r="I242" s="1088"/>
      <c r="J242" s="1088"/>
      <c r="K242" s="1088"/>
    </row>
    <row r="243" spans="3:11" ht="12" customHeight="1">
      <c r="C243" s="891"/>
      <c r="D243" s="891"/>
      <c r="E243" s="891"/>
      <c r="F243" s="891"/>
      <c r="G243" s="891"/>
      <c r="H243" s="1088"/>
      <c r="I243" s="1088"/>
      <c r="J243" s="1088"/>
      <c r="K243" s="1088"/>
    </row>
    <row r="244" spans="3:11" ht="12" customHeight="1">
      <c r="C244" s="891"/>
      <c r="D244" s="891"/>
      <c r="E244" s="891"/>
      <c r="F244" s="891"/>
      <c r="G244" s="891"/>
      <c r="H244" s="1088"/>
      <c r="I244" s="1088"/>
      <c r="J244" s="1088"/>
      <c r="K244" s="1088"/>
    </row>
    <row r="245" spans="3:11" ht="12" customHeight="1">
      <c r="C245" s="891"/>
      <c r="D245" s="891"/>
      <c r="E245" s="891"/>
      <c r="F245" s="891"/>
      <c r="G245" s="891"/>
      <c r="H245" s="1088"/>
      <c r="I245" s="1088"/>
      <c r="J245" s="1088"/>
      <c r="K245" s="1088"/>
    </row>
    <row r="246" spans="3:11" ht="12" customHeight="1">
      <c r="C246" s="891"/>
      <c r="D246" s="891"/>
      <c r="E246" s="891"/>
      <c r="F246" s="891"/>
      <c r="G246" s="891"/>
      <c r="H246" s="1088"/>
      <c r="I246" s="1088"/>
      <c r="J246" s="1088"/>
      <c r="K246" s="1088"/>
    </row>
    <row r="247" spans="3:11" ht="12" customHeight="1">
      <c r="C247" s="891"/>
      <c r="D247" s="891"/>
      <c r="E247" s="891"/>
      <c r="F247" s="891"/>
      <c r="G247" s="891"/>
      <c r="H247" s="1088"/>
      <c r="I247" s="1088"/>
      <c r="J247" s="1088"/>
      <c r="K247" s="1088"/>
    </row>
    <row r="248" spans="3:11" ht="12" customHeight="1">
      <c r="C248" s="891"/>
      <c r="D248" s="891"/>
      <c r="E248" s="891"/>
      <c r="F248" s="891"/>
      <c r="G248" s="891"/>
      <c r="H248" s="1088"/>
      <c r="I248" s="1088"/>
      <c r="J248" s="1088"/>
      <c r="K248" s="1088"/>
    </row>
    <row r="249" spans="3:11" ht="12" customHeight="1">
      <c r="C249" s="891"/>
      <c r="D249" s="891"/>
      <c r="E249" s="891"/>
      <c r="F249" s="891"/>
      <c r="G249" s="891"/>
      <c r="H249" s="1088"/>
      <c r="I249" s="1088"/>
      <c r="J249" s="1088"/>
      <c r="K249" s="1088"/>
    </row>
    <row r="250" spans="3:11" ht="12" customHeight="1">
      <c r="C250" s="891"/>
      <c r="D250" s="891"/>
      <c r="E250" s="891"/>
      <c r="F250" s="891"/>
      <c r="G250" s="891"/>
      <c r="H250" s="1088"/>
      <c r="I250" s="1088"/>
      <c r="J250" s="1088"/>
      <c r="K250" s="1088"/>
    </row>
    <row r="251" spans="3:11" ht="12" customHeight="1">
      <c r="C251" s="891"/>
      <c r="D251" s="891"/>
      <c r="E251" s="891"/>
      <c r="F251" s="891"/>
      <c r="G251" s="891"/>
      <c r="H251" s="1088"/>
      <c r="I251" s="1088"/>
      <c r="J251" s="1088"/>
      <c r="K251" s="1088"/>
    </row>
    <row r="252" spans="3:11" ht="12" customHeight="1">
      <c r="C252" s="891"/>
      <c r="D252" s="891"/>
      <c r="E252" s="891"/>
      <c r="F252" s="891"/>
      <c r="G252" s="891"/>
      <c r="H252" s="1088"/>
      <c r="I252" s="1088"/>
      <c r="J252" s="1088"/>
      <c r="K252" s="1088"/>
    </row>
    <row r="253" spans="3:11" ht="12" customHeight="1">
      <c r="C253" s="891"/>
      <c r="D253" s="891"/>
      <c r="E253" s="891"/>
      <c r="F253" s="891"/>
      <c r="G253" s="891"/>
      <c r="H253" s="1088"/>
      <c r="I253" s="1088"/>
      <c r="J253" s="1088"/>
      <c r="K253" s="1088"/>
    </row>
    <row r="254" spans="3:11" ht="12" customHeight="1">
      <c r="C254" s="891"/>
      <c r="D254" s="891"/>
      <c r="E254" s="891"/>
      <c r="F254" s="891"/>
      <c r="G254" s="891"/>
      <c r="H254" s="1088"/>
      <c r="I254" s="1088"/>
      <c r="J254" s="1088"/>
      <c r="K254" s="1088"/>
    </row>
    <row r="255" spans="3:11" ht="12" customHeight="1">
      <c r="C255" s="891"/>
      <c r="D255" s="891"/>
      <c r="E255" s="891"/>
      <c r="F255" s="891"/>
      <c r="G255" s="891"/>
      <c r="H255" s="1088"/>
      <c r="I255" s="1088"/>
      <c r="J255" s="1088"/>
      <c r="K255" s="1088"/>
    </row>
    <row r="256" spans="3:11" ht="12" customHeight="1">
      <c r="C256" s="891"/>
      <c r="D256" s="891"/>
      <c r="E256" s="891"/>
      <c r="F256" s="891"/>
      <c r="G256" s="891"/>
      <c r="H256" s="1088"/>
      <c r="I256" s="1088"/>
      <c r="J256" s="1088"/>
      <c r="K256" s="1088"/>
    </row>
    <row r="257" spans="3:11" ht="12" customHeight="1">
      <c r="C257" s="891"/>
      <c r="D257" s="891"/>
      <c r="E257" s="891"/>
      <c r="F257" s="891"/>
      <c r="G257" s="891"/>
      <c r="H257" s="1088"/>
      <c r="I257" s="1088"/>
      <c r="J257" s="1088"/>
      <c r="K257" s="1088"/>
    </row>
    <row r="258" spans="3:11" ht="12" customHeight="1">
      <c r="C258" s="891"/>
      <c r="D258" s="891"/>
      <c r="E258" s="891"/>
      <c r="F258" s="891"/>
      <c r="G258" s="891"/>
      <c r="H258" s="1088"/>
      <c r="I258" s="1088"/>
      <c r="J258" s="1088"/>
      <c r="K258" s="1088"/>
    </row>
    <row r="259" spans="3:11" ht="12" customHeight="1">
      <c r="C259" s="891"/>
      <c r="D259" s="891"/>
      <c r="E259" s="891"/>
      <c r="F259" s="891"/>
      <c r="G259" s="891"/>
      <c r="H259" s="1088"/>
      <c r="I259" s="1088"/>
      <c r="J259" s="1088"/>
      <c r="K259" s="1088"/>
    </row>
    <row r="260" spans="3:11" ht="12" customHeight="1">
      <c r="C260" s="891"/>
      <c r="D260" s="891"/>
      <c r="E260" s="891"/>
      <c r="F260" s="891"/>
      <c r="G260" s="891"/>
      <c r="H260" s="1088"/>
      <c r="I260" s="1088"/>
      <c r="J260" s="1088"/>
      <c r="K260" s="1088"/>
    </row>
    <row r="261" spans="3:11" ht="12" customHeight="1">
      <c r="C261" s="891"/>
      <c r="D261" s="891"/>
      <c r="E261" s="891"/>
      <c r="F261" s="891"/>
      <c r="G261" s="891"/>
      <c r="H261" s="1088"/>
      <c r="I261" s="1088"/>
      <c r="J261" s="1088"/>
      <c r="K261" s="1088"/>
    </row>
    <row r="262" spans="3:11" ht="12" customHeight="1">
      <c r="C262" s="891"/>
      <c r="D262" s="891"/>
      <c r="E262" s="891"/>
      <c r="F262" s="891"/>
      <c r="G262" s="891"/>
      <c r="H262" s="1088"/>
      <c r="I262" s="1088"/>
      <c r="J262" s="1088"/>
      <c r="K262" s="1088"/>
    </row>
    <row r="263" spans="3:11" ht="12" customHeight="1">
      <c r="C263" s="891"/>
      <c r="D263" s="891"/>
      <c r="E263" s="891"/>
      <c r="F263" s="891"/>
      <c r="G263" s="891"/>
      <c r="H263" s="1088"/>
      <c r="I263" s="1088"/>
      <c r="J263" s="1088"/>
      <c r="K263" s="1088"/>
    </row>
    <row r="264" spans="3:11" ht="12" customHeight="1">
      <c r="C264" s="891"/>
      <c r="D264" s="891"/>
      <c r="E264" s="891"/>
      <c r="F264" s="891"/>
      <c r="G264" s="891"/>
      <c r="H264" s="1088"/>
      <c r="I264" s="1088"/>
      <c r="J264" s="1088"/>
      <c r="K264" s="1088"/>
    </row>
    <row r="265" spans="3:11" ht="12" customHeight="1">
      <c r="C265" s="891"/>
      <c r="D265" s="891"/>
      <c r="E265" s="891"/>
      <c r="F265" s="891"/>
      <c r="G265" s="891"/>
      <c r="H265" s="1088"/>
      <c r="I265" s="1088"/>
      <c r="J265" s="1088"/>
      <c r="K265" s="1088"/>
    </row>
    <row r="266" spans="3:11" ht="12" customHeight="1">
      <c r="C266" s="891"/>
      <c r="D266" s="891"/>
      <c r="E266" s="891"/>
      <c r="F266" s="891"/>
      <c r="G266" s="891"/>
      <c r="H266" s="1088"/>
      <c r="I266" s="1088"/>
      <c r="J266" s="1088"/>
      <c r="K266" s="1088"/>
    </row>
    <row r="267" spans="3:11" ht="12" customHeight="1">
      <c r="C267" s="891"/>
      <c r="D267" s="891"/>
      <c r="E267" s="891"/>
      <c r="F267" s="891"/>
      <c r="G267" s="891"/>
      <c r="H267" s="1088"/>
      <c r="I267" s="1088"/>
      <c r="J267" s="1088"/>
      <c r="K267" s="1088"/>
    </row>
    <row r="268" spans="3:11" ht="12" customHeight="1">
      <c r="C268" s="891"/>
      <c r="D268" s="891"/>
      <c r="E268" s="891"/>
      <c r="F268" s="891"/>
      <c r="G268" s="891"/>
      <c r="H268" s="1088"/>
      <c r="I268" s="1088"/>
      <c r="J268" s="1088"/>
      <c r="K268" s="1088"/>
    </row>
    <row r="269" spans="3:11" ht="12" customHeight="1">
      <c r="C269" s="891"/>
      <c r="D269" s="891"/>
      <c r="E269" s="891"/>
      <c r="F269" s="891"/>
      <c r="G269" s="891"/>
      <c r="H269" s="1088"/>
      <c r="I269" s="1088"/>
      <c r="J269" s="1088"/>
      <c r="K269" s="1088"/>
    </row>
    <row r="270" spans="3:11" ht="12" customHeight="1">
      <c r="C270" s="891"/>
      <c r="D270" s="891"/>
      <c r="E270" s="891"/>
      <c r="F270" s="891"/>
      <c r="G270" s="891"/>
      <c r="H270" s="1088"/>
      <c r="I270" s="1088"/>
      <c r="J270" s="1088"/>
      <c r="K270" s="1088"/>
    </row>
    <row r="271" spans="3:11" ht="12" customHeight="1">
      <c r="C271" s="891"/>
      <c r="D271" s="891"/>
      <c r="E271" s="891"/>
      <c r="F271" s="891"/>
      <c r="G271" s="891"/>
      <c r="H271" s="1088"/>
      <c r="I271" s="1088"/>
      <c r="J271" s="1088"/>
      <c r="K271" s="1088"/>
    </row>
    <row r="272" spans="3:11" ht="12" customHeight="1">
      <c r="C272" s="891"/>
      <c r="D272" s="891"/>
      <c r="E272" s="891"/>
      <c r="F272" s="891"/>
      <c r="G272" s="891"/>
      <c r="H272" s="1088"/>
      <c r="I272" s="1088"/>
      <c r="J272" s="1088"/>
      <c r="K272" s="1088"/>
    </row>
    <row r="273" spans="3:11" ht="12" customHeight="1">
      <c r="C273" s="891"/>
      <c r="D273" s="891"/>
      <c r="E273" s="891"/>
      <c r="F273" s="891"/>
      <c r="G273" s="891"/>
      <c r="H273" s="1088"/>
      <c r="I273" s="1088"/>
      <c r="J273" s="1088"/>
      <c r="K273" s="1088"/>
    </row>
    <row r="274" spans="3:11" ht="12" customHeight="1">
      <c r="C274" s="891"/>
      <c r="D274" s="891"/>
      <c r="E274" s="891"/>
      <c r="F274" s="891"/>
      <c r="G274" s="891"/>
      <c r="H274" s="1088"/>
      <c r="I274" s="1088"/>
      <c r="J274" s="1088"/>
      <c r="K274" s="1088"/>
    </row>
    <row r="275" spans="3:11" ht="12" customHeight="1">
      <c r="C275" s="891"/>
      <c r="D275" s="891"/>
      <c r="E275" s="891"/>
      <c r="F275" s="891"/>
      <c r="G275" s="891"/>
      <c r="H275" s="1088"/>
      <c r="I275" s="1088"/>
      <c r="J275" s="1088"/>
      <c r="K275" s="1088"/>
    </row>
    <row r="276" spans="3:11" ht="12" customHeight="1">
      <c r="C276" s="891"/>
      <c r="D276" s="891"/>
      <c r="E276" s="891"/>
      <c r="F276" s="891"/>
      <c r="G276" s="891"/>
      <c r="H276" s="1088"/>
      <c r="I276" s="1088"/>
      <c r="J276" s="1088"/>
      <c r="K276" s="1088"/>
    </row>
    <row r="277" spans="3:11" ht="12" customHeight="1">
      <c r="C277" s="891"/>
      <c r="D277" s="891"/>
      <c r="E277" s="891"/>
      <c r="F277" s="891"/>
      <c r="G277" s="891"/>
      <c r="H277" s="1088"/>
      <c r="I277" s="1088"/>
      <c r="J277" s="1088"/>
      <c r="K277" s="1088"/>
    </row>
    <row r="278" spans="3:11" ht="12" customHeight="1">
      <c r="C278" s="891"/>
      <c r="D278" s="891"/>
      <c r="E278" s="891"/>
      <c r="F278" s="891"/>
      <c r="G278" s="891"/>
      <c r="H278" s="1088"/>
      <c r="I278" s="1088"/>
      <c r="J278" s="1088"/>
      <c r="K278" s="1088"/>
    </row>
    <row r="279" spans="3:11" ht="12" customHeight="1">
      <c r="C279" s="891"/>
      <c r="D279" s="891"/>
      <c r="E279" s="891"/>
      <c r="F279" s="891"/>
      <c r="G279" s="891"/>
      <c r="H279" s="1088"/>
      <c r="I279" s="1088"/>
      <c r="J279" s="1088"/>
      <c r="K279" s="1088"/>
    </row>
    <row r="280" spans="3:11" ht="12" customHeight="1">
      <c r="C280" s="891"/>
      <c r="D280" s="891"/>
      <c r="E280" s="891"/>
      <c r="F280" s="891"/>
      <c r="G280" s="891"/>
      <c r="H280" s="1088"/>
      <c r="I280" s="1088"/>
      <c r="J280" s="1088"/>
      <c r="K280" s="1088"/>
    </row>
    <row r="281" spans="3:11" ht="12" customHeight="1">
      <c r="C281" s="891"/>
      <c r="D281" s="891"/>
      <c r="E281" s="891"/>
      <c r="F281" s="891"/>
      <c r="G281" s="891"/>
      <c r="H281" s="1088"/>
      <c r="I281" s="1088"/>
      <c r="J281" s="1088"/>
      <c r="K281" s="1088"/>
    </row>
    <row r="282" spans="3:11" ht="12" customHeight="1">
      <c r="C282" s="891"/>
      <c r="D282" s="891"/>
      <c r="E282" s="891"/>
      <c r="F282" s="891"/>
      <c r="G282" s="891"/>
      <c r="H282" s="1088"/>
      <c r="I282" s="1088"/>
      <c r="J282" s="1088"/>
      <c r="K282" s="1088"/>
    </row>
    <row r="283" spans="3:11" ht="12" customHeight="1">
      <c r="C283" s="891"/>
      <c r="D283" s="891"/>
      <c r="E283" s="891"/>
      <c r="F283" s="891"/>
      <c r="G283" s="891"/>
      <c r="H283" s="1088"/>
      <c r="I283" s="1088"/>
      <c r="J283" s="1088"/>
      <c r="K283" s="1088"/>
    </row>
    <row r="284" spans="3:11" ht="12" customHeight="1">
      <c r="C284" s="891"/>
      <c r="D284" s="891"/>
      <c r="E284" s="891"/>
      <c r="F284" s="891"/>
      <c r="G284" s="891"/>
      <c r="H284" s="1088"/>
      <c r="I284" s="1088"/>
      <c r="J284" s="1088"/>
      <c r="K284" s="1088"/>
    </row>
    <row r="285" spans="3:11" ht="12" customHeight="1">
      <c r="C285" s="891"/>
      <c r="D285" s="891"/>
      <c r="E285" s="891"/>
      <c r="F285" s="891"/>
      <c r="G285" s="891"/>
      <c r="H285" s="1088"/>
      <c r="I285" s="1088"/>
      <c r="J285" s="1088"/>
      <c r="K285" s="1088"/>
    </row>
    <row r="286" spans="3:11" ht="12" customHeight="1">
      <c r="C286" s="891"/>
      <c r="D286" s="891"/>
      <c r="E286" s="891"/>
      <c r="F286" s="891"/>
      <c r="G286" s="891"/>
      <c r="H286" s="1088"/>
      <c r="I286" s="1088"/>
      <c r="J286" s="1088"/>
      <c r="K286" s="1088"/>
    </row>
    <row r="287" spans="3:11" ht="12" customHeight="1">
      <c r="C287" s="891"/>
      <c r="D287" s="891"/>
      <c r="E287" s="891"/>
      <c r="F287" s="891"/>
      <c r="G287" s="891"/>
      <c r="H287" s="1088"/>
      <c r="I287" s="1088"/>
      <c r="J287" s="1088"/>
      <c r="K287" s="1088"/>
    </row>
    <row r="288" spans="3:11" ht="12" customHeight="1">
      <c r="C288" s="891"/>
      <c r="D288" s="891"/>
      <c r="E288" s="891"/>
      <c r="F288" s="891"/>
      <c r="G288" s="891"/>
      <c r="H288" s="1088"/>
      <c r="I288" s="1088"/>
      <c r="J288" s="1088"/>
      <c r="K288" s="1088"/>
    </row>
    <row r="289" spans="3:11" ht="12" customHeight="1">
      <c r="C289" s="891"/>
      <c r="D289" s="891"/>
      <c r="E289" s="891"/>
      <c r="F289" s="891"/>
      <c r="G289" s="891"/>
      <c r="H289" s="1088"/>
      <c r="I289" s="1088"/>
      <c r="J289" s="1088"/>
      <c r="K289" s="1088"/>
    </row>
    <row r="290" spans="3:11" ht="12" customHeight="1">
      <c r="C290" s="891"/>
      <c r="D290" s="891"/>
      <c r="E290" s="891"/>
      <c r="F290" s="891"/>
      <c r="G290" s="891"/>
      <c r="H290" s="1088"/>
      <c r="I290" s="1088"/>
      <c r="J290" s="1088"/>
      <c r="K290" s="1088"/>
    </row>
    <row r="291" spans="3:11" ht="12" customHeight="1">
      <c r="C291" s="891"/>
      <c r="D291" s="891"/>
      <c r="E291" s="891"/>
      <c r="F291" s="891"/>
      <c r="G291" s="891"/>
      <c r="H291" s="1088"/>
      <c r="I291" s="1088"/>
      <c r="J291" s="1088"/>
      <c r="K291" s="1088"/>
    </row>
    <row r="292" spans="3:11" ht="12" customHeight="1">
      <c r="C292" s="891"/>
      <c r="D292" s="891"/>
      <c r="E292" s="891"/>
      <c r="F292" s="891"/>
      <c r="G292" s="891"/>
      <c r="H292" s="1088"/>
      <c r="I292" s="1088"/>
      <c r="J292" s="1088"/>
      <c r="K292" s="1088"/>
    </row>
    <row r="293" spans="3:11" ht="12" customHeight="1">
      <c r="C293" s="891"/>
      <c r="D293" s="891"/>
      <c r="E293" s="891"/>
      <c r="F293" s="891"/>
      <c r="G293" s="891"/>
      <c r="H293" s="1088"/>
      <c r="I293" s="1088"/>
      <c r="J293" s="1088"/>
      <c r="K293" s="1088"/>
    </row>
    <row r="294" spans="3:11" ht="12" customHeight="1">
      <c r="C294" s="891"/>
      <c r="D294" s="891"/>
      <c r="E294" s="891"/>
      <c r="F294" s="891"/>
      <c r="G294" s="891"/>
      <c r="H294" s="1088"/>
      <c r="I294" s="1088"/>
      <c r="J294" s="1088"/>
      <c r="K294" s="1088"/>
    </row>
    <row r="295" spans="3:11" ht="12" customHeight="1">
      <c r="C295" s="891"/>
      <c r="D295" s="891"/>
      <c r="E295" s="891"/>
      <c r="F295" s="891"/>
      <c r="G295" s="891"/>
      <c r="H295" s="1088"/>
      <c r="I295" s="1088"/>
      <c r="J295" s="1088"/>
      <c r="K295" s="1088"/>
    </row>
    <row r="296" spans="3:11" ht="12" customHeight="1">
      <c r="C296" s="891"/>
      <c r="D296" s="891"/>
      <c r="E296" s="891"/>
      <c r="F296" s="891"/>
      <c r="G296" s="891"/>
      <c r="H296" s="1088"/>
      <c r="I296" s="1088"/>
      <c r="J296" s="1088"/>
      <c r="K296" s="1088"/>
    </row>
    <row r="297" spans="3:11" ht="12" customHeight="1">
      <c r="C297" s="891"/>
      <c r="D297" s="891"/>
      <c r="E297" s="891"/>
      <c r="F297" s="891"/>
      <c r="G297" s="891"/>
      <c r="H297" s="1088"/>
      <c r="I297" s="1088"/>
      <c r="J297" s="1088"/>
      <c r="K297" s="1088"/>
    </row>
    <row r="298" spans="3:11" ht="12" customHeight="1">
      <c r="C298" s="891"/>
      <c r="D298" s="891"/>
      <c r="E298" s="891"/>
      <c r="F298" s="891"/>
      <c r="G298" s="891"/>
      <c r="H298" s="1088"/>
      <c r="I298" s="1088"/>
      <c r="J298" s="1088"/>
      <c r="K298" s="1088"/>
    </row>
    <row r="299" spans="3:11" ht="12" customHeight="1">
      <c r="C299" s="891"/>
      <c r="D299" s="891"/>
      <c r="E299" s="891"/>
      <c r="F299" s="891"/>
      <c r="G299" s="891"/>
      <c r="H299" s="1088"/>
      <c r="I299" s="1088"/>
      <c r="J299" s="1088"/>
      <c r="K299" s="1088"/>
    </row>
    <row r="300" spans="3:11" ht="12" customHeight="1">
      <c r="C300" s="891"/>
      <c r="D300" s="891"/>
      <c r="E300" s="891"/>
      <c r="F300" s="891"/>
      <c r="G300" s="891"/>
      <c r="H300" s="1088"/>
      <c r="I300" s="1088"/>
      <c r="J300" s="1088"/>
      <c r="K300" s="1088"/>
    </row>
    <row r="301" spans="3:11" ht="12" customHeight="1">
      <c r="C301" s="891"/>
      <c r="D301" s="891"/>
      <c r="E301" s="891"/>
      <c r="F301" s="891"/>
      <c r="G301" s="891"/>
      <c r="H301" s="1088"/>
      <c r="I301" s="1088"/>
      <c r="J301" s="1088"/>
      <c r="K301" s="1088"/>
    </row>
    <row r="302" spans="3:11" ht="12" customHeight="1">
      <c r="C302" s="891"/>
      <c r="D302" s="891"/>
      <c r="E302" s="891"/>
      <c r="F302" s="891"/>
      <c r="G302" s="891"/>
      <c r="H302" s="1088"/>
      <c r="I302" s="1088"/>
      <c r="J302" s="1088"/>
      <c r="K302" s="1088"/>
    </row>
    <row r="303" spans="3:11" ht="12" customHeight="1">
      <c r="C303" s="891"/>
      <c r="D303" s="891"/>
      <c r="E303" s="891"/>
      <c r="F303" s="891"/>
      <c r="G303" s="891"/>
      <c r="H303" s="1088"/>
      <c r="I303" s="1088"/>
      <c r="J303" s="1088"/>
      <c r="K303" s="1088"/>
    </row>
    <row r="304" spans="3:11" ht="12" customHeight="1">
      <c r="C304" s="891"/>
      <c r="D304" s="891"/>
      <c r="E304" s="891"/>
      <c r="F304" s="891"/>
      <c r="G304" s="891"/>
      <c r="H304" s="1088"/>
      <c r="I304" s="1088"/>
      <c r="J304" s="1088"/>
      <c r="K304" s="1088"/>
    </row>
    <row r="305" spans="3:11" ht="12" customHeight="1">
      <c r="C305" s="891"/>
      <c r="D305" s="891"/>
      <c r="E305" s="891"/>
      <c r="F305" s="891"/>
      <c r="G305" s="891"/>
      <c r="H305" s="1088"/>
      <c r="I305" s="1088"/>
      <c r="J305" s="1088"/>
      <c r="K305" s="1088"/>
    </row>
    <row r="306" spans="3:11" ht="12" customHeight="1">
      <c r="C306" s="891"/>
      <c r="D306" s="891"/>
      <c r="E306" s="891"/>
      <c r="F306" s="891"/>
      <c r="G306" s="891"/>
      <c r="H306" s="1088"/>
      <c r="I306" s="1088"/>
      <c r="J306" s="1088"/>
      <c r="K306" s="1088"/>
    </row>
    <row r="307" spans="3:11" ht="12" customHeight="1">
      <c r="C307" s="891"/>
      <c r="D307" s="891"/>
      <c r="E307" s="891"/>
      <c r="F307" s="891"/>
      <c r="G307" s="891"/>
      <c r="H307" s="1088"/>
      <c r="I307" s="1088"/>
      <c r="J307" s="1088"/>
      <c r="K307" s="1088"/>
    </row>
    <row r="308" spans="3:11" ht="12" customHeight="1">
      <c r="C308" s="891"/>
      <c r="D308" s="891"/>
      <c r="E308" s="891"/>
      <c r="F308" s="891"/>
      <c r="G308" s="891"/>
      <c r="H308" s="1088"/>
      <c r="I308" s="1088"/>
      <c r="J308" s="1088"/>
      <c r="K308" s="1088"/>
    </row>
    <row r="309" spans="3:11" ht="12" customHeight="1">
      <c r="C309" s="891"/>
      <c r="D309" s="891"/>
      <c r="E309" s="891"/>
      <c r="F309" s="891"/>
      <c r="G309" s="891"/>
      <c r="H309" s="1088"/>
      <c r="I309" s="1088"/>
      <c r="J309" s="1088"/>
      <c r="K309" s="1088"/>
    </row>
    <row r="310" spans="3:11" ht="12" customHeight="1">
      <c r="C310" s="891"/>
      <c r="D310" s="891"/>
      <c r="E310" s="891"/>
      <c r="F310" s="891"/>
      <c r="G310" s="891"/>
      <c r="H310" s="1088"/>
      <c r="I310" s="1088"/>
      <c r="J310" s="1088"/>
      <c r="K310" s="1088"/>
    </row>
    <row r="311" spans="3:11" ht="12" customHeight="1">
      <c r="C311" s="891"/>
      <c r="D311" s="891"/>
      <c r="E311" s="891"/>
      <c r="F311" s="891"/>
      <c r="G311" s="891"/>
      <c r="H311" s="1088"/>
      <c r="I311" s="1088"/>
      <c r="J311" s="1088"/>
      <c r="K311" s="1088"/>
    </row>
    <row r="312" spans="3:11" ht="12" customHeight="1">
      <c r="C312" s="891"/>
      <c r="D312" s="891"/>
      <c r="E312" s="891"/>
      <c r="F312" s="891"/>
      <c r="G312" s="891"/>
      <c r="H312" s="1088"/>
      <c r="I312" s="1088"/>
      <c r="J312" s="1088"/>
      <c r="K312" s="1088"/>
    </row>
    <row r="313" spans="3:11" ht="12" customHeight="1">
      <c r="C313" s="891"/>
      <c r="D313" s="891"/>
      <c r="E313" s="891"/>
      <c r="F313" s="891"/>
      <c r="G313" s="891"/>
      <c r="H313" s="1088"/>
      <c r="I313" s="1088"/>
      <c r="J313" s="1088"/>
      <c r="K313" s="1088"/>
    </row>
    <row r="314" spans="3:11" ht="12" customHeight="1">
      <c r="C314" s="891"/>
      <c r="D314" s="891"/>
      <c r="E314" s="891"/>
      <c r="F314" s="891"/>
      <c r="G314" s="891"/>
      <c r="H314" s="1088"/>
      <c r="I314" s="1088"/>
      <c r="J314" s="1088"/>
      <c r="K314" s="1088"/>
    </row>
    <row r="315" spans="3:11" ht="12" customHeight="1">
      <c r="C315" s="891"/>
      <c r="D315" s="891"/>
      <c r="E315" s="891"/>
      <c r="F315" s="891"/>
      <c r="G315" s="891"/>
      <c r="H315" s="1088"/>
      <c r="I315" s="1088"/>
      <c r="J315" s="1088"/>
      <c r="K315" s="1088"/>
    </row>
    <row r="316" spans="3:11" ht="12" customHeight="1">
      <c r="C316" s="891"/>
      <c r="D316" s="891"/>
      <c r="E316" s="891"/>
      <c r="F316" s="891"/>
      <c r="G316" s="891"/>
      <c r="H316" s="1088"/>
      <c r="I316" s="1088"/>
      <c r="J316" s="1088"/>
      <c r="K316" s="1088"/>
    </row>
    <row r="317" spans="3:11" ht="12" customHeight="1">
      <c r="C317" s="891"/>
      <c r="D317" s="891"/>
      <c r="E317" s="891"/>
      <c r="F317" s="891"/>
      <c r="G317" s="891"/>
      <c r="H317" s="1088"/>
      <c r="I317" s="1088"/>
      <c r="J317" s="1088"/>
      <c r="K317" s="1088"/>
    </row>
    <row r="318" spans="3:11" ht="12" customHeight="1">
      <c r="C318" s="891"/>
      <c r="D318" s="891"/>
      <c r="E318" s="891"/>
      <c r="F318" s="891"/>
      <c r="G318" s="891"/>
      <c r="H318" s="1088"/>
      <c r="I318" s="1088"/>
      <c r="J318" s="1088"/>
      <c r="K318" s="1088"/>
    </row>
    <row r="319" spans="3:11" ht="12" customHeight="1">
      <c r="C319" s="891"/>
      <c r="D319" s="891"/>
      <c r="E319" s="891"/>
      <c r="F319" s="891"/>
      <c r="G319" s="891"/>
      <c r="H319" s="1088"/>
      <c r="I319" s="1088"/>
      <c r="J319" s="1088"/>
      <c r="K319" s="1088"/>
    </row>
    <row r="320" spans="3:11" ht="12" customHeight="1">
      <c r="C320" s="891"/>
      <c r="D320" s="891"/>
      <c r="E320" s="891"/>
      <c r="F320" s="891"/>
      <c r="G320" s="891"/>
      <c r="H320" s="1088"/>
      <c r="I320" s="1088"/>
      <c r="J320" s="1088"/>
      <c r="K320" s="1088"/>
    </row>
    <row r="321" spans="3:11" ht="12" customHeight="1">
      <c r="C321" s="891"/>
      <c r="D321" s="891"/>
      <c r="E321" s="891"/>
      <c r="F321" s="891"/>
      <c r="G321" s="891"/>
      <c r="H321" s="1088"/>
      <c r="I321" s="1088"/>
      <c r="J321" s="1088"/>
      <c r="K321" s="1088"/>
    </row>
    <row r="322" spans="3:11" ht="12" customHeight="1">
      <c r="C322" s="891"/>
      <c r="D322" s="891"/>
      <c r="E322" s="891"/>
      <c r="F322" s="891"/>
      <c r="G322" s="891"/>
      <c r="H322" s="1088"/>
      <c r="I322" s="1088"/>
      <c r="J322" s="1088"/>
      <c r="K322" s="1088"/>
    </row>
    <row r="323" spans="3:11" ht="12" customHeight="1">
      <c r="C323" s="891"/>
      <c r="D323" s="891"/>
      <c r="E323" s="891"/>
      <c r="F323" s="891"/>
      <c r="G323" s="891"/>
      <c r="H323" s="1088"/>
      <c r="I323" s="1088"/>
      <c r="J323" s="1088"/>
      <c r="K323" s="1088"/>
    </row>
    <row r="324" spans="3:11" ht="12" customHeight="1">
      <c r="C324" s="891"/>
      <c r="D324" s="891"/>
      <c r="E324" s="891"/>
      <c r="F324" s="891"/>
      <c r="G324" s="891"/>
      <c r="H324" s="1088"/>
      <c r="I324" s="1088"/>
      <c r="J324" s="1088"/>
      <c r="K324" s="1088"/>
    </row>
    <row r="325" spans="3:11" ht="12" customHeight="1">
      <c r="C325" s="891"/>
      <c r="D325" s="891"/>
      <c r="E325" s="891"/>
      <c r="F325" s="891"/>
      <c r="G325" s="891"/>
      <c r="H325" s="1088"/>
      <c r="I325" s="1088"/>
      <c r="J325" s="1088"/>
      <c r="K325" s="1088"/>
    </row>
    <row r="326" spans="3:11" ht="12" customHeight="1">
      <c r="C326" s="891"/>
      <c r="D326" s="891"/>
      <c r="E326" s="891"/>
      <c r="F326" s="891"/>
      <c r="G326" s="891"/>
      <c r="H326" s="1088"/>
      <c r="I326" s="1088"/>
      <c r="J326" s="1088"/>
      <c r="K326" s="1088"/>
    </row>
    <row r="327" spans="3:11" ht="12" customHeight="1">
      <c r="C327" s="891"/>
      <c r="D327" s="891"/>
      <c r="E327" s="891"/>
      <c r="F327" s="891"/>
      <c r="G327" s="891"/>
      <c r="H327" s="1088"/>
      <c r="I327" s="1088"/>
      <c r="J327" s="1088"/>
      <c r="K327" s="1088"/>
    </row>
    <row r="328" spans="3:11" ht="12" customHeight="1">
      <c r="C328" s="891"/>
      <c r="D328" s="891"/>
      <c r="E328" s="891"/>
      <c r="F328" s="891"/>
      <c r="G328" s="891"/>
      <c r="H328" s="1088"/>
      <c r="I328" s="1088"/>
      <c r="J328" s="1088"/>
      <c r="K328" s="1088"/>
    </row>
    <row r="329" spans="3:11" ht="12" customHeight="1">
      <c r="C329" s="891"/>
      <c r="D329" s="891"/>
      <c r="E329" s="891"/>
      <c r="F329" s="891"/>
      <c r="G329" s="891"/>
      <c r="H329" s="1088"/>
      <c r="I329" s="1088"/>
      <c r="J329" s="1088"/>
      <c r="K329" s="1088"/>
    </row>
    <row r="330" spans="3:11" ht="12" customHeight="1">
      <c r="C330" s="891"/>
      <c r="D330" s="891"/>
      <c r="E330" s="891"/>
      <c r="F330" s="891"/>
      <c r="G330" s="891"/>
      <c r="H330" s="1088"/>
      <c r="I330" s="1088"/>
      <c r="J330" s="1088"/>
      <c r="K330" s="1088"/>
    </row>
    <row r="331" spans="3:11" ht="12" customHeight="1">
      <c r="C331" s="891"/>
      <c r="D331" s="891"/>
      <c r="E331" s="891"/>
      <c r="F331" s="891"/>
      <c r="G331" s="891"/>
      <c r="H331" s="1088"/>
      <c r="I331" s="1088"/>
      <c r="J331" s="1088"/>
      <c r="K331" s="1088"/>
    </row>
    <row r="332" spans="3:11" ht="12" customHeight="1">
      <c r="C332" s="891"/>
      <c r="D332" s="891"/>
      <c r="E332" s="891"/>
      <c r="F332" s="891"/>
      <c r="G332" s="891"/>
      <c r="H332" s="1088"/>
      <c r="I332" s="1088"/>
      <c r="J332" s="1088"/>
      <c r="K332" s="1088"/>
    </row>
    <row r="333" spans="3:11" ht="12" customHeight="1">
      <c r="C333" s="891"/>
      <c r="D333" s="891"/>
      <c r="E333" s="891"/>
      <c r="F333" s="891"/>
      <c r="G333" s="891"/>
      <c r="H333" s="1088"/>
      <c r="I333" s="1088"/>
      <c r="J333" s="1088"/>
      <c r="K333" s="1088"/>
    </row>
    <row r="334" spans="3:11" ht="12" customHeight="1">
      <c r="C334" s="891"/>
      <c r="D334" s="891"/>
      <c r="E334" s="891"/>
      <c r="F334" s="891"/>
      <c r="G334" s="891"/>
      <c r="H334" s="1088"/>
      <c r="I334" s="1088"/>
      <c r="J334" s="1088"/>
      <c r="K334" s="1088"/>
    </row>
    <row r="335" spans="3:11" ht="12" customHeight="1">
      <c r="C335" s="891"/>
      <c r="D335" s="891"/>
      <c r="E335" s="891"/>
      <c r="F335" s="891"/>
      <c r="G335" s="891"/>
      <c r="H335" s="1088"/>
      <c r="I335" s="1088"/>
      <c r="J335" s="1088"/>
      <c r="K335" s="1088"/>
    </row>
    <row r="336" spans="3:11" ht="12" customHeight="1">
      <c r="C336" s="891"/>
      <c r="D336" s="891"/>
      <c r="E336" s="891"/>
      <c r="F336" s="891"/>
      <c r="G336" s="891"/>
      <c r="H336" s="1088"/>
      <c r="I336" s="1088"/>
      <c r="J336" s="1088"/>
      <c r="K336" s="1088"/>
    </row>
    <row r="337" spans="3:11" ht="12" customHeight="1">
      <c r="C337" s="891"/>
      <c r="D337" s="891"/>
      <c r="E337" s="891"/>
      <c r="F337" s="891"/>
      <c r="G337" s="891"/>
      <c r="H337" s="1088"/>
      <c r="I337" s="1088"/>
      <c r="J337" s="1088"/>
      <c r="K337" s="1088"/>
    </row>
    <row r="338" spans="3:11" ht="12" customHeight="1">
      <c r="C338" s="891"/>
      <c r="D338" s="891"/>
      <c r="E338" s="891"/>
      <c r="F338" s="891"/>
      <c r="G338" s="891"/>
      <c r="H338" s="1088"/>
      <c r="I338" s="1088"/>
      <c r="J338" s="1088"/>
      <c r="K338" s="1088"/>
    </row>
    <row r="339" spans="3:11" ht="12" customHeight="1">
      <c r="C339" s="891"/>
      <c r="D339" s="891"/>
      <c r="E339" s="891"/>
      <c r="F339" s="891"/>
      <c r="G339" s="891"/>
      <c r="H339" s="1088"/>
      <c r="I339" s="1088"/>
      <c r="J339" s="1088"/>
      <c r="K339" s="1088"/>
    </row>
    <row r="340" spans="3:11" ht="12" customHeight="1">
      <c r="C340" s="891"/>
      <c r="D340" s="891"/>
      <c r="E340" s="891"/>
      <c r="F340" s="891"/>
      <c r="G340" s="891"/>
      <c r="H340" s="1088"/>
      <c r="I340" s="1088"/>
      <c r="J340" s="1088"/>
      <c r="K340" s="1088"/>
    </row>
    <row r="341" spans="3:11" ht="12" customHeight="1">
      <c r="C341" s="891"/>
      <c r="D341" s="891"/>
      <c r="E341" s="891"/>
      <c r="F341" s="891"/>
      <c r="G341" s="891"/>
      <c r="H341" s="1088"/>
      <c r="I341" s="1088"/>
      <c r="J341" s="1088"/>
      <c r="K341" s="1088"/>
    </row>
    <row r="342" spans="3:11" ht="12" customHeight="1">
      <c r="C342" s="891"/>
      <c r="D342" s="891"/>
      <c r="E342" s="891"/>
      <c r="F342" s="891"/>
      <c r="G342" s="891"/>
      <c r="H342" s="1088"/>
      <c r="I342" s="1088"/>
      <c r="J342" s="1088"/>
      <c r="K342" s="1088"/>
    </row>
    <row r="343" spans="3:11" ht="12" customHeight="1">
      <c r="C343" s="891"/>
      <c r="D343" s="891"/>
      <c r="E343" s="891"/>
      <c r="F343" s="891"/>
      <c r="G343" s="891"/>
      <c r="H343" s="1088"/>
      <c r="I343" s="1088"/>
      <c r="J343" s="1088"/>
      <c r="K343" s="1088"/>
    </row>
    <row r="344" spans="3:11" ht="12" customHeight="1">
      <c r="C344" s="891"/>
      <c r="D344" s="891"/>
      <c r="E344" s="891"/>
      <c r="F344" s="891"/>
      <c r="G344" s="891"/>
      <c r="H344" s="1088"/>
      <c r="I344" s="1088"/>
      <c r="J344" s="1088"/>
      <c r="K344" s="1088"/>
    </row>
    <row r="345" spans="3:11" ht="12" customHeight="1">
      <c r="C345" s="891"/>
      <c r="D345" s="891"/>
      <c r="E345" s="891"/>
      <c r="F345" s="891"/>
      <c r="G345" s="891"/>
      <c r="H345" s="1088"/>
      <c r="I345" s="1088"/>
      <c r="J345" s="1088"/>
      <c r="K345" s="1088"/>
    </row>
    <row r="346" spans="3:11" ht="12" customHeight="1">
      <c r="C346" s="891"/>
      <c r="D346" s="891"/>
      <c r="E346" s="891"/>
      <c r="F346" s="891"/>
      <c r="G346" s="891"/>
      <c r="H346" s="1088"/>
      <c r="I346" s="1088"/>
      <c r="J346" s="1088"/>
      <c r="K346" s="1088"/>
    </row>
    <row r="347" spans="3:11" ht="12" customHeight="1">
      <c r="C347" s="891"/>
      <c r="D347" s="891"/>
      <c r="E347" s="891"/>
      <c r="F347" s="891"/>
      <c r="G347" s="891"/>
      <c r="H347" s="1088"/>
      <c r="I347" s="1088"/>
      <c r="J347" s="1088"/>
      <c r="K347" s="1088"/>
    </row>
    <row r="348" spans="3:11" ht="12" customHeight="1">
      <c r="C348" s="891"/>
      <c r="D348" s="891"/>
      <c r="E348" s="891"/>
      <c r="F348" s="891"/>
      <c r="G348" s="891"/>
      <c r="H348" s="1088"/>
      <c r="I348" s="1088"/>
      <c r="J348" s="1088"/>
      <c r="K348" s="1088"/>
    </row>
    <row r="349" spans="3:11" ht="12" customHeight="1">
      <c r="C349" s="891"/>
      <c r="D349" s="891"/>
      <c r="E349" s="891"/>
      <c r="F349" s="891"/>
      <c r="G349" s="891"/>
      <c r="H349" s="1088"/>
      <c r="I349" s="1088"/>
      <c r="J349" s="1088"/>
      <c r="K349" s="1088"/>
    </row>
    <row r="350" spans="3:11" ht="12" customHeight="1">
      <c r="C350" s="891"/>
      <c r="D350" s="891"/>
      <c r="E350" s="891"/>
      <c r="F350" s="891"/>
      <c r="G350" s="891"/>
      <c r="H350" s="1088"/>
      <c r="I350" s="1088"/>
      <c r="J350" s="1088"/>
      <c r="K350" s="1088"/>
    </row>
    <row r="351" spans="3:11" ht="12" customHeight="1">
      <c r="C351" s="891"/>
      <c r="D351" s="891"/>
      <c r="E351" s="891"/>
      <c r="F351" s="891"/>
      <c r="G351" s="891"/>
      <c r="H351" s="1088"/>
      <c r="I351" s="1088"/>
      <c r="J351" s="1088"/>
      <c r="K351" s="1088"/>
    </row>
    <row r="352" spans="3:11" ht="12" customHeight="1">
      <c r="C352" s="891"/>
      <c r="D352" s="891"/>
      <c r="E352" s="891"/>
      <c r="F352" s="891"/>
      <c r="G352" s="891"/>
      <c r="H352" s="1088"/>
      <c r="I352" s="1088"/>
      <c r="J352" s="1088"/>
      <c r="K352" s="1088"/>
    </row>
    <row r="353" spans="3:11" ht="12" customHeight="1">
      <c r="C353" s="891"/>
      <c r="D353" s="891"/>
      <c r="E353" s="891"/>
      <c r="F353" s="891"/>
      <c r="G353" s="891"/>
      <c r="H353" s="1088"/>
      <c r="I353" s="1088"/>
      <c r="J353" s="1088"/>
      <c r="K353" s="1088"/>
    </row>
    <row r="354" spans="3:11" ht="12" customHeight="1">
      <c r="C354" s="891"/>
      <c r="D354" s="891"/>
      <c r="E354" s="891"/>
      <c r="F354" s="891"/>
      <c r="G354" s="891"/>
      <c r="H354" s="1088"/>
      <c r="I354" s="1088"/>
      <c r="J354" s="1088"/>
      <c r="K354" s="1088"/>
    </row>
    <row r="355" spans="3:11" ht="12" customHeight="1">
      <c r="C355" s="891"/>
      <c r="D355" s="891"/>
      <c r="E355" s="891"/>
      <c r="F355" s="891"/>
      <c r="G355" s="891"/>
      <c r="H355" s="1088"/>
      <c r="I355" s="1088"/>
      <c r="J355" s="1088"/>
      <c r="K355" s="1088"/>
    </row>
    <row r="356" spans="3:11" ht="12" customHeight="1">
      <c r="C356" s="891"/>
      <c r="D356" s="891"/>
      <c r="E356" s="891"/>
      <c r="F356" s="891"/>
      <c r="G356" s="891"/>
      <c r="H356" s="1088"/>
      <c r="I356" s="1088"/>
      <c r="J356" s="1088"/>
      <c r="K356" s="1088"/>
    </row>
    <row r="357" spans="3:11" ht="12" customHeight="1">
      <c r="C357" s="891"/>
      <c r="D357" s="891"/>
      <c r="E357" s="891"/>
      <c r="F357" s="891"/>
      <c r="G357" s="891"/>
      <c r="H357" s="1088"/>
      <c r="I357" s="1088"/>
      <c r="J357" s="1088"/>
      <c r="K357" s="1088"/>
    </row>
    <row r="358" spans="3:11" ht="12" customHeight="1">
      <c r="C358" s="891"/>
      <c r="D358" s="891"/>
      <c r="E358" s="891"/>
      <c r="F358" s="891"/>
      <c r="G358" s="891"/>
      <c r="H358" s="1088"/>
      <c r="I358" s="1088"/>
      <c r="J358" s="1088"/>
      <c r="K358" s="1088"/>
    </row>
    <row r="359" spans="3:11" ht="12" customHeight="1">
      <c r="C359" s="891"/>
      <c r="D359" s="891"/>
      <c r="E359" s="891"/>
      <c r="F359" s="891"/>
      <c r="G359" s="891"/>
      <c r="H359" s="1088"/>
      <c r="I359" s="1088"/>
      <c r="J359" s="1088"/>
      <c r="K359" s="1088"/>
    </row>
    <row r="360" spans="3:11" ht="12" customHeight="1">
      <c r="C360" s="891"/>
      <c r="D360" s="891"/>
      <c r="E360" s="891"/>
      <c r="F360" s="891"/>
      <c r="G360" s="891"/>
      <c r="H360" s="1088"/>
      <c r="I360" s="1088"/>
      <c r="J360" s="1088"/>
      <c r="K360" s="1088"/>
    </row>
    <row r="361" spans="3:11" ht="12" customHeight="1">
      <c r="C361" s="891"/>
      <c r="D361" s="891"/>
      <c r="E361" s="891"/>
      <c r="F361" s="891"/>
      <c r="G361" s="891"/>
      <c r="H361" s="1088"/>
      <c r="I361" s="1088"/>
      <c r="J361" s="1088"/>
      <c r="K361" s="1088"/>
    </row>
    <row r="362" spans="3:11" ht="12" customHeight="1">
      <c r="C362" s="891"/>
      <c r="D362" s="891"/>
      <c r="E362" s="891"/>
      <c r="F362" s="891"/>
      <c r="G362" s="891"/>
      <c r="H362" s="1088"/>
      <c r="I362" s="1088"/>
      <c r="J362" s="1088"/>
      <c r="K362" s="1088"/>
    </row>
    <row r="363" spans="3:11" ht="12" customHeight="1">
      <c r="C363" s="891"/>
      <c r="D363" s="891"/>
      <c r="E363" s="891"/>
      <c r="F363" s="891"/>
      <c r="G363" s="891"/>
      <c r="H363" s="1088"/>
      <c r="I363" s="1088"/>
      <c r="J363" s="1088"/>
      <c r="K363" s="1088"/>
    </row>
    <row r="364" spans="3:11" ht="12" customHeight="1">
      <c r="C364" s="891"/>
      <c r="D364" s="891"/>
      <c r="E364" s="891"/>
      <c r="F364" s="891"/>
      <c r="G364" s="891"/>
      <c r="H364" s="1088"/>
      <c r="I364" s="1088"/>
      <c r="J364" s="1088"/>
      <c r="K364" s="1088"/>
    </row>
    <row r="365" spans="3:11" ht="12" customHeight="1">
      <c r="C365" s="891"/>
      <c r="D365" s="891"/>
      <c r="E365" s="891"/>
      <c r="F365" s="891"/>
      <c r="G365" s="891"/>
      <c r="H365" s="1088"/>
      <c r="I365" s="1088"/>
      <c r="J365" s="1088"/>
      <c r="K365" s="1088"/>
    </row>
    <row r="366" spans="3:11" ht="12" customHeight="1">
      <c r="C366" s="891"/>
      <c r="D366" s="891"/>
      <c r="E366" s="891"/>
      <c r="F366" s="891"/>
      <c r="G366" s="891"/>
      <c r="H366" s="1088"/>
      <c r="I366" s="1088"/>
      <c r="J366" s="1088"/>
      <c r="K366" s="1088"/>
    </row>
    <row r="367" spans="3:11" ht="12" customHeight="1">
      <c r="C367" s="891"/>
      <c r="D367" s="891"/>
      <c r="E367" s="891"/>
      <c r="F367" s="891"/>
      <c r="G367" s="891"/>
      <c r="H367" s="1088"/>
      <c r="I367" s="1088"/>
      <c r="J367" s="1088"/>
      <c r="K367" s="1088"/>
    </row>
    <row r="368" spans="3:11" ht="12" customHeight="1">
      <c r="C368" s="891"/>
      <c r="D368" s="891"/>
      <c r="E368" s="891"/>
      <c r="F368" s="891"/>
      <c r="G368" s="891"/>
      <c r="H368" s="1088"/>
      <c r="I368" s="1088"/>
      <c r="J368" s="1088"/>
      <c r="K368" s="1088"/>
    </row>
    <row r="369" spans="3:11" ht="12" customHeight="1">
      <c r="C369" s="891"/>
      <c r="D369" s="891"/>
      <c r="E369" s="891"/>
      <c r="F369" s="891"/>
      <c r="G369" s="891"/>
      <c r="H369" s="1088"/>
      <c r="I369" s="1088"/>
      <c r="J369" s="1088"/>
      <c r="K369" s="1088"/>
    </row>
    <row r="370" spans="3:11" ht="12" customHeight="1">
      <c r="C370" s="891"/>
      <c r="D370" s="891"/>
      <c r="E370" s="891"/>
      <c r="F370" s="891"/>
      <c r="G370" s="891"/>
      <c r="H370" s="1088"/>
      <c r="I370" s="1088"/>
      <c r="J370" s="1088"/>
      <c r="K370" s="1088"/>
    </row>
    <row r="371" spans="3:11" ht="12" customHeight="1">
      <c r="C371" s="891"/>
      <c r="D371" s="891"/>
      <c r="E371" s="891"/>
      <c r="F371" s="891"/>
      <c r="G371" s="891"/>
      <c r="H371" s="1088"/>
      <c r="I371" s="1088"/>
      <c r="J371" s="1088"/>
      <c r="K371" s="1088"/>
    </row>
    <row r="372" spans="3:11" ht="12" customHeight="1">
      <c r="C372" s="891"/>
      <c r="D372" s="891"/>
      <c r="E372" s="891"/>
      <c r="F372" s="891"/>
      <c r="G372" s="891"/>
      <c r="H372" s="1088"/>
      <c r="I372" s="1088"/>
      <c r="J372" s="1088"/>
      <c r="K372" s="1088"/>
    </row>
    <row r="373" spans="3:11" ht="12" customHeight="1">
      <c r="C373" s="891"/>
      <c r="D373" s="891"/>
      <c r="E373" s="891"/>
      <c r="F373" s="891"/>
      <c r="G373" s="891"/>
      <c r="H373" s="1088"/>
      <c r="I373" s="1088"/>
      <c r="J373" s="1088"/>
      <c r="K373" s="1088"/>
    </row>
    <row r="374" spans="3:11" ht="12" customHeight="1">
      <c r="C374" s="891"/>
      <c r="D374" s="891"/>
      <c r="E374" s="891"/>
      <c r="F374" s="891"/>
      <c r="G374" s="891"/>
      <c r="H374" s="1088"/>
      <c r="I374" s="1088"/>
      <c r="J374" s="1088"/>
      <c r="K374" s="1088"/>
    </row>
    <row r="375" spans="3:11" ht="12" customHeight="1">
      <c r="C375" s="891"/>
      <c r="D375" s="891"/>
      <c r="E375" s="891"/>
      <c r="F375" s="891"/>
      <c r="G375" s="891"/>
      <c r="H375" s="1088"/>
      <c r="I375" s="1088"/>
      <c r="J375" s="1088"/>
      <c r="K375" s="1088"/>
    </row>
    <row r="376" spans="3:11" ht="12" customHeight="1">
      <c r="C376" s="891"/>
      <c r="D376" s="891"/>
      <c r="E376" s="891"/>
      <c r="F376" s="891"/>
      <c r="G376" s="891"/>
      <c r="H376" s="1088"/>
      <c r="I376" s="1088"/>
      <c r="J376" s="1088"/>
      <c r="K376" s="1088"/>
    </row>
    <row r="377" spans="3:11" ht="12" customHeight="1">
      <c r="C377" s="891"/>
      <c r="D377" s="891"/>
      <c r="E377" s="891"/>
      <c r="F377" s="891"/>
      <c r="G377" s="891"/>
      <c r="H377" s="1088"/>
      <c r="I377" s="1088"/>
      <c r="J377" s="1088"/>
      <c r="K377" s="1088"/>
    </row>
    <row r="378" spans="3:11" ht="12" customHeight="1">
      <c r="C378" s="891"/>
      <c r="D378" s="891"/>
      <c r="E378" s="891"/>
      <c r="F378" s="891"/>
      <c r="G378" s="891"/>
      <c r="H378" s="1088"/>
      <c r="I378" s="1088"/>
      <c r="J378" s="1088"/>
      <c r="K378" s="1088"/>
    </row>
    <row r="379" spans="3:11" ht="12" customHeight="1">
      <c r="C379" s="891"/>
      <c r="D379" s="891"/>
      <c r="E379" s="891"/>
      <c r="F379" s="891"/>
      <c r="G379" s="891"/>
      <c r="H379" s="1088"/>
      <c r="I379" s="1088"/>
      <c r="J379" s="1088"/>
      <c r="K379" s="1088"/>
    </row>
    <row r="380" spans="3:11" ht="12" customHeight="1">
      <c r="C380" s="891"/>
      <c r="D380" s="891"/>
      <c r="E380" s="891"/>
      <c r="F380" s="891"/>
      <c r="G380" s="891"/>
      <c r="H380" s="1088"/>
      <c r="I380" s="1088"/>
      <c r="J380" s="1088"/>
      <c r="K380" s="1088"/>
    </row>
    <row r="381" spans="3:11" ht="12" customHeight="1">
      <c r="C381" s="891"/>
      <c r="D381" s="891"/>
      <c r="E381" s="891"/>
      <c r="F381" s="891"/>
      <c r="G381" s="891"/>
      <c r="H381" s="1088"/>
      <c r="I381" s="1088"/>
      <c r="J381" s="1088"/>
      <c r="K381" s="1088"/>
    </row>
    <row r="382" spans="3:11" ht="12" customHeight="1">
      <c r="C382" s="891"/>
      <c r="D382" s="891"/>
      <c r="E382" s="891"/>
      <c r="F382" s="891"/>
      <c r="G382" s="891"/>
      <c r="H382" s="1088"/>
      <c r="I382" s="1088"/>
      <c r="J382" s="1088"/>
      <c r="K382" s="1088"/>
    </row>
    <row r="383" spans="3:11" ht="12" customHeight="1">
      <c r="C383" s="891"/>
      <c r="D383" s="891"/>
      <c r="E383" s="891"/>
      <c r="F383" s="891"/>
      <c r="G383" s="891"/>
      <c r="H383" s="1088"/>
      <c r="I383" s="1088"/>
      <c r="J383" s="1088"/>
      <c r="K383" s="1088"/>
    </row>
    <row r="384" spans="3:11" ht="12" customHeight="1">
      <c r="C384" s="891"/>
      <c r="D384" s="891"/>
      <c r="E384" s="891"/>
      <c r="F384" s="891"/>
      <c r="G384" s="891"/>
      <c r="H384" s="1088"/>
      <c r="I384" s="1088"/>
      <c r="J384" s="1088"/>
      <c r="K384" s="1088"/>
    </row>
    <row r="385" spans="3:11" ht="12" customHeight="1">
      <c r="C385" s="891"/>
      <c r="D385" s="891"/>
      <c r="E385" s="891"/>
      <c r="F385" s="891"/>
      <c r="G385" s="891"/>
      <c r="H385" s="1088"/>
      <c r="I385" s="1088"/>
      <c r="J385" s="1088"/>
      <c r="K385" s="1088"/>
    </row>
    <row r="386" spans="3:11" ht="12" customHeight="1">
      <c r="C386" s="891"/>
      <c r="D386" s="891"/>
      <c r="E386" s="891"/>
      <c r="F386" s="891"/>
      <c r="G386" s="891"/>
      <c r="H386" s="1088"/>
      <c r="I386" s="1088"/>
      <c r="J386" s="1088"/>
      <c r="K386" s="1088"/>
    </row>
    <row r="387" spans="3:11" ht="12" customHeight="1">
      <c r="C387" s="891"/>
      <c r="D387" s="891"/>
      <c r="E387" s="891"/>
      <c r="F387" s="891"/>
      <c r="G387" s="891"/>
      <c r="H387" s="1088"/>
      <c r="I387" s="1088"/>
      <c r="J387" s="1088"/>
      <c r="K387" s="1088"/>
    </row>
    <row r="388" spans="3:11" ht="12" customHeight="1">
      <c r="C388" s="891"/>
      <c r="D388" s="891"/>
      <c r="E388" s="891"/>
      <c r="F388" s="891"/>
      <c r="G388" s="891"/>
      <c r="H388" s="1088"/>
      <c r="I388" s="1088"/>
      <c r="J388" s="1088"/>
      <c r="K388" s="1088"/>
    </row>
    <row r="389" spans="3:11" ht="12" customHeight="1">
      <c r="C389" s="891"/>
      <c r="D389" s="891"/>
      <c r="E389" s="891"/>
      <c r="F389" s="891"/>
      <c r="G389" s="891"/>
      <c r="H389" s="1088"/>
      <c r="I389" s="1088"/>
      <c r="J389" s="1088"/>
      <c r="K389" s="1088"/>
    </row>
    <row r="390" spans="3:11" ht="12" customHeight="1">
      <c r="C390" s="891"/>
      <c r="D390" s="891"/>
      <c r="E390" s="891"/>
      <c r="F390" s="891"/>
      <c r="G390" s="891"/>
      <c r="H390" s="1088"/>
      <c r="I390" s="1088"/>
      <c r="J390" s="1088"/>
      <c r="K390" s="1088"/>
    </row>
    <row r="391" spans="3:11" ht="12" customHeight="1">
      <c r="C391" s="891"/>
      <c r="D391" s="891"/>
      <c r="E391" s="891"/>
      <c r="F391" s="891"/>
      <c r="G391" s="891"/>
      <c r="H391" s="1088"/>
      <c r="I391" s="1088"/>
      <c r="J391" s="1088"/>
      <c r="K391" s="1088"/>
    </row>
    <row r="392" spans="3:11" ht="12" customHeight="1">
      <c r="C392" s="891"/>
      <c r="D392" s="891"/>
      <c r="E392" s="891"/>
      <c r="F392" s="891"/>
      <c r="G392" s="891"/>
      <c r="H392" s="1088"/>
      <c r="I392" s="1088"/>
      <c r="J392" s="1088"/>
      <c r="K392" s="1088"/>
    </row>
    <row r="393" spans="3:11" ht="12" customHeight="1">
      <c r="C393" s="891"/>
      <c r="D393" s="891"/>
      <c r="E393" s="891"/>
      <c r="F393" s="891"/>
      <c r="G393" s="891"/>
      <c r="H393" s="1088"/>
      <c r="I393" s="1088"/>
      <c r="J393" s="1088"/>
      <c r="K393" s="1088"/>
    </row>
    <row r="394" spans="3:11" ht="12" customHeight="1">
      <c r="C394" s="891"/>
      <c r="D394" s="891"/>
      <c r="E394" s="891"/>
      <c r="F394" s="891"/>
      <c r="G394" s="891"/>
      <c r="H394" s="1088"/>
      <c r="I394" s="1088"/>
      <c r="J394" s="1088"/>
      <c r="K394" s="1088"/>
    </row>
    <row r="395" spans="3:11" ht="12" customHeight="1">
      <c r="C395" s="891"/>
      <c r="D395" s="891"/>
      <c r="E395" s="891"/>
      <c r="F395" s="891"/>
      <c r="G395" s="891"/>
      <c r="H395" s="1088"/>
      <c r="I395" s="1088"/>
      <c r="J395" s="1088"/>
      <c r="K395" s="1088"/>
    </row>
    <row r="396" spans="3:11" ht="12" customHeight="1">
      <c r="C396" s="891"/>
      <c r="D396" s="891"/>
      <c r="E396" s="891"/>
      <c r="F396" s="891"/>
      <c r="G396" s="891"/>
      <c r="H396" s="1088"/>
      <c r="I396" s="1088"/>
      <c r="J396" s="1088"/>
      <c r="K396" s="1088"/>
    </row>
    <row r="397" spans="3:11" ht="12" customHeight="1">
      <c r="C397" s="891"/>
      <c r="D397" s="891"/>
      <c r="E397" s="891"/>
      <c r="F397" s="891"/>
      <c r="G397" s="891"/>
      <c r="H397" s="1088"/>
      <c r="I397" s="1088"/>
      <c r="J397" s="1088"/>
      <c r="K397" s="1088"/>
    </row>
    <row r="398" spans="3:11" ht="12" customHeight="1">
      <c r="C398" s="891"/>
      <c r="D398" s="891"/>
      <c r="E398" s="891"/>
      <c r="F398" s="891"/>
      <c r="G398" s="891"/>
      <c r="H398" s="1088"/>
      <c r="I398" s="1088"/>
      <c r="J398" s="1088"/>
      <c r="K398" s="1088"/>
    </row>
    <row r="399" spans="3:11" ht="12" customHeight="1">
      <c r="C399" s="891"/>
      <c r="D399" s="891"/>
      <c r="E399" s="891"/>
      <c r="F399" s="891"/>
      <c r="G399" s="891"/>
      <c r="H399" s="1088"/>
      <c r="I399" s="1088"/>
      <c r="J399" s="1088"/>
      <c r="K399" s="1088"/>
    </row>
    <row r="400" spans="3:11" ht="12" customHeight="1">
      <c r="C400" s="891"/>
      <c r="D400" s="891"/>
      <c r="E400" s="891"/>
      <c r="F400" s="891"/>
      <c r="G400" s="891"/>
      <c r="H400" s="1088"/>
      <c r="I400" s="1088"/>
      <c r="J400" s="1088"/>
      <c r="K400" s="1088"/>
    </row>
    <row r="401" spans="3:11" ht="12" customHeight="1">
      <c r="C401" s="891"/>
      <c r="D401" s="891"/>
      <c r="E401" s="891"/>
      <c r="F401" s="891"/>
      <c r="G401" s="891"/>
      <c r="H401" s="1088"/>
      <c r="I401" s="1088"/>
      <c r="J401" s="1088"/>
      <c r="K401" s="1088"/>
    </row>
    <row r="402" spans="3:11" ht="12" customHeight="1">
      <c r="C402" s="891"/>
      <c r="D402" s="891"/>
      <c r="E402" s="891"/>
      <c r="F402" s="891"/>
      <c r="G402" s="891"/>
      <c r="H402" s="1088"/>
      <c r="I402" s="1088"/>
      <c r="J402" s="1088"/>
      <c r="K402" s="1088"/>
    </row>
    <row r="403" spans="3:11" ht="12" customHeight="1">
      <c r="C403" s="891"/>
      <c r="D403" s="891"/>
      <c r="E403" s="891"/>
      <c r="F403" s="891"/>
      <c r="G403" s="891"/>
      <c r="H403" s="1088"/>
      <c r="I403" s="1088"/>
      <c r="J403" s="1088"/>
      <c r="K403" s="1088"/>
    </row>
    <row r="404" spans="3:11" ht="12" customHeight="1">
      <c r="C404" s="891"/>
      <c r="D404" s="891"/>
      <c r="E404" s="891"/>
      <c r="F404" s="891"/>
      <c r="G404" s="891"/>
      <c r="H404" s="1088"/>
      <c r="I404" s="1088"/>
      <c r="J404" s="1088"/>
      <c r="K404" s="1088"/>
    </row>
    <row r="405" spans="3:11" ht="12" customHeight="1">
      <c r="C405" s="891"/>
      <c r="D405" s="891"/>
      <c r="E405" s="891"/>
      <c r="F405" s="891"/>
      <c r="G405" s="891"/>
      <c r="H405" s="1088"/>
      <c r="I405" s="1088"/>
      <c r="J405" s="1088"/>
      <c r="K405" s="1088"/>
    </row>
    <row r="406" spans="3:11" ht="12" customHeight="1">
      <c r="C406" s="891"/>
      <c r="D406" s="891"/>
      <c r="E406" s="891"/>
      <c r="F406" s="891"/>
      <c r="G406" s="891"/>
      <c r="H406" s="1088"/>
      <c r="I406" s="1088"/>
      <c r="J406" s="1088"/>
      <c r="K406" s="1088"/>
    </row>
    <row r="407" spans="3:11" ht="12" customHeight="1">
      <c r="C407" s="891"/>
      <c r="D407" s="891"/>
      <c r="E407" s="891"/>
      <c r="F407" s="891"/>
      <c r="G407" s="891"/>
      <c r="H407" s="1088"/>
      <c r="I407" s="1088"/>
      <c r="J407" s="1088"/>
      <c r="K407" s="1088"/>
    </row>
    <row r="408" spans="3:11" ht="12" customHeight="1">
      <c r="C408" s="891"/>
      <c r="D408" s="891"/>
      <c r="E408" s="891"/>
      <c r="F408" s="891"/>
      <c r="G408" s="891"/>
      <c r="H408" s="1088"/>
      <c r="I408" s="1088"/>
      <c r="J408" s="1088"/>
      <c r="K408" s="1088"/>
    </row>
    <row r="409" spans="3:11" ht="12" customHeight="1">
      <c r="C409" s="891"/>
      <c r="D409" s="891"/>
      <c r="E409" s="891"/>
      <c r="F409" s="891"/>
      <c r="G409" s="891"/>
      <c r="H409" s="1088"/>
      <c r="I409" s="1088"/>
      <c r="J409" s="1088"/>
      <c r="K409" s="1088"/>
    </row>
    <row r="410" spans="3:11" ht="12" customHeight="1">
      <c r="C410" s="891"/>
      <c r="D410" s="891"/>
      <c r="E410" s="891"/>
      <c r="F410" s="891"/>
      <c r="G410" s="891"/>
      <c r="H410" s="1088"/>
      <c r="I410" s="1088"/>
      <c r="J410" s="1088"/>
      <c r="K410" s="1088"/>
    </row>
    <row r="411" spans="3:11" ht="12" customHeight="1">
      <c r="C411" s="891"/>
      <c r="D411" s="891"/>
      <c r="E411" s="891"/>
      <c r="F411" s="891"/>
      <c r="G411" s="891"/>
      <c r="H411" s="1088"/>
      <c r="I411" s="1088"/>
      <c r="J411" s="1088"/>
      <c r="K411" s="1088"/>
    </row>
    <row r="412" spans="3:11" ht="12" customHeight="1">
      <c r="C412" s="891"/>
      <c r="D412" s="891"/>
      <c r="E412" s="891"/>
      <c r="F412" s="891"/>
      <c r="G412" s="891"/>
      <c r="H412" s="1088"/>
      <c r="I412" s="1088"/>
      <c r="J412" s="1088"/>
      <c r="K412" s="1088"/>
    </row>
    <row r="413" spans="3:11" ht="12" customHeight="1">
      <c r="C413" s="891"/>
      <c r="D413" s="891"/>
      <c r="E413" s="891"/>
      <c r="F413" s="891"/>
      <c r="G413" s="891"/>
      <c r="H413" s="1088"/>
      <c r="I413" s="1088"/>
      <c r="J413" s="1088"/>
      <c r="K413" s="1088"/>
    </row>
    <row r="414" spans="3:11" ht="12" customHeight="1">
      <c r="C414" s="891"/>
      <c r="D414" s="891"/>
      <c r="E414" s="891"/>
      <c r="F414" s="891"/>
      <c r="G414" s="891"/>
      <c r="H414" s="1088"/>
      <c r="I414" s="1088"/>
      <c r="J414" s="1088"/>
      <c r="K414" s="1088"/>
    </row>
    <row r="415" spans="3:11" ht="12" customHeight="1">
      <c r="C415" s="891"/>
      <c r="D415" s="891"/>
      <c r="E415" s="891"/>
      <c r="F415" s="891"/>
      <c r="G415" s="891"/>
      <c r="H415" s="1088"/>
      <c r="I415" s="1088"/>
      <c r="J415" s="1088"/>
      <c r="K415" s="1088"/>
    </row>
    <row r="416" spans="3:11" ht="12" customHeight="1">
      <c r="C416" s="891"/>
      <c r="D416" s="891"/>
      <c r="E416" s="891"/>
      <c r="F416" s="891"/>
      <c r="G416" s="891"/>
      <c r="H416" s="1088"/>
      <c r="I416" s="1088"/>
      <c r="J416" s="1088"/>
      <c r="K416" s="1088"/>
    </row>
    <row r="417" spans="3:11" ht="12" customHeight="1">
      <c r="C417" s="891"/>
      <c r="D417" s="891"/>
      <c r="E417" s="891"/>
      <c r="F417" s="891"/>
      <c r="G417" s="891"/>
      <c r="H417" s="1088"/>
      <c r="I417" s="1088"/>
      <c r="J417" s="1088"/>
      <c r="K417" s="1088"/>
    </row>
    <row r="418" spans="3:11" ht="12" customHeight="1">
      <c r="C418" s="891"/>
      <c r="D418" s="891"/>
      <c r="E418" s="891"/>
      <c r="F418" s="891"/>
      <c r="G418" s="891"/>
      <c r="H418" s="1088"/>
      <c r="I418" s="1088"/>
      <c r="J418" s="1088"/>
      <c r="K418" s="1088"/>
    </row>
    <row r="419" spans="3:11" ht="12" customHeight="1">
      <c r="C419" s="891"/>
      <c r="D419" s="891"/>
      <c r="E419" s="891"/>
      <c r="F419" s="891"/>
      <c r="G419" s="891"/>
      <c r="H419" s="1088"/>
      <c r="I419" s="1088"/>
      <c r="J419" s="1088"/>
      <c r="K419" s="1088"/>
    </row>
    <row r="420" spans="3:11" ht="12" customHeight="1">
      <c r="C420" s="891"/>
      <c r="D420" s="891"/>
      <c r="E420" s="891"/>
      <c r="F420" s="891"/>
      <c r="G420" s="891"/>
      <c r="H420" s="1088"/>
      <c r="I420" s="1088"/>
      <c r="J420" s="1088"/>
      <c r="K420" s="1088"/>
    </row>
    <row r="421" spans="3:11" ht="12" customHeight="1">
      <c r="C421" s="891"/>
      <c r="D421" s="891"/>
      <c r="E421" s="891"/>
      <c r="F421" s="891"/>
      <c r="G421" s="891"/>
      <c r="H421" s="1088"/>
      <c r="I421" s="1088"/>
      <c r="J421" s="1088"/>
      <c r="K421" s="1088"/>
    </row>
    <row r="422" spans="3:11" ht="12" customHeight="1">
      <c r="C422" s="891"/>
      <c r="D422" s="891"/>
      <c r="E422" s="891"/>
      <c r="F422" s="891"/>
      <c r="G422" s="891"/>
      <c r="H422" s="1088"/>
      <c r="I422" s="1088"/>
      <c r="J422" s="1088"/>
      <c r="K422" s="1088"/>
    </row>
    <row r="423" spans="3:11" ht="12" customHeight="1">
      <c r="C423" s="891"/>
      <c r="D423" s="891"/>
      <c r="E423" s="891"/>
      <c r="F423" s="891"/>
      <c r="G423" s="891"/>
      <c r="H423" s="1088"/>
      <c r="I423" s="1088"/>
      <c r="J423" s="1088"/>
      <c r="K423" s="1088"/>
    </row>
    <row r="424" spans="3:11" ht="12" customHeight="1">
      <c r="C424" s="891"/>
      <c r="D424" s="891"/>
      <c r="E424" s="891"/>
      <c r="F424" s="891"/>
      <c r="G424" s="891"/>
      <c r="H424" s="1088"/>
      <c r="I424" s="1088"/>
      <c r="J424" s="1088"/>
      <c r="K424" s="1088"/>
    </row>
    <row r="425" spans="3:11" ht="12" customHeight="1">
      <c r="C425" s="891"/>
      <c r="D425" s="891"/>
      <c r="E425" s="891"/>
      <c r="F425" s="891"/>
      <c r="G425" s="891"/>
      <c r="H425" s="1088"/>
      <c r="I425" s="1088"/>
      <c r="J425" s="1088"/>
      <c r="K425" s="1088"/>
    </row>
    <row r="426" spans="3:11" ht="12" customHeight="1">
      <c r="C426" s="891"/>
      <c r="D426" s="891"/>
      <c r="E426" s="891"/>
      <c r="F426" s="891"/>
      <c r="G426" s="891"/>
      <c r="H426" s="1088"/>
      <c r="I426" s="1088"/>
      <c r="J426" s="1088"/>
      <c r="K426" s="1088"/>
    </row>
    <row r="427" spans="3:11" ht="12" customHeight="1">
      <c r="C427" s="891"/>
      <c r="D427" s="891"/>
      <c r="E427" s="891"/>
      <c r="F427" s="891"/>
      <c r="G427" s="891"/>
      <c r="H427" s="1088"/>
      <c r="I427" s="1088"/>
      <c r="J427" s="1088"/>
      <c r="K427" s="1088"/>
    </row>
    <row r="428" spans="3:11" ht="12" customHeight="1">
      <c r="C428" s="891"/>
      <c r="D428" s="891"/>
      <c r="E428" s="891"/>
      <c r="F428" s="891"/>
      <c r="G428" s="891"/>
      <c r="H428" s="1088"/>
      <c r="I428" s="1088"/>
      <c r="J428" s="1088"/>
      <c r="K428" s="1088"/>
    </row>
    <row r="429" spans="3:11" ht="12" customHeight="1">
      <c r="C429" s="891"/>
      <c r="D429" s="891"/>
      <c r="E429" s="891"/>
      <c r="F429" s="891"/>
      <c r="G429" s="891"/>
      <c r="H429" s="1088"/>
      <c r="I429" s="1088"/>
      <c r="J429" s="1088"/>
      <c r="K429" s="1088"/>
    </row>
    <row r="430" spans="3:11" ht="12" customHeight="1">
      <c r="C430" s="891"/>
      <c r="D430" s="891"/>
      <c r="E430" s="891"/>
      <c r="F430" s="891"/>
      <c r="G430" s="891"/>
      <c r="H430" s="1088"/>
      <c r="I430" s="1088"/>
      <c r="J430" s="1088"/>
      <c r="K430" s="1088"/>
    </row>
    <row r="431" spans="3:11" ht="12" customHeight="1">
      <c r="C431" s="891"/>
      <c r="D431" s="891"/>
      <c r="E431" s="891"/>
      <c r="F431" s="891"/>
      <c r="G431" s="891"/>
      <c r="H431" s="1088"/>
      <c r="I431" s="1088"/>
      <c r="J431" s="1088"/>
      <c r="K431" s="1088"/>
    </row>
    <row r="432" spans="3:11" ht="12" customHeight="1">
      <c r="C432" s="891"/>
      <c r="D432" s="891"/>
      <c r="E432" s="891"/>
      <c r="F432" s="891"/>
      <c r="G432" s="891"/>
      <c r="H432" s="1088"/>
      <c r="I432" s="1088"/>
      <c r="J432" s="1088"/>
      <c r="K432" s="1088"/>
    </row>
    <row r="433" spans="3:11" ht="12" customHeight="1">
      <c r="C433" s="891"/>
      <c r="D433" s="891"/>
      <c r="E433" s="891"/>
      <c r="F433" s="891"/>
      <c r="G433" s="891"/>
      <c r="H433" s="1088"/>
      <c r="I433" s="1088"/>
      <c r="J433" s="1088"/>
      <c r="K433" s="1088"/>
    </row>
    <row r="434" spans="3:11" ht="12" customHeight="1">
      <c r="C434" s="891"/>
      <c r="D434" s="891"/>
      <c r="E434" s="891"/>
      <c r="F434" s="891"/>
      <c r="G434" s="891"/>
      <c r="H434" s="1088"/>
      <c r="I434" s="1088"/>
      <c r="J434" s="1088"/>
      <c r="K434" s="1088"/>
    </row>
    <row r="435" spans="3:11" ht="12" customHeight="1">
      <c r="C435" s="891"/>
      <c r="D435" s="891"/>
      <c r="E435" s="891"/>
      <c r="F435" s="891"/>
      <c r="G435" s="891"/>
      <c r="H435" s="1088"/>
      <c r="I435" s="1088"/>
      <c r="J435" s="1088"/>
      <c r="K435" s="1088"/>
    </row>
    <row r="436" spans="3:11" ht="12" customHeight="1">
      <c r="C436" s="891"/>
      <c r="D436" s="891"/>
      <c r="E436" s="891"/>
      <c r="F436" s="891"/>
      <c r="G436" s="891"/>
      <c r="H436" s="1088"/>
      <c r="I436" s="1088"/>
      <c r="J436" s="1088"/>
      <c r="K436" s="1088"/>
    </row>
    <row r="437" spans="3:11" ht="12" customHeight="1">
      <c r="C437" s="891"/>
      <c r="D437" s="891"/>
      <c r="E437" s="891"/>
      <c r="F437" s="891"/>
      <c r="G437" s="891"/>
      <c r="H437" s="1088"/>
      <c r="I437" s="1088"/>
      <c r="J437" s="1088"/>
      <c r="K437" s="1088"/>
    </row>
    <row r="438" spans="3:11" ht="12" customHeight="1">
      <c r="C438" s="891"/>
      <c r="D438" s="891"/>
      <c r="E438" s="891"/>
      <c r="F438" s="891"/>
      <c r="G438" s="891"/>
      <c r="H438" s="1088"/>
      <c r="I438" s="1088"/>
      <c r="J438" s="1088"/>
      <c r="K438" s="1088"/>
    </row>
    <row r="439" spans="3:11" ht="12" customHeight="1">
      <c r="C439" s="891"/>
      <c r="D439" s="891"/>
      <c r="E439" s="891"/>
      <c r="F439" s="891"/>
      <c r="G439" s="891"/>
      <c r="H439" s="1088"/>
      <c r="I439" s="1088"/>
      <c r="J439" s="1088"/>
      <c r="K439" s="1088"/>
    </row>
    <row r="440" spans="3:11" ht="12" customHeight="1">
      <c r="C440" s="891"/>
      <c r="D440" s="891"/>
      <c r="E440" s="891"/>
      <c r="F440" s="891"/>
      <c r="G440" s="891"/>
      <c r="H440" s="1088"/>
      <c r="I440" s="1088"/>
      <c r="J440" s="1088"/>
      <c r="K440" s="1088"/>
    </row>
    <row r="441" spans="3:11" ht="12" customHeight="1">
      <c r="C441" s="891"/>
      <c r="D441" s="891"/>
      <c r="E441" s="891"/>
      <c r="F441" s="891"/>
      <c r="G441" s="891"/>
      <c r="H441" s="1088"/>
      <c r="I441" s="1088"/>
      <c r="J441" s="1088"/>
      <c r="K441" s="1088"/>
    </row>
    <row r="442" spans="3:11" ht="12" customHeight="1">
      <c r="C442" s="891"/>
      <c r="D442" s="891"/>
      <c r="E442" s="891"/>
      <c r="F442" s="891"/>
      <c r="G442" s="891"/>
      <c r="H442" s="1088"/>
      <c r="I442" s="1088"/>
      <c r="J442" s="1088"/>
      <c r="K442" s="1088"/>
    </row>
    <row r="443" spans="3:11" ht="12" customHeight="1">
      <c r="C443" s="891"/>
      <c r="D443" s="891"/>
      <c r="E443" s="891"/>
      <c r="F443" s="891"/>
      <c r="G443" s="891"/>
      <c r="H443" s="1088"/>
      <c r="I443" s="1088"/>
      <c r="J443" s="1088"/>
      <c r="K443" s="1088"/>
    </row>
    <row r="444" spans="3:11" ht="12" customHeight="1">
      <c r="C444" s="891"/>
      <c r="D444" s="891"/>
      <c r="E444" s="891"/>
      <c r="F444" s="891"/>
      <c r="G444" s="891"/>
      <c r="H444" s="1088"/>
      <c r="I444" s="1088"/>
      <c r="J444" s="1088"/>
      <c r="K444" s="1088"/>
    </row>
    <row r="445" spans="3:11" ht="12" customHeight="1">
      <c r="C445" s="891"/>
      <c r="D445" s="891"/>
      <c r="E445" s="891"/>
      <c r="F445" s="891"/>
      <c r="G445" s="891"/>
      <c r="H445" s="1088"/>
      <c r="I445" s="1088"/>
      <c r="J445" s="1088"/>
      <c r="K445" s="1088"/>
    </row>
    <row r="446" spans="3:11" ht="12" customHeight="1">
      <c r="C446" s="891"/>
      <c r="D446" s="891"/>
      <c r="E446" s="891"/>
      <c r="F446" s="891"/>
      <c r="G446" s="891"/>
      <c r="H446" s="1088"/>
      <c r="I446" s="1088"/>
      <c r="J446" s="1088"/>
      <c r="K446" s="1088"/>
    </row>
    <row r="447" spans="3:11" ht="12" customHeight="1">
      <c r="C447" s="891"/>
      <c r="D447" s="891"/>
      <c r="E447" s="891"/>
      <c r="F447" s="891"/>
      <c r="G447" s="891"/>
      <c r="H447" s="1088"/>
      <c r="I447" s="1088"/>
      <c r="J447" s="1088"/>
      <c r="K447" s="1088"/>
    </row>
    <row r="448" spans="3:11" ht="12" customHeight="1">
      <c r="C448" s="891"/>
      <c r="D448" s="891"/>
      <c r="E448" s="891"/>
      <c r="F448" s="891"/>
      <c r="G448" s="891"/>
      <c r="H448" s="1088"/>
      <c r="I448" s="1088"/>
      <c r="J448" s="1088"/>
      <c r="K448" s="1088"/>
    </row>
    <row r="449" spans="3:11" ht="12" customHeight="1">
      <c r="C449" s="891"/>
      <c r="D449" s="891"/>
      <c r="E449" s="891"/>
      <c r="F449" s="891"/>
      <c r="G449" s="891"/>
      <c r="H449" s="1088"/>
      <c r="I449" s="1088"/>
      <c r="J449" s="1088"/>
      <c r="K449" s="1088"/>
    </row>
    <row r="450" spans="3:11" ht="12" customHeight="1">
      <c r="C450" s="891"/>
      <c r="D450" s="891"/>
      <c r="E450" s="891"/>
      <c r="F450" s="891"/>
      <c r="G450" s="891"/>
      <c r="H450" s="1088"/>
      <c r="I450" s="1088"/>
      <c r="J450" s="1088"/>
      <c r="K450" s="1088"/>
    </row>
    <row r="451" spans="3:11" ht="12" customHeight="1">
      <c r="C451" s="891"/>
      <c r="D451" s="891"/>
      <c r="E451" s="891"/>
      <c r="F451" s="891"/>
      <c r="G451" s="891"/>
      <c r="H451" s="1088"/>
      <c r="I451" s="1088"/>
      <c r="J451" s="1088"/>
      <c r="K451" s="1088"/>
    </row>
    <row r="452" spans="3:11" ht="12" customHeight="1">
      <c r="C452" s="891"/>
      <c r="D452" s="891"/>
      <c r="E452" s="891"/>
      <c r="F452" s="891"/>
      <c r="G452" s="891"/>
      <c r="H452" s="1088"/>
      <c r="I452" s="1088"/>
      <c r="J452" s="1088"/>
      <c r="K452" s="1088"/>
    </row>
    <row r="453" spans="3:11" ht="12" customHeight="1">
      <c r="C453" s="891"/>
      <c r="D453" s="891"/>
      <c r="E453" s="891"/>
      <c r="F453" s="891"/>
      <c r="G453" s="891"/>
      <c r="H453" s="1088"/>
      <c r="I453" s="1088"/>
      <c r="J453" s="1088"/>
      <c r="K453" s="1088"/>
    </row>
    <row r="454" spans="3:11" ht="12" customHeight="1">
      <c r="C454" s="891"/>
      <c r="D454" s="891"/>
      <c r="E454" s="891"/>
      <c r="F454" s="891"/>
      <c r="G454" s="891"/>
      <c r="H454" s="1088"/>
      <c r="I454" s="1088"/>
      <c r="J454" s="1088"/>
      <c r="K454" s="1088"/>
    </row>
    <row r="455" spans="3:11" ht="12" customHeight="1">
      <c r="C455" s="891"/>
      <c r="D455" s="891"/>
      <c r="E455" s="891"/>
      <c r="F455" s="891"/>
      <c r="G455" s="891"/>
      <c r="H455" s="1088"/>
      <c r="I455" s="1088"/>
      <c r="J455" s="1088"/>
      <c r="K455" s="1088"/>
    </row>
    <row r="456" spans="3:11" ht="12" customHeight="1">
      <c r="C456" s="891"/>
      <c r="D456" s="891"/>
      <c r="E456" s="891"/>
      <c r="F456" s="891"/>
      <c r="G456" s="891"/>
      <c r="H456" s="1088"/>
      <c r="I456" s="1088"/>
      <c r="J456" s="1088"/>
      <c r="K456" s="1088"/>
    </row>
    <row r="457" spans="3:11" ht="12" customHeight="1">
      <c r="C457" s="891"/>
      <c r="D457" s="891"/>
      <c r="E457" s="891"/>
      <c r="F457" s="891"/>
      <c r="G457" s="891"/>
      <c r="H457" s="1088"/>
      <c r="I457" s="1088"/>
      <c r="J457" s="1088"/>
      <c r="K457" s="1088"/>
    </row>
    <row r="458" spans="3:11" ht="12" customHeight="1">
      <c r="C458" s="891"/>
      <c r="D458" s="891"/>
      <c r="E458" s="891"/>
      <c r="F458" s="891"/>
      <c r="G458" s="891"/>
      <c r="H458" s="1088"/>
      <c r="I458" s="1088"/>
      <c r="J458" s="1088"/>
      <c r="K458" s="1088"/>
    </row>
    <row r="459" spans="3:11" ht="12" customHeight="1">
      <c r="C459" s="891"/>
      <c r="D459" s="891"/>
      <c r="E459" s="891"/>
      <c r="F459" s="891"/>
      <c r="G459" s="891"/>
      <c r="H459" s="1088"/>
      <c r="I459" s="1088"/>
      <c r="J459" s="1088"/>
      <c r="K459" s="1088"/>
    </row>
    <row r="460" spans="3:11" ht="12" customHeight="1">
      <c r="C460" s="891"/>
      <c r="D460" s="891"/>
      <c r="E460" s="891"/>
      <c r="F460" s="891"/>
      <c r="G460" s="891"/>
      <c r="H460" s="1088"/>
      <c r="I460" s="1088"/>
      <c r="J460" s="1088"/>
      <c r="K460" s="1088"/>
    </row>
    <row r="461" spans="3:11" ht="12" customHeight="1">
      <c r="C461" s="891"/>
      <c r="D461" s="891"/>
      <c r="E461" s="891"/>
      <c r="F461" s="891"/>
      <c r="G461" s="891"/>
      <c r="H461" s="1088"/>
      <c r="I461" s="1088"/>
      <c r="J461" s="1088"/>
      <c r="K461" s="1088"/>
    </row>
    <row r="462" spans="3:11" ht="12" customHeight="1">
      <c r="C462" s="891"/>
      <c r="D462" s="891"/>
      <c r="E462" s="891"/>
      <c r="F462" s="891"/>
      <c r="G462" s="891"/>
      <c r="H462" s="1088"/>
      <c r="I462" s="1088"/>
      <c r="J462" s="1088"/>
      <c r="K462" s="1088"/>
    </row>
    <row r="463" spans="3:11" ht="12" customHeight="1">
      <c r="C463" s="891"/>
      <c r="D463" s="891"/>
      <c r="E463" s="891"/>
      <c r="F463" s="891"/>
      <c r="G463" s="891"/>
      <c r="H463" s="1088"/>
      <c r="I463" s="1088"/>
      <c r="J463" s="1088"/>
      <c r="K463" s="1088"/>
    </row>
    <row r="464" spans="3:11" ht="12" customHeight="1">
      <c r="C464" s="891"/>
      <c r="D464" s="891"/>
      <c r="E464" s="891"/>
      <c r="F464" s="891"/>
      <c r="G464" s="891"/>
      <c r="H464" s="1088"/>
      <c r="I464" s="1088"/>
      <c r="J464" s="1088"/>
      <c r="K464" s="1088"/>
    </row>
    <row r="465" spans="3:11" ht="12" customHeight="1">
      <c r="C465" s="891"/>
      <c r="D465" s="891"/>
      <c r="E465" s="891"/>
      <c r="F465" s="891"/>
      <c r="G465" s="891"/>
      <c r="H465" s="1088"/>
      <c r="I465" s="1088"/>
      <c r="J465" s="1088"/>
      <c r="K465" s="1088"/>
    </row>
    <row r="466" spans="3:11" ht="12" customHeight="1">
      <c r="C466" s="891"/>
      <c r="D466" s="891"/>
      <c r="E466" s="891"/>
      <c r="F466" s="891"/>
      <c r="G466" s="891"/>
      <c r="H466" s="1088"/>
      <c r="I466" s="1088"/>
      <c r="J466" s="1088"/>
      <c r="K466" s="1088"/>
    </row>
    <row r="467" spans="3:11" ht="12" customHeight="1">
      <c r="C467" s="891"/>
      <c r="D467" s="891"/>
      <c r="E467" s="891"/>
      <c r="F467" s="891"/>
      <c r="G467" s="891"/>
      <c r="H467" s="1088"/>
      <c r="I467" s="1088"/>
      <c r="J467" s="1088"/>
      <c r="K467" s="1088"/>
    </row>
    <row r="468" spans="3:11" ht="12" customHeight="1">
      <c r="C468" s="891"/>
      <c r="D468" s="891"/>
      <c r="E468" s="891"/>
      <c r="F468" s="891"/>
      <c r="G468" s="891"/>
      <c r="H468" s="1088"/>
      <c r="I468" s="1088"/>
      <c r="J468" s="1088"/>
      <c r="K468" s="1088"/>
    </row>
    <row r="469" spans="3:11" ht="12" customHeight="1">
      <c r="C469" s="891"/>
      <c r="D469" s="891"/>
      <c r="E469" s="891"/>
      <c r="F469" s="891"/>
      <c r="G469" s="891"/>
      <c r="H469" s="1088"/>
      <c r="I469" s="1088"/>
      <c r="J469" s="1088"/>
      <c r="K469" s="1088"/>
    </row>
    <row r="470" spans="3:11" ht="12" customHeight="1">
      <c r="C470" s="891"/>
      <c r="D470" s="891"/>
      <c r="E470" s="891"/>
      <c r="F470" s="891"/>
      <c r="G470" s="891"/>
      <c r="H470" s="1088"/>
      <c r="I470" s="1088"/>
      <c r="J470" s="1088"/>
      <c r="K470" s="1088"/>
    </row>
    <row r="471" spans="3:11" ht="12" customHeight="1">
      <c r="C471" s="891"/>
      <c r="D471" s="891"/>
      <c r="E471" s="891"/>
      <c r="F471" s="891"/>
      <c r="G471" s="891"/>
      <c r="H471" s="1088"/>
      <c r="I471" s="1088"/>
      <c r="J471" s="1088"/>
      <c r="K471" s="1088"/>
    </row>
    <row r="472" spans="3:11" ht="12" customHeight="1">
      <c r="C472" s="891"/>
      <c r="D472" s="891"/>
      <c r="E472" s="891"/>
      <c r="F472" s="891"/>
      <c r="G472" s="891"/>
      <c r="H472" s="1088"/>
      <c r="I472" s="1088"/>
      <c r="J472" s="1088"/>
      <c r="K472" s="1088"/>
    </row>
    <row r="473" spans="3:11" ht="12" customHeight="1">
      <c r="C473" s="891"/>
      <c r="D473" s="891"/>
      <c r="E473" s="891"/>
      <c r="F473" s="891"/>
      <c r="G473" s="891"/>
      <c r="H473" s="1088"/>
      <c r="I473" s="1088"/>
      <c r="J473" s="1088"/>
      <c r="K473" s="1088"/>
    </row>
    <row r="474" spans="3:11" ht="12" customHeight="1">
      <c r="C474" s="891"/>
      <c r="D474" s="891"/>
      <c r="E474" s="891"/>
      <c r="F474" s="891"/>
      <c r="G474" s="891"/>
      <c r="H474" s="1088"/>
      <c r="I474" s="1088"/>
      <c r="J474" s="1088"/>
      <c r="K474" s="1088"/>
    </row>
    <row r="475" spans="3:11" ht="12" customHeight="1">
      <c r="C475" s="891"/>
      <c r="D475" s="891"/>
      <c r="E475" s="891"/>
      <c r="F475" s="891"/>
      <c r="G475" s="891"/>
      <c r="H475" s="1088"/>
      <c r="I475" s="1088"/>
      <c r="J475" s="1088"/>
      <c r="K475" s="1088"/>
    </row>
    <row r="476" spans="3:11" ht="12" customHeight="1">
      <c r="C476" s="891"/>
      <c r="D476" s="891"/>
      <c r="E476" s="891"/>
      <c r="F476" s="891"/>
      <c r="G476" s="891"/>
      <c r="H476" s="1088"/>
      <c r="I476" s="1088"/>
      <c r="J476" s="1088"/>
      <c r="K476" s="1088"/>
    </row>
    <row r="477" spans="3:11" ht="12" customHeight="1">
      <c r="C477" s="891"/>
      <c r="D477" s="891"/>
      <c r="E477" s="891"/>
      <c r="F477" s="891"/>
      <c r="G477" s="891"/>
      <c r="H477" s="1088"/>
      <c r="I477" s="1088"/>
      <c r="J477" s="1088"/>
      <c r="K477" s="1088"/>
    </row>
    <row r="478" spans="3:11" ht="12" customHeight="1">
      <c r="C478" s="891"/>
      <c r="D478" s="891"/>
      <c r="E478" s="891"/>
      <c r="F478" s="891"/>
      <c r="G478" s="891"/>
      <c r="H478" s="1088"/>
      <c r="I478" s="1088"/>
      <c r="J478" s="1088"/>
      <c r="K478" s="1088"/>
    </row>
    <row r="479" spans="3:11" ht="12" customHeight="1">
      <c r="C479" s="891"/>
      <c r="D479" s="891"/>
      <c r="E479" s="891"/>
      <c r="F479" s="891"/>
      <c r="G479" s="891"/>
      <c r="H479" s="1088"/>
      <c r="I479" s="1088"/>
      <c r="J479" s="1088"/>
      <c r="K479" s="1088"/>
    </row>
    <row r="480" spans="3:11" ht="12" customHeight="1">
      <c r="C480" s="891"/>
      <c r="D480" s="891"/>
      <c r="E480" s="891"/>
      <c r="F480" s="891"/>
      <c r="G480" s="891"/>
      <c r="H480" s="1088"/>
      <c r="I480" s="1088"/>
      <c r="J480" s="1088"/>
      <c r="K480" s="1088"/>
    </row>
    <row r="481" spans="3:11" ht="12" customHeight="1">
      <c r="C481" s="891"/>
      <c r="D481" s="891"/>
      <c r="E481" s="891"/>
      <c r="F481" s="891"/>
      <c r="G481" s="891"/>
      <c r="H481" s="1088"/>
      <c r="I481" s="1088"/>
      <c r="J481" s="1088"/>
      <c r="K481" s="1088"/>
    </row>
    <row r="482" spans="3:11" ht="12" customHeight="1">
      <c r="C482" s="891"/>
      <c r="D482" s="891"/>
      <c r="E482" s="891"/>
      <c r="F482" s="891"/>
      <c r="G482" s="891"/>
      <c r="H482" s="1088"/>
      <c r="I482" s="1088"/>
      <c r="J482" s="1088"/>
      <c r="K482" s="1088"/>
    </row>
    <row r="483" spans="3:11" ht="12" customHeight="1">
      <c r="C483" s="891"/>
      <c r="D483" s="891"/>
      <c r="E483" s="891"/>
      <c r="F483" s="891"/>
      <c r="G483" s="891"/>
      <c r="H483" s="1088"/>
      <c r="I483" s="1088"/>
      <c r="J483" s="1088"/>
      <c r="K483" s="1088"/>
    </row>
    <row r="484" spans="3:11" ht="12" customHeight="1">
      <c r="C484" s="891"/>
      <c r="D484" s="891"/>
      <c r="E484" s="891"/>
      <c r="F484" s="891"/>
      <c r="G484" s="891"/>
      <c r="H484" s="1088"/>
      <c r="I484" s="1088"/>
      <c r="J484" s="1088"/>
      <c r="K484" s="1088"/>
    </row>
    <row r="485" spans="3:11" ht="12" customHeight="1">
      <c r="C485" s="891"/>
      <c r="D485" s="891"/>
      <c r="E485" s="891"/>
      <c r="F485" s="891"/>
      <c r="G485" s="891"/>
      <c r="H485" s="1088"/>
      <c r="I485" s="1088"/>
      <c r="J485" s="1088"/>
      <c r="K485" s="1088"/>
    </row>
    <row r="486" spans="3:11" ht="12" customHeight="1">
      <c r="C486" s="891"/>
      <c r="D486" s="891"/>
      <c r="E486" s="891"/>
      <c r="F486" s="891"/>
      <c r="G486" s="891"/>
      <c r="H486" s="1088"/>
      <c r="I486" s="1088"/>
      <c r="J486" s="1088"/>
      <c r="K486" s="1088"/>
    </row>
    <row r="487" spans="3:11" ht="12" customHeight="1">
      <c r="C487" s="891"/>
      <c r="D487" s="891"/>
      <c r="E487" s="891"/>
      <c r="F487" s="891"/>
      <c r="G487" s="891"/>
      <c r="H487" s="1088"/>
      <c r="I487" s="1088"/>
      <c r="J487" s="1088"/>
      <c r="K487" s="1088"/>
    </row>
    <row r="488" spans="3:11" ht="12" customHeight="1">
      <c r="C488" s="891"/>
      <c r="D488" s="891"/>
      <c r="E488" s="891"/>
      <c r="F488" s="891"/>
      <c r="G488" s="891"/>
      <c r="H488" s="1088"/>
      <c r="I488" s="1088"/>
      <c r="J488" s="1088"/>
      <c r="K488" s="1088"/>
    </row>
    <row r="489" spans="3:11" ht="12" customHeight="1">
      <c r="C489" s="891"/>
      <c r="D489" s="891"/>
      <c r="E489" s="891"/>
      <c r="F489" s="891"/>
      <c r="G489" s="891"/>
      <c r="H489" s="1088"/>
      <c r="I489" s="1088"/>
      <c r="J489" s="1088"/>
      <c r="K489" s="1088"/>
    </row>
    <row r="490" spans="3:11" ht="12" customHeight="1">
      <c r="C490" s="891"/>
      <c r="D490" s="891"/>
      <c r="E490" s="891"/>
      <c r="F490" s="891"/>
      <c r="G490" s="891"/>
      <c r="H490" s="1088"/>
      <c r="I490" s="1088"/>
      <c r="J490" s="1088"/>
      <c r="K490" s="1088"/>
    </row>
    <row r="491" spans="3:11" ht="12" customHeight="1">
      <c r="C491" s="891"/>
      <c r="D491" s="891"/>
      <c r="E491" s="891"/>
      <c r="F491" s="891"/>
      <c r="G491" s="891"/>
      <c r="H491" s="1088"/>
      <c r="I491" s="1088"/>
      <c r="J491" s="1088"/>
      <c r="K491" s="1088"/>
    </row>
    <row r="492" spans="3:11" ht="12" customHeight="1">
      <c r="C492" s="891"/>
      <c r="D492" s="891"/>
      <c r="E492" s="891"/>
      <c r="F492" s="891"/>
      <c r="G492" s="891"/>
      <c r="H492" s="1088"/>
      <c r="I492" s="1088"/>
      <c r="J492" s="1088"/>
      <c r="K492" s="1088"/>
    </row>
    <row r="493" spans="3:11" ht="12" customHeight="1">
      <c r="C493" s="891"/>
      <c r="D493" s="891"/>
      <c r="E493" s="891"/>
      <c r="F493" s="891"/>
      <c r="G493" s="891"/>
      <c r="H493" s="1088"/>
      <c r="I493" s="1088"/>
      <c r="J493" s="1088"/>
      <c r="K493" s="1088"/>
    </row>
    <row r="494" spans="3:11" ht="12" customHeight="1">
      <c r="C494" s="891"/>
      <c r="D494" s="891"/>
      <c r="E494" s="891"/>
      <c r="F494" s="891"/>
      <c r="G494" s="891"/>
      <c r="H494" s="1088"/>
      <c r="I494" s="1088"/>
      <c r="J494" s="1088"/>
      <c r="K494" s="1088"/>
    </row>
    <row r="495" spans="3:11" ht="12" customHeight="1">
      <c r="C495" s="891"/>
      <c r="D495" s="891"/>
      <c r="E495" s="891"/>
      <c r="F495" s="891"/>
      <c r="G495" s="891"/>
      <c r="H495" s="1088"/>
      <c r="I495" s="1088"/>
      <c r="J495" s="1088"/>
      <c r="K495" s="1088"/>
    </row>
    <row r="496" spans="3:11" ht="12" customHeight="1">
      <c r="C496" s="891"/>
      <c r="D496" s="891"/>
      <c r="E496" s="891"/>
      <c r="F496" s="891"/>
      <c r="G496" s="891"/>
      <c r="H496" s="1088"/>
      <c r="I496" s="1088"/>
      <c r="J496" s="1088"/>
      <c r="K496" s="1088"/>
    </row>
    <row r="497" spans="3:11" ht="12" customHeight="1">
      <c r="C497" s="891"/>
      <c r="D497" s="891"/>
      <c r="E497" s="891"/>
      <c r="F497" s="891"/>
      <c r="G497" s="891"/>
      <c r="H497" s="1088"/>
      <c r="I497" s="1088"/>
      <c r="J497" s="1088"/>
      <c r="K497" s="1088"/>
    </row>
    <row r="498" spans="3:11" ht="12" customHeight="1">
      <c r="C498" s="891"/>
      <c r="D498" s="891"/>
      <c r="E498" s="891"/>
      <c r="F498" s="891"/>
      <c r="G498" s="891"/>
      <c r="H498" s="1088"/>
      <c r="I498" s="1088"/>
      <c r="J498" s="1088"/>
      <c r="K498" s="1088"/>
    </row>
    <row r="499" spans="3:11" ht="12" customHeight="1">
      <c r="C499" s="891"/>
      <c r="D499" s="891"/>
      <c r="E499" s="891"/>
      <c r="F499" s="891"/>
      <c r="G499" s="891"/>
      <c r="H499" s="1088"/>
      <c r="I499" s="1088"/>
      <c r="J499" s="1088"/>
      <c r="K499" s="1088"/>
    </row>
    <row r="500" spans="3:11" ht="12" customHeight="1">
      <c r="C500" s="891"/>
      <c r="D500" s="891"/>
      <c r="E500" s="891"/>
      <c r="F500" s="891"/>
      <c r="G500" s="891"/>
      <c r="H500" s="1088"/>
      <c r="I500" s="1088"/>
      <c r="J500" s="1088"/>
      <c r="K500" s="1088"/>
    </row>
    <row r="501" spans="3:11" ht="12" customHeight="1">
      <c r="C501" s="891"/>
      <c r="D501" s="891"/>
      <c r="E501" s="891"/>
      <c r="F501" s="891"/>
      <c r="G501" s="891"/>
      <c r="H501" s="1088"/>
      <c r="I501" s="1088"/>
      <c r="J501" s="1088"/>
      <c r="K501" s="1088"/>
    </row>
    <row r="502" spans="3:11" ht="12" customHeight="1">
      <c r="C502" s="891"/>
      <c r="D502" s="891"/>
      <c r="E502" s="891"/>
      <c r="F502" s="891"/>
      <c r="G502" s="891"/>
      <c r="H502" s="1088"/>
      <c r="I502" s="1088"/>
      <c r="J502" s="1088"/>
      <c r="K502" s="1088"/>
    </row>
    <row r="503" spans="3:11" ht="12" customHeight="1">
      <c r="C503" s="891"/>
      <c r="D503" s="891"/>
      <c r="E503" s="891"/>
      <c r="F503" s="891"/>
      <c r="G503" s="891"/>
      <c r="H503" s="1088"/>
      <c r="I503" s="1088"/>
      <c r="J503" s="1088"/>
      <c r="K503" s="1088"/>
    </row>
    <row r="504" spans="3:11" ht="12" customHeight="1">
      <c r="C504" s="891"/>
      <c r="D504" s="891"/>
      <c r="E504" s="891"/>
      <c r="F504" s="891"/>
      <c r="G504" s="891"/>
      <c r="H504" s="1088"/>
      <c r="I504" s="1088"/>
      <c r="J504" s="1088"/>
      <c r="K504" s="1088"/>
    </row>
    <row r="505" spans="3:11" ht="12" customHeight="1">
      <c r="C505" s="891"/>
      <c r="D505" s="891"/>
      <c r="E505" s="891"/>
      <c r="F505" s="891"/>
      <c r="G505" s="891"/>
      <c r="H505" s="1088"/>
      <c r="I505" s="1088"/>
      <c r="J505" s="1088"/>
      <c r="K505" s="1088"/>
    </row>
    <row r="506" spans="3:11" ht="12" customHeight="1">
      <c r="C506" s="891"/>
      <c r="D506" s="891"/>
      <c r="E506" s="891"/>
      <c r="F506" s="891"/>
      <c r="G506" s="891"/>
      <c r="H506" s="1088"/>
      <c r="I506" s="1088"/>
      <c r="J506" s="1088"/>
      <c r="K506" s="1088"/>
    </row>
    <row r="507" spans="3:11" ht="12" customHeight="1">
      <c r="C507" s="891"/>
      <c r="D507" s="891"/>
      <c r="E507" s="891"/>
      <c r="F507" s="891"/>
      <c r="G507" s="891"/>
      <c r="H507" s="1088"/>
      <c r="I507" s="1088"/>
      <c r="J507" s="1088"/>
      <c r="K507" s="1088"/>
    </row>
    <row r="508" spans="3:11" ht="12" customHeight="1">
      <c r="C508" s="891"/>
      <c r="D508" s="891"/>
      <c r="E508" s="891"/>
      <c r="F508" s="891"/>
      <c r="G508" s="891"/>
      <c r="H508" s="1088"/>
      <c r="I508" s="1088"/>
      <c r="J508" s="1088"/>
      <c r="K508" s="1088"/>
    </row>
    <row r="509" spans="3:11" ht="12" customHeight="1">
      <c r="C509" s="891"/>
      <c r="D509" s="891"/>
      <c r="E509" s="891"/>
      <c r="F509" s="891"/>
      <c r="G509" s="891"/>
      <c r="H509" s="1088"/>
      <c r="I509" s="1088"/>
      <c r="J509" s="1088"/>
      <c r="K509" s="1088"/>
    </row>
    <row r="510" spans="3:11" ht="12" customHeight="1">
      <c r="C510" s="891"/>
      <c r="D510" s="891"/>
      <c r="E510" s="891"/>
      <c r="F510" s="891"/>
      <c r="G510" s="891"/>
      <c r="H510" s="1088"/>
      <c r="I510" s="1088"/>
      <c r="J510" s="1088"/>
      <c r="K510" s="1088"/>
    </row>
    <row r="511" spans="3:11" ht="12" customHeight="1">
      <c r="C511" s="891"/>
      <c r="D511" s="891"/>
      <c r="E511" s="891"/>
      <c r="F511" s="891"/>
      <c r="G511" s="891"/>
      <c r="H511" s="1088"/>
      <c r="I511" s="1088"/>
      <c r="J511" s="1088"/>
      <c r="K511" s="1088"/>
    </row>
    <row r="512" spans="3:11" ht="12" customHeight="1">
      <c r="C512" s="891"/>
      <c r="D512" s="891"/>
      <c r="E512" s="891"/>
      <c r="F512" s="891"/>
      <c r="G512" s="891"/>
      <c r="H512" s="1088"/>
      <c r="I512" s="1088"/>
      <c r="J512" s="1088"/>
      <c r="K512" s="1088"/>
    </row>
    <row r="513" spans="3:11" ht="12" customHeight="1">
      <c r="C513" s="891"/>
      <c r="D513" s="891"/>
      <c r="E513" s="891"/>
      <c r="F513" s="891"/>
      <c r="G513" s="891"/>
      <c r="H513" s="1088"/>
      <c r="I513" s="1088"/>
      <c r="J513" s="1088"/>
      <c r="K513" s="1088"/>
    </row>
    <row r="514" spans="3:11" ht="12" customHeight="1">
      <c r="C514" s="891"/>
      <c r="D514" s="891"/>
      <c r="E514" s="891"/>
      <c r="F514" s="891"/>
      <c r="G514" s="891"/>
      <c r="H514" s="1088"/>
      <c r="I514" s="1088"/>
      <c r="J514" s="1088"/>
      <c r="K514" s="1088"/>
    </row>
    <row r="515" spans="3:11" ht="12" customHeight="1">
      <c r="C515" s="891"/>
      <c r="D515" s="891"/>
      <c r="E515" s="891"/>
      <c r="F515" s="891"/>
      <c r="G515" s="891"/>
      <c r="H515" s="1088"/>
      <c r="I515" s="1088"/>
      <c r="J515" s="1088"/>
      <c r="K515" s="1088"/>
    </row>
    <row r="516" spans="3:11" ht="12" customHeight="1">
      <c r="C516" s="891"/>
      <c r="D516" s="891"/>
      <c r="E516" s="891"/>
      <c r="F516" s="891"/>
      <c r="G516" s="891"/>
      <c r="H516" s="1088"/>
      <c r="I516" s="1088"/>
      <c r="J516" s="1088"/>
      <c r="K516" s="1088"/>
    </row>
    <row r="517" spans="3:11" ht="12" customHeight="1">
      <c r="C517" s="891"/>
      <c r="D517" s="891"/>
      <c r="E517" s="891"/>
      <c r="F517" s="891"/>
      <c r="G517" s="891"/>
      <c r="H517" s="1088"/>
      <c r="I517" s="1088"/>
      <c r="J517" s="1088"/>
      <c r="K517" s="1088"/>
    </row>
    <row r="518" spans="3:11" ht="12" customHeight="1">
      <c r="C518" s="891"/>
      <c r="D518" s="891"/>
      <c r="E518" s="891"/>
      <c r="F518" s="891"/>
      <c r="G518" s="891"/>
      <c r="H518" s="1088"/>
      <c r="I518" s="1088"/>
      <c r="J518" s="1088"/>
      <c r="K518" s="1088"/>
    </row>
    <row r="519" spans="3:11" ht="12" customHeight="1">
      <c r="C519" s="891"/>
      <c r="D519" s="891"/>
      <c r="E519" s="891"/>
      <c r="F519" s="891"/>
      <c r="G519" s="891"/>
      <c r="H519" s="1088"/>
      <c r="I519" s="1088"/>
      <c r="J519" s="1088"/>
      <c r="K519" s="1088"/>
    </row>
    <row r="520" spans="3:11" ht="12" customHeight="1">
      <c r="C520" s="891"/>
      <c r="D520" s="891"/>
      <c r="E520" s="891"/>
      <c r="F520" s="891"/>
      <c r="G520" s="891"/>
      <c r="H520" s="1088"/>
      <c r="I520" s="1088"/>
      <c r="J520" s="1088"/>
      <c r="K520" s="1088"/>
    </row>
    <row r="521" spans="3:11" ht="12" customHeight="1">
      <c r="C521" s="891"/>
      <c r="D521" s="891"/>
      <c r="E521" s="891"/>
      <c r="F521" s="891"/>
      <c r="G521" s="891"/>
      <c r="H521" s="1088"/>
      <c r="I521" s="1088"/>
      <c r="J521" s="1088"/>
      <c r="K521" s="1088"/>
    </row>
    <row r="522" spans="3:11" ht="12" customHeight="1">
      <c r="C522" s="891"/>
      <c r="D522" s="891"/>
      <c r="E522" s="891"/>
      <c r="F522" s="891"/>
      <c r="G522" s="891"/>
      <c r="H522" s="1088"/>
      <c r="I522" s="1088"/>
      <c r="J522" s="1088"/>
      <c r="K522" s="1088"/>
    </row>
    <row r="523" spans="3:11" ht="12" customHeight="1">
      <c r="C523" s="891"/>
      <c r="D523" s="891"/>
      <c r="E523" s="891"/>
      <c r="F523" s="891"/>
      <c r="G523" s="891"/>
      <c r="H523" s="1088"/>
      <c r="I523" s="1088"/>
      <c r="J523" s="1088"/>
      <c r="K523" s="1088"/>
    </row>
    <row r="524" spans="3:11" ht="12" customHeight="1">
      <c r="C524" s="891"/>
      <c r="D524" s="891"/>
      <c r="E524" s="891"/>
      <c r="F524" s="891"/>
      <c r="G524" s="891"/>
      <c r="H524" s="1088"/>
      <c r="I524" s="1088"/>
      <c r="J524" s="1088"/>
      <c r="K524" s="1088"/>
    </row>
    <row r="525" spans="3:11" ht="12" customHeight="1">
      <c r="C525" s="891"/>
      <c r="D525" s="891"/>
      <c r="E525" s="891"/>
      <c r="F525" s="891"/>
      <c r="G525" s="891"/>
      <c r="H525" s="1088"/>
      <c r="I525" s="1088"/>
      <c r="J525" s="1088"/>
      <c r="K525" s="1088"/>
    </row>
    <row r="526" spans="3:11" ht="12" customHeight="1">
      <c r="C526" s="891"/>
      <c r="D526" s="891"/>
      <c r="E526" s="891"/>
      <c r="F526" s="891"/>
      <c r="G526" s="891"/>
      <c r="H526" s="1088"/>
      <c r="I526" s="1088"/>
      <c r="J526" s="1088"/>
      <c r="K526" s="1088"/>
    </row>
    <row r="527" spans="3:11" ht="12" customHeight="1">
      <c r="C527" s="891"/>
      <c r="D527" s="891"/>
      <c r="E527" s="891"/>
      <c r="F527" s="891"/>
      <c r="G527" s="891"/>
      <c r="H527" s="1088"/>
      <c r="I527" s="1088"/>
      <c r="J527" s="1088"/>
      <c r="K527" s="1088"/>
    </row>
    <row r="528" spans="3:11" ht="12" customHeight="1">
      <c r="C528" s="891"/>
      <c r="D528" s="891"/>
      <c r="E528" s="891"/>
      <c r="F528" s="891"/>
      <c r="G528" s="891"/>
      <c r="H528" s="1088"/>
      <c r="I528" s="1088"/>
      <c r="J528" s="1088"/>
      <c r="K528" s="1088"/>
    </row>
    <row r="529" spans="3:11" ht="12" customHeight="1">
      <c r="C529" s="891"/>
      <c r="D529" s="891"/>
      <c r="E529" s="891"/>
      <c r="F529" s="891"/>
      <c r="G529" s="891"/>
      <c r="H529" s="1088"/>
      <c r="I529" s="1088"/>
      <c r="J529" s="1088"/>
      <c r="K529" s="1088"/>
    </row>
    <row r="530" spans="3:11" ht="12" customHeight="1">
      <c r="C530" s="891"/>
      <c r="D530" s="891"/>
      <c r="E530" s="891"/>
      <c r="F530" s="891"/>
      <c r="G530" s="891"/>
      <c r="H530" s="1088"/>
      <c r="I530" s="1088"/>
      <c r="J530" s="1088"/>
      <c r="K530" s="1088"/>
    </row>
    <row r="531" spans="3:11" ht="12" customHeight="1">
      <c r="C531" s="891"/>
      <c r="D531" s="891"/>
      <c r="E531" s="891"/>
      <c r="F531" s="891"/>
      <c r="G531" s="891"/>
      <c r="H531" s="1088"/>
      <c r="I531" s="1088"/>
      <c r="J531" s="1088"/>
      <c r="K531" s="1088"/>
    </row>
    <row r="532" spans="3:11" ht="12" customHeight="1">
      <c r="C532" s="891"/>
      <c r="D532" s="891"/>
      <c r="E532" s="891"/>
      <c r="F532" s="891"/>
      <c r="G532" s="891"/>
      <c r="H532" s="1088"/>
      <c r="I532" s="1088"/>
      <c r="J532" s="1088"/>
      <c r="K532" s="1088"/>
    </row>
    <row r="533" spans="3:11" ht="12" customHeight="1">
      <c r="C533" s="891"/>
      <c r="D533" s="891"/>
      <c r="E533" s="891"/>
      <c r="F533" s="891"/>
      <c r="G533" s="891"/>
      <c r="H533" s="1088"/>
      <c r="I533" s="1088"/>
      <c r="J533" s="1088"/>
      <c r="K533" s="1088"/>
    </row>
    <row r="534" spans="3:11" ht="12" customHeight="1">
      <c r="C534" s="891"/>
      <c r="D534" s="891"/>
      <c r="E534" s="891"/>
      <c r="F534" s="891"/>
      <c r="G534" s="891"/>
      <c r="H534" s="1088"/>
      <c r="I534" s="1088"/>
      <c r="J534" s="1088"/>
      <c r="K534" s="1088"/>
    </row>
    <row r="535" spans="3:11" ht="12" customHeight="1">
      <c r="C535" s="891"/>
      <c r="D535" s="891"/>
      <c r="E535" s="891"/>
      <c r="F535" s="891"/>
      <c r="G535" s="891"/>
      <c r="H535" s="1088"/>
      <c r="I535" s="1088"/>
      <c r="J535" s="1088"/>
      <c r="K535" s="1088"/>
    </row>
    <row r="536" spans="3:11" ht="12" customHeight="1">
      <c r="C536" s="891"/>
      <c r="D536" s="891"/>
      <c r="E536" s="891"/>
      <c r="F536" s="891"/>
      <c r="G536" s="891"/>
      <c r="H536" s="1088"/>
      <c r="I536" s="1088"/>
      <c r="J536" s="1088"/>
      <c r="K536" s="1088"/>
    </row>
    <row r="537" spans="3:11" ht="12" customHeight="1">
      <c r="C537" s="891"/>
      <c r="D537" s="891"/>
      <c r="E537" s="891"/>
      <c r="F537" s="891"/>
      <c r="G537" s="891"/>
      <c r="H537" s="1088"/>
      <c r="I537" s="1088"/>
      <c r="J537" s="1088"/>
      <c r="K537" s="1088"/>
    </row>
    <row r="538" spans="3:11" ht="12" customHeight="1">
      <c r="C538" s="891"/>
      <c r="D538" s="891"/>
      <c r="E538" s="891"/>
      <c r="F538" s="891"/>
      <c r="G538" s="891"/>
      <c r="H538" s="1088"/>
      <c r="I538" s="1088"/>
      <c r="J538" s="1088"/>
      <c r="K538" s="1088"/>
    </row>
    <row r="539" spans="3:11" ht="12" customHeight="1">
      <c r="C539" s="891"/>
      <c r="D539" s="891"/>
      <c r="E539" s="891"/>
      <c r="F539" s="891"/>
      <c r="G539" s="891"/>
      <c r="H539" s="1088"/>
      <c r="I539" s="1088"/>
      <c r="J539" s="1088"/>
      <c r="K539" s="1088"/>
    </row>
    <row r="540" spans="3:11" ht="12" customHeight="1">
      <c r="C540" s="891"/>
      <c r="D540" s="891"/>
      <c r="E540" s="891"/>
      <c r="F540" s="891"/>
      <c r="G540" s="891"/>
      <c r="H540" s="1088"/>
      <c r="I540" s="1088"/>
      <c r="J540" s="1088"/>
      <c r="K540" s="1088"/>
    </row>
    <row r="541" spans="3:11" ht="12" customHeight="1">
      <c r="C541" s="891"/>
      <c r="D541" s="891"/>
      <c r="E541" s="891"/>
      <c r="F541" s="891"/>
      <c r="G541" s="891"/>
      <c r="H541" s="1088"/>
      <c r="I541" s="1088"/>
      <c r="J541" s="1088"/>
      <c r="K541" s="1088"/>
    </row>
    <row r="542" spans="3:11" ht="12" customHeight="1">
      <c r="C542" s="891"/>
      <c r="D542" s="891"/>
      <c r="E542" s="891"/>
      <c r="F542" s="891"/>
      <c r="G542" s="891"/>
      <c r="H542" s="1088"/>
      <c r="I542" s="1088"/>
      <c r="J542" s="1088"/>
      <c r="K542" s="1088"/>
    </row>
    <row r="543" spans="3:11" ht="12" customHeight="1">
      <c r="C543" s="891"/>
      <c r="D543" s="891"/>
      <c r="E543" s="891"/>
      <c r="F543" s="891"/>
      <c r="G543" s="891"/>
      <c r="H543" s="1088"/>
      <c r="I543" s="1088"/>
      <c r="J543" s="1088"/>
      <c r="K543" s="1088"/>
    </row>
    <row r="544" spans="3:11" ht="12" customHeight="1">
      <c r="C544" s="891"/>
      <c r="D544" s="891"/>
      <c r="E544" s="891"/>
      <c r="F544" s="891"/>
      <c r="G544" s="891"/>
      <c r="H544" s="1088"/>
      <c r="I544" s="1088"/>
      <c r="J544" s="1088"/>
      <c r="K544" s="1088"/>
    </row>
    <row r="545" spans="3:11" ht="12" customHeight="1">
      <c r="C545" s="891"/>
      <c r="D545" s="891"/>
      <c r="E545" s="891"/>
      <c r="F545" s="891"/>
      <c r="G545" s="891"/>
      <c r="H545" s="1088"/>
      <c r="I545" s="1088"/>
      <c r="J545" s="1088"/>
      <c r="K545" s="1088"/>
    </row>
    <row r="546" spans="3:11" ht="12" customHeight="1">
      <c r="C546" s="891"/>
      <c r="D546" s="891"/>
      <c r="E546" s="891"/>
      <c r="F546" s="891"/>
      <c r="G546" s="891"/>
      <c r="H546" s="1088"/>
      <c r="I546" s="1088"/>
      <c r="J546" s="1088"/>
      <c r="K546" s="1088"/>
    </row>
    <row r="547" spans="3:11" ht="12" customHeight="1">
      <c r="C547" s="891"/>
      <c r="D547" s="891"/>
      <c r="E547" s="891"/>
      <c r="F547" s="891"/>
      <c r="G547" s="891"/>
      <c r="H547" s="1088"/>
      <c r="I547" s="1088"/>
      <c r="J547" s="1088"/>
      <c r="K547" s="1088"/>
    </row>
    <row r="548" spans="3:11" ht="12" customHeight="1">
      <c r="C548" s="891"/>
      <c r="D548" s="891"/>
      <c r="E548" s="891"/>
      <c r="F548" s="891"/>
      <c r="G548" s="891"/>
      <c r="H548" s="1088"/>
      <c r="I548" s="1088"/>
      <c r="J548" s="1088"/>
      <c r="K548" s="1088"/>
    </row>
    <row r="549" spans="3:11" ht="12" customHeight="1">
      <c r="C549" s="891"/>
      <c r="D549" s="891"/>
      <c r="E549" s="891"/>
      <c r="F549" s="891"/>
      <c r="G549" s="891"/>
      <c r="H549" s="1088"/>
      <c r="I549" s="1088"/>
      <c r="J549" s="1088"/>
      <c r="K549" s="1088"/>
    </row>
    <row r="550" spans="3:11" ht="12" customHeight="1">
      <c r="C550" s="891"/>
      <c r="D550" s="891"/>
      <c r="E550" s="891"/>
      <c r="F550" s="891"/>
      <c r="G550" s="891"/>
      <c r="H550" s="1088"/>
      <c r="I550" s="1088"/>
      <c r="J550" s="1088"/>
      <c r="K550" s="1088"/>
    </row>
    <row r="551" spans="3:11" ht="12" customHeight="1">
      <c r="C551" s="891"/>
      <c r="D551" s="891"/>
      <c r="E551" s="891"/>
      <c r="F551" s="891"/>
      <c r="G551" s="891"/>
      <c r="H551" s="1088"/>
      <c r="I551" s="1088"/>
      <c r="J551" s="1088"/>
      <c r="K551" s="1088"/>
    </row>
    <row r="552" spans="3:11" ht="12" customHeight="1">
      <c r="C552" s="891"/>
      <c r="D552" s="891"/>
      <c r="E552" s="891"/>
      <c r="F552" s="891"/>
      <c r="G552" s="891"/>
      <c r="H552" s="1088"/>
      <c r="I552" s="1088"/>
      <c r="J552" s="1088"/>
      <c r="K552" s="1088"/>
    </row>
    <row r="553" spans="3:11" ht="12" customHeight="1">
      <c r="C553" s="891"/>
      <c r="D553" s="891"/>
      <c r="E553" s="891"/>
      <c r="F553" s="891"/>
      <c r="G553" s="891"/>
      <c r="H553" s="1088"/>
      <c r="I553" s="1088"/>
      <c r="J553" s="1088"/>
      <c r="K553" s="1088"/>
    </row>
    <row r="554" spans="3:11" ht="12" customHeight="1">
      <c r="C554" s="891"/>
      <c r="D554" s="891"/>
      <c r="E554" s="891"/>
      <c r="F554" s="891"/>
      <c r="G554" s="891"/>
      <c r="H554" s="1088"/>
      <c r="I554" s="1088"/>
      <c r="J554" s="1088"/>
      <c r="K554" s="1088"/>
    </row>
    <row r="555" spans="3:11" ht="12" customHeight="1">
      <c r="C555" s="891"/>
      <c r="D555" s="891"/>
      <c r="E555" s="891"/>
      <c r="F555" s="891"/>
      <c r="G555" s="891"/>
      <c r="H555" s="1088"/>
      <c r="I555" s="1088"/>
      <c r="J555" s="1088"/>
      <c r="K555" s="1088"/>
    </row>
    <row r="556" spans="3:11" ht="12" customHeight="1">
      <c r="C556" s="891"/>
      <c r="D556" s="891"/>
      <c r="E556" s="891"/>
      <c r="F556" s="891"/>
      <c r="G556" s="891"/>
      <c r="H556" s="1088"/>
      <c r="I556" s="1088"/>
      <c r="J556" s="1088"/>
      <c r="K556" s="1088"/>
    </row>
    <row r="557" spans="3:11" ht="12" customHeight="1">
      <c r="C557" s="891"/>
      <c r="D557" s="891"/>
      <c r="E557" s="891"/>
      <c r="F557" s="891"/>
      <c r="G557" s="891"/>
      <c r="H557" s="1088"/>
      <c r="I557" s="1088"/>
      <c r="J557" s="1088"/>
      <c r="K557" s="1088"/>
    </row>
    <row r="558" spans="3:11" ht="12" customHeight="1">
      <c r="C558" s="891"/>
      <c r="D558" s="891"/>
      <c r="E558" s="891"/>
      <c r="F558" s="891"/>
      <c r="G558" s="891"/>
      <c r="H558" s="1088"/>
      <c r="I558" s="1088"/>
      <c r="J558" s="1088"/>
      <c r="K558" s="1088"/>
    </row>
    <row r="559" spans="3:11" ht="12" customHeight="1">
      <c r="C559" s="891"/>
      <c r="D559" s="891"/>
      <c r="E559" s="891"/>
      <c r="F559" s="891"/>
      <c r="G559" s="891"/>
      <c r="H559" s="1088"/>
      <c r="I559" s="1088"/>
      <c r="J559" s="1088"/>
      <c r="K559" s="1088"/>
    </row>
    <row r="560" spans="3:11" ht="12" customHeight="1">
      <c r="C560" s="891"/>
      <c r="D560" s="891"/>
      <c r="E560" s="891"/>
      <c r="F560" s="891"/>
      <c r="G560" s="891"/>
      <c r="H560" s="1088"/>
      <c r="I560" s="1088"/>
      <c r="J560" s="1088"/>
      <c r="K560" s="1088"/>
    </row>
    <row r="561" spans="3:11" ht="12" customHeight="1">
      <c r="C561" s="891"/>
      <c r="D561" s="891"/>
      <c r="E561" s="891"/>
      <c r="F561" s="891"/>
      <c r="G561" s="891"/>
      <c r="H561" s="1088"/>
      <c r="I561" s="1088"/>
      <c r="J561" s="1088"/>
      <c r="K561" s="1088"/>
    </row>
    <row r="562" spans="3:11" ht="12" customHeight="1">
      <c r="C562" s="891"/>
      <c r="D562" s="891"/>
      <c r="E562" s="891"/>
      <c r="F562" s="891"/>
      <c r="G562" s="891"/>
      <c r="H562" s="1088"/>
      <c r="I562" s="1088"/>
      <c r="J562" s="1088"/>
      <c r="K562" s="1088"/>
    </row>
    <row r="563" spans="3:11" ht="12" customHeight="1">
      <c r="C563" s="891"/>
      <c r="D563" s="891"/>
      <c r="E563" s="891"/>
      <c r="F563" s="891"/>
      <c r="G563" s="891"/>
      <c r="H563" s="1088"/>
      <c r="I563" s="1088"/>
      <c r="J563" s="1088"/>
      <c r="K563" s="1088"/>
    </row>
    <row r="564" spans="3:11" ht="12" customHeight="1">
      <c r="C564" s="891"/>
      <c r="D564" s="891"/>
      <c r="E564" s="891"/>
      <c r="F564" s="891"/>
      <c r="G564" s="891"/>
      <c r="H564" s="1088"/>
      <c r="I564" s="1088"/>
      <c r="J564" s="1088"/>
      <c r="K564" s="1088"/>
    </row>
    <row r="565" spans="3:11" ht="12" customHeight="1">
      <c r="C565" s="891"/>
      <c r="D565" s="891"/>
      <c r="E565" s="891"/>
      <c r="F565" s="891"/>
      <c r="G565" s="891"/>
      <c r="H565" s="1088"/>
      <c r="I565" s="1088"/>
      <c r="J565" s="1088"/>
      <c r="K565" s="1088"/>
    </row>
    <row r="566" spans="3:11" ht="12" customHeight="1">
      <c r="C566" s="891"/>
      <c r="D566" s="891"/>
      <c r="E566" s="891"/>
      <c r="F566" s="891"/>
      <c r="G566" s="891"/>
      <c r="H566" s="1088"/>
      <c r="I566" s="1088"/>
      <c r="J566" s="1088"/>
      <c r="K566" s="1088"/>
    </row>
    <row r="567" spans="3:11" ht="12" customHeight="1">
      <c r="C567" s="891"/>
      <c r="D567" s="891"/>
      <c r="E567" s="891"/>
      <c r="F567" s="891"/>
      <c r="G567" s="891"/>
      <c r="H567" s="1088"/>
      <c r="I567" s="1088"/>
      <c r="J567" s="1088"/>
      <c r="K567" s="1088"/>
    </row>
    <row r="568" spans="3:11" ht="12" customHeight="1">
      <c r="C568" s="891"/>
      <c r="D568" s="891"/>
      <c r="E568" s="891"/>
      <c r="F568" s="891"/>
      <c r="G568" s="891"/>
      <c r="H568" s="1088"/>
      <c r="I568" s="1088"/>
      <c r="J568" s="1088"/>
      <c r="K568" s="1088"/>
    </row>
    <row r="569" spans="3:11" ht="12" customHeight="1">
      <c r="C569" s="891"/>
      <c r="D569" s="891"/>
      <c r="E569" s="891"/>
      <c r="F569" s="891"/>
      <c r="G569" s="891"/>
      <c r="H569" s="1088"/>
      <c r="I569" s="1088"/>
      <c r="J569" s="1088"/>
      <c r="K569" s="1088"/>
    </row>
    <row r="570" spans="3:11" ht="12" customHeight="1">
      <c r="C570" s="891"/>
      <c r="D570" s="891"/>
      <c r="E570" s="891"/>
      <c r="F570" s="891"/>
      <c r="G570" s="891"/>
      <c r="H570" s="1088"/>
      <c r="I570" s="1088"/>
      <c r="J570" s="1088"/>
      <c r="K570" s="1088"/>
    </row>
    <row r="571" spans="3:11" ht="12" customHeight="1">
      <c r="C571" s="891"/>
      <c r="D571" s="891"/>
      <c r="E571" s="891"/>
      <c r="F571" s="891"/>
      <c r="G571" s="891"/>
      <c r="H571" s="1088"/>
      <c r="I571" s="1088"/>
      <c r="J571" s="1088"/>
      <c r="K571" s="1088"/>
    </row>
    <row r="572" spans="3:11" ht="12" customHeight="1">
      <c r="C572" s="891"/>
      <c r="D572" s="891"/>
      <c r="E572" s="891"/>
      <c r="F572" s="891"/>
      <c r="G572" s="891"/>
      <c r="H572" s="1088"/>
      <c r="I572" s="1088"/>
      <c r="J572" s="1088"/>
      <c r="K572" s="1088"/>
    </row>
    <row r="573" spans="3:11" ht="12" customHeight="1">
      <c r="C573" s="891"/>
      <c r="D573" s="891"/>
      <c r="E573" s="891"/>
      <c r="F573" s="891"/>
      <c r="G573" s="891"/>
      <c r="H573" s="1088"/>
      <c r="I573" s="1088"/>
      <c r="J573" s="1088"/>
      <c r="K573" s="1088"/>
    </row>
    <row r="574" spans="3:11" ht="12" customHeight="1">
      <c r="C574" s="891"/>
      <c r="D574" s="891"/>
      <c r="E574" s="891"/>
      <c r="F574" s="891"/>
      <c r="G574" s="891"/>
      <c r="H574" s="1088"/>
      <c r="I574" s="1088"/>
      <c r="J574" s="1088"/>
      <c r="K574" s="1088"/>
    </row>
    <row r="575" spans="3:11" ht="12" customHeight="1">
      <c r="C575" s="891"/>
      <c r="D575" s="891"/>
      <c r="E575" s="891"/>
      <c r="F575" s="891"/>
      <c r="G575" s="891"/>
      <c r="H575" s="1088"/>
      <c r="I575" s="1088"/>
      <c r="J575" s="1088"/>
      <c r="K575" s="1088"/>
    </row>
    <row r="576" spans="3:11" ht="12" customHeight="1">
      <c r="C576" s="891"/>
      <c r="D576" s="891"/>
      <c r="E576" s="891"/>
      <c r="F576" s="891"/>
      <c r="G576" s="891"/>
      <c r="H576" s="1088"/>
      <c r="I576" s="1088"/>
      <c r="J576" s="1088"/>
      <c r="K576" s="1088"/>
    </row>
    <row r="577" spans="3:11" ht="12" customHeight="1">
      <c r="C577" s="891"/>
      <c r="D577" s="891"/>
      <c r="E577" s="891"/>
      <c r="F577" s="891"/>
      <c r="G577" s="891"/>
      <c r="H577" s="1088"/>
      <c r="I577" s="1088"/>
      <c r="J577" s="1088"/>
      <c r="K577" s="1088"/>
    </row>
    <row r="578" spans="3:11" ht="12" customHeight="1">
      <c r="C578" s="891"/>
      <c r="D578" s="891"/>
      <c r="E578" s="891"/>
      <c r="F578" s="891"/>
      <c r="G578" s="891"/>
      <c r="H578" s="1088"/>
      <c r="I578" s="1088"/>
      <c r="J578" s="1088"/>
      <c r="K578" s="1088"/>
    </row>
    <row r="579" spans="3:11" ht="12" customHeight="1">
      <c r="C579" s="891"/>
      <c r="D579" s="891"/>
      <c r="E579" s="891"/>
      <c r="F579" s="891"/>
      <c r="G579" s="891"/>
      <c r="H579" s="1088"/>
      <c r="I579" s="1088"/>
      <c r="J579" s="1088"/>
      <c r="K579" s="1088"/>
    </row>
    <row r="580" spans="3:11" ht="12" customHeight="1">
      <c r="C580" s="891"/>
      <c r="D580" s="891"/>
      <c r="E580" s="891"/>
      <c r="F580" s="891"/>
      <c r="G580" s="891"/>
      <c r="H580" s="1088"/>
      <c r="I580" s="1088"/>
      <c r="J580" s="1088"/>
      <c r="K580" s="1088"/>
    </row>
    <row r="581" spans="3:11" ht="12" customHeight="1">
      <c r="C581" s="891"/>
      <c r="D581" s="891"/>
      <c r="E581" s="891"/>
      <c r="F581" s="891"/>
      <c r="G581" s="891"/>
      <c r="H581" s="1088"/>
      <c r="I581" s="1088"/>
      <c r="J581" s="1088"/>
      <c r="K581" s="1088"/>
    </row>
    <row r="582" spans="3:11" ht="12" customHeight="1">
      <c r="C582" s="891"/>
      <c r="D582" s="891"/>
      <c r="E582" s="891"/>
      <c r="F582" s="891"/>
      <c r="G582" s="891"/>
      <c r="H582" s="1088"/>
      <c r="I582" s="1088"/>
      <c r="J582" s="1088"/>
      <c r="K582" s="1088"/>
    </row>
    <row r="583" spans="3:11" ht="12" customHeight="1">
      <c r="C583" s="891"/>
      <c r="D583" s="891"/>
      <c r="E583" s="891"/>
      <c r="F583" s="891"/>
      <c r="G583" s="891"/>
      <c r="H583" s="1088"/>
      <c r="I583" s="1088"/>
      <c r="J583" s="1088"/>
      <c r="K583" s="1088"/>
    </row>
    <row r="584" spans="3:11" ht="12" customHeight="1">
      <c r="C584" s="891"/>
      <c r="D584" s="891"/>
      <c r="E584" s="891"/>
      <c r="F584" s="891"/>
      <c r="G584" s="891"/>
      <c r="H584" s="1088"/>
      <c r="I584" s="1088"/>
      <c r="J584" s="1088"/>
      <c r="K584" s="1088"/>
    </row>
    <row r="585" spans="3:11" ht="12" customHeight="1">
      <c r="C585" s="891"/>
      <c r="D585" s="891"/>
      <c r="E585" s="891"/>
      <c r="F585" s="891"/>
      <c r="G585" s="891"/>
      <c r="H585" s="1088"/>
      <c r="I585" s="1088"/>
      <c r="J585" s="1088"/>
      <c r="K585" s="1088"/>
    </row>
    <row r="586" spans="3:11" ht="12" customHeight="1">
      <c r="C586" s="891"/>
      <c r="D586" s="891"/>
      <c r="E586" s="891"/>
      <c r="F586" s="891"/>
      <c r="G586" s="891"/>
      <c r="H586" s="1088"/>
      <c r="I586" s="1088"/>
      <c r="J586" s="1088"/>
      <c r="K586" s="1088"/>
    </row>
    <row r="587" spans="3:11" ht="12" customHeight="1">
      <c r="C587" s="891"/>
      <c r="D587" s="891"/>
      <c r="E587" s="891"/>
      <c r="F587" s="891"/>
      <c r="G587" s="891"/>
      <c r="H587" s="1088"/>
      <c r="I587" s="1088"/>
      <c r="J587" s="1088"/>
      <c r="K587" s="1088"/>
    </row>
    <row r="588" spans="3:11" ht="12" customHeight="1">
      <c r="C588" s="891"/>
      <c r="D588" s="891"/>
      <c r="E588" s="891"/>
      <c r="F588" s="891"/>
      <c r="G588" s="891"/>
      <c r="H588" s="1088"/>
      <c r="I588" s="1088"/>
      <c r="J588" s="1088"/>
      <c r="K588" s="1088"/>
    </row>
    <row r="589" spans="3:11" ht="12" customHeight="1">
      <c r="C589" s="891"/>
      <c r="D589" s="891"/>
      <c r="E589" s="891"/>
      <c r="F589" s="891"/>
      <c r="G589" s="891"/>
      <c r="H589" s="1088"/>
      <c r="I589" s="1088"/>
      <c r="J589" s="1088"/>
      <c r="K589" s="1088"/>
    </row>
    <row r="590" spans="3:11" ht="12" customHeight="1">
      <c r="C590" s="891"/>
      <c r="D590" s="891"/>
      <c r="E590" s="891"/>
      <c r="F590" s="891"/>
      <c r="G590" s="891"/>
      <c r="H590" s="1088"/>
      <c r="I590" s="1088"/>
      <c r="J590" s="1088"/>
      <c r="K590" s="1088"/>
    </row>
    <row r="591" spans="3:11" ht="12" customHeight="1">
      <c r="C591" s="891"/>
      <c r="D591" s="891"/>
      <c r="E591" s="891"/>
      <c r="F591" s="891"/>
      <c r="G591" s="891"/>
      <c r="H591" s="1088"/>
      <c r="I591" s="1088"/>
      <c r="J591" s="1088"/>
      <c r="K591" s="1088"/>
    </row>
    <row r="592" spans="3:11" ht="12" customHeight="1">
      <c r="C592" s="891"/>
      <c r="D592" s="891"/>
      <c r="E592" s="891"/>
      <c r="F592" s="891"/>
      <c r="G592" s="891"/>
      <c r="H592" s="1088"/>
      <c r="I592" s="1088"/>
      <c r="J592" s="1088"/>
      <c r="K592" s="1088"/>
    </row>
    <row r="593" spans="3:11" ht="12" customHeight="1">
      <c r="C593" s="891"/>
      <c r="D593" s="891"/>
      <c r="E593" s="891"/>
      <c r="F593" s="891"/>
      <c r="G593" s="891"/>
      <c r="H593" s="1088"/>
      <c r="I593" s="1088"/>
      <c r="J593" s="1088"/>
      <c r="K593" s="1088"/>
    </row>
    <row r="594" spans="3:11" ht="12" customHeight="1">
      <c r="C594" s="891"/>
      <c r="D594" s="891"/>
      <c r="E594" s="891"/>
      <c r="F594" s="891"/>
      <c r="G594" s="891"/>
      <c r="H594" s="1088"/>
      <c r="I594" s="1088"/>
      <c r="J594" s="1088"/>
      <c r="K594" s="1088"/>
    </row>
    <row r="595" spans="3:11" ht="12" customHeight="1">
      <c r="C595" s="891"/>
      <c r="D595" s="891"/>
      <c r="E595" s="891"/>
      <c r="F595" s="891"/>
      <c r="G595" s="891"/>
      <c r="H595" s="1088"/>
      <c r="I595" s="1088"/>
      <c r="J595" s="1088"/>
      <c r="K595" s="1088"/>
    </row>
    <row r="596" spans="3:11" ht="12" customHeight="1">
      <c r="C596" s="891"/>
      <c r="D596" s="891"/>
      <c r="E596" s="891"/>
      <c r="F596" s="891"/>
      <c r="G596" s="891"/>
      <c r="H596" s="1088"/>
      <c r="I596" s="1088"/>
      <c r="J596" s="1088"/>
      <c r="K596" s="1088"/>
    </row>
    <row r="597" spans="3:11" ht="12" customHeight="1">
      <c r="C597" s="891"/>
      <c r="D597" s="891"/>
      <c r="E597" s="891"/>
      <c r="F597" s="891"/>
      <c r="G597" s="891"/>
      <c r="H597" s="1088"/>
      <c r="I597" s="1088"/>
      <c r="J597" s="1088"/>
      <c r="K597" s="1088"/>
    </row>
    <row r="598" spans="3:11" ht="12" customHeight="1">
      <c r="C598" s="891"/>
      <c r="D598" s="891"/>
      <c r="E598" s="891"/>
      <c r="F598" s="891"/>
      <c r="G598" s="891"/>
      <c r="H598" s="1088"/>
      <c r="I598" s="1088"/>
      <c r="J598" s="1088"/>
      <c r="K598" s="1088"/>
    </row>
    <row r="599" spans="3:11" ht="12" customHeight="1">
      <c r="C599" s="891"/>
      <c r="D599" s="891"/>
      <c r="E599" s="891"/>
      <c r="F599" s="891"/>
      <c r="G599" s="891"/>
      <c r="H599" s="1088"/>
      <c r="I599" s="1088"/>
      <c r="J599" s="1088"/>
      <c r="K599" s="1088"/>
    </row>
    <row r="600" spans="3:11" ht="12" customHeight="1">
      <c r="C600" s="891"/>
      <c r="D600" s="891"/>
      <c r="E600" s="891"/>
      <c r="F600" s="891"/>
      <c r="G600" s="891"/>
      <c r="H600" s="1088"/>
      <c r="I600" s="1088"/>
      <c r="J600" s="1088"/>
      <c r="K600" s="1088"/>
    </row>
    <row r="601" spans="3:11" ht="12" customHeight="1">
      <c r="C601" s="891"/>
      <c r="D601" s="891"/>
      <c r="E601" s="891"/>
      <c r="F601" s="891"/>
      <c r="G601" s="891"/>
      <c r="H601" s="1088"/>
      <c r="I601" s="1088"/>
      <c r="J601" s="1088"/>
      <c r="K601" s="1088"/>
    </row>
    <row r="602" spans="3:11" ht="12" customHeight="1">
      <c r="C602" s="891"/>
      <c r="D602" s="891"/>
      <c r="E602" s="891"/>
      <c r="F602" s="891"/>
      <c r="G602" s="891"/>
      <c r="H602" s="1088"/>
      <c r="I602" s="1088"/>
      <c r="J602" s="1088"/>
      <c r="K602" s="1088"/>
    </row>
    <row r="603" spans="3:11" ht="12" customHeight="1">
      <c r="C603" s="891"/>
      <c r="D603" s="891"/>
      <c r="E603" s="891"/>
      <c r="F603" s="891"/>
      <c r="G603" s="891"/>
      <c r="H603" s="1088"/>
      <c r="I603" s="1088"/>
      <c r="J603" s="1088"/>
      <c r="K603" s="1088"/>
    </row>
    <row r="604" spans="3:11" ht="12" customHeight="1">
      <c r="C604" s="891"/>
      <c r="D604" s="891"/>
      <c r="E604" s="891"/>
      <c r="F604" s="891"/>
      <c r="G604" s="891"/>
      <c r="H604" s="1088"/>
      <c r="I604" s="1088"/>
      <c r="J604" s="1088"/>
      <c r="K604" s="1088"/>
    </row>
    <row r="605" spans="3:11" ht="12" customHeight="1">
      <c r="C605" s="891"/>
      <c r="D605" s="891"/>
      <c r="E605" s="891"/>
      <c r="F605" s="891"/>
      <c r="G605" s="891"/>
      <c r="H605" s="1088"/>
      <c r="I605" s="1088"/>
      <c r="J605" s="1088"/>
      <c r="K605" s="1088"/>
    </row>
    <row r="606" spans="3:11" ht="12" customHeight="1">
      <c r="C606" s="891"/>
      <c r="D606" s="891"/>
      <c r="E606" s="891"/>
      <c r="F606" s="891"/>
      <c r="G606" s="891"/>
      <c r="H606" s="1088"/>
      <c r="I606" s="1088"/>
      <c r="J606" s="1088"/>
      <c r="K606" s="1088"/>
    </row>
    <row r="607" spans="3:11" ht="12" customHeight="1">
      <c r="C607" s="891"/>
      <c r="D607" s="891"/>
      <c r="E607" s="891"/>
      <c r="F607" s="891"/>
      <c r="G607" s="891"/>
      <c r="H607" s="1088"/>
      <c r="I607" s="1088"/>
      <c r="J607" s="1088"/>
      <c r="K607" s="1088"/>
    </row>
    <row r="608" spans="3:11" ht="12" customHeight="1">
      <c r="C608" s="891"/>
      <c r="D608" s="891"/>
      <c r="E608" s="891"/>
      <c r="F608" s="891"/>
      <c r="G608" s="891"/>
      <c r="H608" s="1088"/>
      <c r="I608" s="1088"/>
      <c r="J608" s="1088"/>
      <c r="K608" s="1088"/>
    </row>
    <row r="609" spans="3:11" ht="12" customHeight="1">
      <c r="C609" s="891"/>
      <c r="D609" s="891"/>
      <c r="E609" s="891"/>
      <c r="F609" s="891"/>
      <c r="G609" s="891"/>
      <c r="H609" s="1088"/>
      <c r="I609" s="1088"/>
      <c r="J609" s="1088"/>
      <c r="K609" s="1088"/>
    </row>
    <row r="610" spans="3:11" ht="12" customHeight="1">
      <c r="C610" s="891"/>
      <c r="D610" s="891"/>
      <c r="E610" s="891"/>
      <c r="F610" s="891"/>
      <c r="G610" s="891"/>
      <c r="H610" s="1088"/>
      <c r="I610" s="1088"/>
      <c r="J610" s="1088"/>
      <c r="K610" s="1088"/>
    </row>
    <row r="611" spans="3:11" ht="12" customHeight="1">
      <c r="C611" s="891"/>
      <c r="D611" s="891"/>
      <c r="E611" s="891"/>
      <c r="F611" s="891"/>
      <c r="G611" s="891"/>
      <c r="H611" s="1088"/>
      <c r="I611" s="1088"/>
      <c r="J611" s="1088"/>
      <c r="K611" s="1088"/>
    </row>
    <row r="612" spans="3:11" ht="12" customHeight="1">
      <c r="C612" s="891"/>
      <c r="D612" s="891"/>
      <c r="E612" s="891"/>
      <c r="F612" s="891"/>
      <c r="G612" s="891"/>
      <c r="H612" s="1088"/>
      <c r="I612" s="1088"/>
      <c r="J612" s="1088"/>
      <c r="K612" s="1088"/>
    </row>
    <row r="613" spans="3:11" ht="12" customHeight="1">
      <c r="C613" s="891"/>
      <c r="D613" s="891"/>
      <c r="E613" s="891"/>
      <c r="F613" s="891"/>
      <c r="G613" s="891"/>
      <c r="H613" s="1088"/>
      <c r="I613" s="1088"/>
      <c r="J613" s="1088"/>
      <c r="K613" s="1088"/>
    </row>
    <row r="614" spans="3:11" ht="12" customHeight="1">
      <c r="C614" s="891"/>
      <c r="D614" s="891"/>
      <c r="E614" s="891"/>
      <c r="F614" s="891"/>
      <c r="G614" s="891"/>
      <c r="H614" s="1088"/>
      <c r="I614" s="1088"/>
      <c r="J614" s="1088"/>
      <c r="K614" s="1088"/>
    </row>
    <row r="615" spans="3:11" ht="12" customHeight="1">
      <c r="C615" s="891"/>
      <c r="D615" s="891"/>
      <c r="E615" s="891"/>
      <c r="F615" s="891"/>
      <c r="G615" s="891"/>
      <c r="H615" s="1088"/>
      <c r="I615" s="1088"/>
      <c r="J615" s="1088"/>
      <c r="K615" s="1088"/>
    </row>
    <row r="616" spans="3:11" ht="12" customHeight="1">
      <c r="C616" s="891"/>
      <c r="D616" s="891"/>
      <c r="E616" s="891"/>
      <c r="F616" s="891"/>
      <c r="G616" s="891"/>
      <c r="H616" s="1088"/>
      <c r="I616" s="1088"/>
      <c r="J616" s="1088"/>
      <c r="K616" s="1088"/>
    </row>
    <row r="617" spans="3:11" ht="12" customHeight="1">
      <c r="C617" s="891"/>
      <c r="D617" s="891"/>
      <c r="E617" s="891"/>
      <c r="F617" s="891"/>
      <c r="G617" s="891"/>
      <c r="H617" s="1088"/>
      <c r="I617" s="1088"/>
      <c r="J617" s="1088"/>
      <c r="K617" s="1088"/>
    </row>
    <row r="618" spans="3:11" ht="12" customHeight="1">
      <c r="C618" s="891"/>
      <c r="D618" s="891"/>
      <c r="E618" s="891"/>
      <c r="F618" s="891"/>
      <c r="G618" s="891"/>
      <c r="H618" s="1088"/>
      <c r="I618" s="1088"/>
      <c r="J618" s="1088"/>
      <c r="K618" s="1088"/>
    </row>
    <row r="619" spans="3:11" ht="12" customHeight="1">
      <c r="C619" s="891"/>
      <c r="D619" s="891"/>
      <c r="E619" s="891"/>
      <c r="F619" s="891"/>
      <c r="G619" s="891"/>
      <c r="H619" s="1088"/>
      <c r="I619" s="1088"/>
      <c r="J619" s="1088"/>
      <c r="K619" s="1088"/>
    </row>
    <row r="620" spans="3:11" ht="12" customHeight="1">
      <c r="C620" s="891"/>
      <c r="D620" s="891"/>
      <c r="E620" s="891"/>
      <c r="F620" s="891"/>
      <c r="G620" s="891"/>
      <c r="H620" s="1088"/>
      <c r="I620" s="1088"/>
      <c r="J620" s="1088"/>
      <c r="K620" s="1088"/>
    </row>
    <row r="621" spans="3:11" ht="12" customHeight="1">
      <c r="C621" s="891"/>
      <c r="D621" s="891"/>
      <c r="E621" s="891"/>
      <c r="F621" s="891"/>
      <c r="G621" s="891"/>
      <c r="H621" s="1088"/>
      <c r="I621" s="1088"/>
      <c r="J621" s="1088"/>
      <c r="K621" s="1088"/>
    </row>
    <row r="622" spans="3:11" ht="12" customHeight="1">
      <c r="C622" s="891"/>
      <c r="D622" s="891"/>
      <c r="E622" s="891"/>
      <c r="F622" s="891"/>
      <c r="G622" s="891"/>
      <c r="H622" s="1088"/>
      <c r="I622" s="1088"/>
      <c r="J622" s="1088"/>
      <c r="K622" s="1088"/>
    </row>
    <row r="623" spans="3:11" ht="12" customHeight="1">
      <c r="C623" s="891"/>
      <c r="D623" s="891"/>
      <c r="E623" s="891"/>
      <c r="F623" s="891"/>
      <c r="G623" s="891"/>
      <c r="H623" s="1088"/>
      <c r="I623" s="1088"/>
      <c r="J623" s="1088"/>
      <c r="K623" s="1088"/>
    </row>
    <row r="624" spans="3:11" ht="12" customHeight="1">
      <c r="C624" s="891"/>
      <c r="D624" s="891"/>
      <c r="E624" s="891"/>
      <c r="F624" s="891"/>
      <c r="G624" s="891"/>
      <c r="H624" s="1088"/>
      <c r="I624" s="1088"/>
      <c r="J624" s="1088"/>
      <c r="K624" s="1088"/>
    </row>
    <row r="625" spans="3:11" ht="12" customHeight="1">
      <c r="C625" s="891"/>
      <c r="D625" s="891"/>
      <c r="E625" s="891"/>
      <c r="F625" s="891"/>
      <c r="G625" s="891"/>
      <c r="H625" s="1088"/>
      <c r="I625" s="1088"/>
      <c r="J625" s="1088"/>
      <c r="K625" s="1088"/>
    </row>
    <row r="626" spans="3:11" ht="12" customHeight="1">
      <c r="C626" s="891"/>
      <c r="D626" s="891"/>
      <c r="E626" s="891"/>
      <c r="F626" s="891"/>
      <c r="G626" s="891"/>
      <c r="H626" s="1088"/>
      <c r="I626" s="1088"/>
      <c r="J626" s="1088"/>
      <c r="K626" s="1088"/>
    </row>
    <row r="627" spans="3:11" ht="12" customHeight="1">
      <c r="C627" s="891"/>
      <c r="D627" s="891"/>
      <c r="E627" s="891"/>
      <c r="F627" s="891"/>
      <c r="G627" s="891"/>
      <c r="H627" s="1088"/>
      <c r="I627" s="1088"/>
      <c r="J627" s="1088"/>
      <c r="K627" s="1088"/>
    </row>
    <row r="628" spans="3:11" ht="12" customHeight="1">
      <c r="C628" s="891"/>
      <c r="D628" s="891"/>
      <c r="E628" s="891"/>
      <c r="F628" s="891"/>
      <c r="G628" s="891"/>
      <c r="H628" s="1088"/>
      <c r="I628" s="1088"/>
      <c r="J628" s="1088"/>
      <c r="K628" s="1088"/>
    </row>
    <row r="629" spans="3:11" ht="12" customHeight="1">
      <c r="C629" s="891"/>
      <c r="D629" s="891"/>
      <c r="E629" s="891"/>
      <c r="F629" s="891"/>
      <c r="G629" s="891"/>
      <c r="H629" s="1088"/>
      <c r="I629" s="1088"/>
      <c r="J629" s="1088"/>
      <c r="K629" s="1088"/>
    </row>
    <row r="630" spans="3:11" ht="12" customHeight="1">
      <c r="C630" s="891"/>
      <c r="D630" s="891"/>
      <c r="E630" s="891"/>
      <c r="F630" s="891"/>
      <c r="G630" s="891"/>
      <c r="H630" s="1088"/>
      <c r="I630" s="1088"/>
      <c r="J630" s="1088"/>
      <c r="K630" s="1088"/>
    </row>
    <row r="631" spans="3:11" ht="12" customHeight="1">
      <c r="C631" s="891"/>
      <c r="D631" s="891"/>
      <c r="E631" s="891"/>
      <c r="F631" s="891"/>
      <c r="G631" s="891"/>
      <c r="H631" s="1088"/>
      <c r="I631" s="1088"/>
      <c r="J631" s="1088"/>
      <c r="K631" s="1088"/>
    </row>
    <row r="632" spans="3:11" ht="12" customHeight="1">
      <c r="C632" s="891"/>
      <c r="D632" s="891"/>
      <c r="E632" s="891"/>
      <c r="F632" s="891"/>
      <c r="G632" s="891"/>
      <c r="H632" s="1088"/>
      <c r="I632" s="1088"/>
      <c r="J632" s="1088"/>
      <c r="K632" s="1088"/>
    </row>
    <row r="633" spans="3:11" ht="12" customHeight="1">
      <c r="C633" s="891"/>
      <c r="D633" s="891"/>
      <c r="E633" s="891"/>
      <c r="F633" s="891"/>
      <c r="G633" s="891"/>
      <c r="H633" s="1088"/>
      <c r="I633" s="1088"/>
      <c r="J633" s="1088"/>
      <c r="K633" s="1088"/>
    </row>
    <row r="634" spans="3:11" ht="12" customHeight="1">
      <c r="C634" s="891"/>
      <c r="D634" s="891"/>
      <c r="E634" s="891"/>
      <c r="F634" s="891"/>
      <c r="G634" s="891"/>
      <c r="H634" s="1088"/>
      <c r="I634" s="1088"/>
      <c r="J634" s="1088"/>
      <c r="K634" s="1088"/>
    </row>
    <row r="635" spans="3:11" ht="12" customHeight="1">
      <c r="C635" s="891"/>
      <c r="D635" s="891"/>
      <c r="E635" s="891"/>
      <c r="F635" s="891"/>
      <c r="G635" s="891"/>
      <c r="H635" s="1088"/>
      <c r="I635" s="1088"/>
      <c r="J635" s="1088"/>
      <c r="K635" s="1088"/>
    </row>
    <row r="636" spans="3:11" ht="12" customHeight="1">
      <c r="C636" s="891"/>
      <c r="D636" s="891"/>
      <c r="E636" s="891"/>
      <c r="F636" s="891"/>
      <c r="G636" s="891"/>
      <c r="H636" s="1088"/>
      <c r="I636" s="1088"/>
      <c r="J636" s="1088"/>
      <c r="K636" s="1088"/>
    </row>
    <row r="637" spans="3:11" ht="12" customHeight="1">
      <c r="C637" s="891"/>
      <c r="D637" s="891"/>
      <c r="E637" s="891"/>
      <c r="F637" s="891"/>
      <c r="G637" s="891"/>
      <c r="H637" s="1088"/>
      <c r="I637" s="1088"/>
      <c r="J637" s="1088"/>
      <c r="K637" s="1088"/>
    </row>
    <row r="638" spans="3:11" ht="12" customHeight="1">
      <c r="C638" s="891"/>
      <c r="D638" s="891"/>
      <c r="E638" s="891"/>
      <c r="F638" s="891"/>
      <c r="G638" s="891"/>
      <c r="H638" s="1088"/>
      <c r="I638" s="1088"/>
      <c r="J638" s="1088"/>
      <c r="K638" s="1088"/>
    </row>
    <row r="639" spans="3:11" ht="12" customHeight="1">
      <c r="C639" s="891"/>
      <c r="D639" s="891"/>
      <c r="E639" s="891"/>
      <c r="F639" s="891"/>
      <c r="G639" s="891"/>
      <c r="H639" s="1088"/>
      <c r="I639" s="1088"/>
      <c r="J639" s="1088"/>
      <c r="K639" s="1088"/>
    </row>
    <row r="640" spans="3:11" ht="12" customHeight="1">
      <c r="C640" s="891"/>
      <c r="D640" s="891"/>
      <c r="E640" s="891"/>
      <c r="F640" s="891"/>
      <c r="G640" s="891"/>
      <c r="H640" s="1088"/>
      <c r="I640" s="1088"/>
      <c r="J640" s="1088"/>
      <c r="K640" s="1088"/>
    </row>
    <row r="641" spans="3:11" ht="12" customHeight="1">
      <c r="C641" s="891"/>
      <c r="D641" s="891"/>
      <c r="E641" s="891"/>
      <c r="F641" s="891"/>
      <c r="G641" s="891"/>
      <c r="H641" s="1088"/>
      <c r="I641" s="1088"/>
      <c r="J641" s="1088"/>
      <c r="K641" s="1088"/>
    </row>
    <row r="642" spans="3:11" ht="12" customHeight="1">
      <c r="C642" s="891"/>
      <c r="D642" s="891"/>
      <c r="E642" s="891"/>
      <c r="F642" s="891"/>
      <c r="G642" s="891"/>
      <c r="H642" s="1088"/>
      <c r="I642" s="1088"/>
      <c r="J642" s="1088"/>
      <c r="K642" s="1088"/>
    </row>
    <row r="643" spans="3:11" ht="12" customHeight="1">
      <c r="C643" s="891"/>
      <c r="D643" s="891"/>
      <c r="E643" s="891"/>
      <c r="F643" s="891"/>
      <c r="G643" s="891"/>
      <c r="H643" s="1088"/>
      <c r="I643" s="1088"/>
      <c r="J643" s="1088"/>
      <c r="K643" s="1088"/>
    </row>
    <row r="644" spans="3:11" ht="12" customHeight="1">
      <c r="C644" s="891"/>
      <c r="D644" s="891"/>
      <c r="E644" s="891"/>
      <c r="F644" s="891"/>
      <c r="G644" s="891"/>
      <c r="H644" s="1088"/>
      <c r="I644" s="1088"/>
      <c r="J644" s="1088"/>
      <c r="K644" s="1088"/>
    </row>
    <row r="645" spans="3:11" ht="12" customHeight="1">
      <c r="C645" s="891"/>
      <c r="D645" s="891"/>
      <c r="E645" s="891"/>
      <c r="F645" s="891"/>
      <c r="G645" s="891"/>
      <c r="H645" s="1088"/>
      <c r="I645" s="1088"/>
      <c r="J645" s="1088"/>
      <c r="K645" s="1088"/>
    </row>
    <row r="646" spans="3:11" ht="12" customHeight="1">
      <c r="C646" s="891"/>
      <c r="D646" s="891"/>
      <c r="E646" s="891"/>
      <c r="F646" s="891"/>
      <c r="G646" s="891"/>
      <c r="H646" s="1088"/>
      <c r="I646" s="1088"/>
      <c r="J646" s="1088"/>
      <c r="K646" s="1088"/>
    </row>
    <row r="647" spans="3:11" ht="12" customHeight="1">
      <c r="C647" s="891"/>
      <c r="D647" s="891"/>
      <c r="E647" s="891"/>
      <c r="F647" s="891"/>
      <c r="G647" s="891"/>
      <c r="H647" s="1088"/>
      <c r="I647" s="1088"/>
      <c r="J647" s="1088"/>
      <c r="K647" s="1088"/>
    </row>
    <row r="648" spans="3:11" ht="12" customHeight="1">
      <c r="C648" s="891"/>
      <c r="D648" s="891"/>
      <c r="E648" s="891"/>
      <c r="F648" s="891"/>
      <c r="G648" s="891"/>
      <c r="H648" s="1088"/>
      <c r="I648" s="1088"/>
      <c r="J648" s="1088"/>
      <c r="K648" s="1088"/>
    </row>
    <row r="649" spans="3:11" ht="12" customHeight="1">
      <c r="C649" s="891"/>
      <c r="D649" s="891"/>
      <c r="E649" s="891"/>
      <c r="F649" s="891"/>
      <c r="G649" s="891"/>
      <c r="H649" s="1088"/>
      <c r="I649" s="1088"/>
      <c r="J649" s="1088"/>
      <c r="K649" s="1088"/>
    </row>
    <row r="650" spans="3:11" ht="12" customHeight="1">
      <c r="C650" s="891"/>
      <c r="D650" s="891"/>
      <c r="E650" s="891"/>
      <c r="F650" s="891"/>
      <c r="G650" s="891"/>
      <c r="H650" s="1088"/>
      <c r="I650" s="1088"/>
      <c r="J650" s="1088"/>
      <c r="K650" s="1088"/>
    </row>
    <row r="651" spans="3:11" ht="12" customHeight="1">
      <c r="C651" s="891"/>
      <c r="D651" s="891"/>
      <c r="E651" s="891"/>
      <c r="F651" s="891"/>
      <c r="G651" s="891"/>
      <c r="H651" s="1088"/>
      <c r="I651" s="1088"/>
      <c r="J651" s="1088"/>
      <c r="K651" s="1088"/>
    </row>
    <row r="652" spans="3:11" ht="12" customHeight="1">
      <c r="C652" s="891"/>
      <c r="D652" s="891"/>
      <c r="E652" s="891"/>
      <c r="F652" s="891"/>
      <c r="G652" s="891"/>
      <c r="H652" s="1088"/>
      <c r="I652" s="1088"/>
      <c r="J652" s="1088"/>
      <c r="K652" s="1088"/>
    </row>
    <row r="653" spans="3:11" ht="12" customHeight="1">
      <c r="C653" s="891"/>
      <c r="D653" s="891"/>
      <c r="E653" s="891"/>
      <c r="F653" s="891"/>
      <c r="G653" s="891"/>
      <c r="H653" s="1088"/>
      <c r="I653" s="1088"/>
      <c r="J653" s="1088"/>
      <c r="K653" s="1088"/>
    </row>
    <row r="654" spans="3:11" ht="12" customHeight="1">
      <c r="C654" s="891"/>
      <c r="D654" s="891"/>
      <c r="E654" s="891"/>
      <c r="F654" s="891"/>
      <c r="G654" s="891"/>
      <c r="H654" s="1088"/>
      <c r="I654" s="1088"/>
      <c r="J654" s="1088"/>
      <c r="K654" s="1088"/>
    </row>
    <row r="655" spans="3:11" ht="12" customHeight="1">
      <c r="C655" s="891"/>
      <c r="D655" s="891"/>
      <c r="E655" s="891"/>
      <c r="F655" s="891"/>
      <c r="G655" s="891"/>
      <c r="H655" s="1088"/>
      <c r="I655" s="1088"/>
      <c r="J655" s="1088"/>
      <c r="K655" s="1088"/>
    </row>
    <row r="656" spans="3:11" ht="12" customHeight="1">
      <c r="C656" s="891"/>
      <c r="D656" s="891"/>
      <c r="E656" s="891"/>
      <c r="F656" s="891"/>
      <c r="G656" s="891"/>
      <c r="H656" s="1088"/>
      <c r="I656" s="1088"/>
      <c r="J656" s="1088"/>
      <c r="K656" s="1088"/>
    </row>
    <row r="657" spans="3:11" ht="12" customHeight="1">
      <c r="C657" s="891"/>
      <c r="D657" s="891"/>
      <c r="E657" s="891"/>
      <c r="F657" s="891"/>
      <c r="G657" s="891"/>
      <c r="H657" s="1088"/>
      <c r="I657" s="1088"/>
      <c r="J657" s="1088"/>
      <c r="K657" s="1088"/>
    </row>
    <row r="658" spans="3:11" ht="12" customHeight="1">
      <c r="C658" s="891"/>
      <c r="D658" s="891"/>
      <c r="E658" s="891"/>
      <c r="F658" s="891"/>
      <c r="G658" s="891"/>
      <c r="H658" s="1088"/>
      <c r="I658" s="1088"/>
      <c r="J658" s="1088"/>
      <c r="K658" s="1088"/>
    </row>
    <row r="659" spans="3:11" ht="12" customHeight="1">
      <c r="C659" s="891"/>
      <c r="D659" s="891"/>
      <c r="E659" s="891"/>
      <c r="F659" s="891"/>
      <c r="G659" s="891"/>
      <c r="H659" s="1088"/>
      <c r="I659" s="1088"/>
      <c r="J659" s="1088"/>
      <c r="K659" s="1088"/>
    </row>
    <row r="660" spans="3:11" ht="12" customHeight="1">
      <c r="C660" s="891"/>
      <c r="D660" s="891"/>
      <c r="E660" s="891"/>
      <c r="F660" s="891"/>
      <c r="G660" s="891"/>
      <c r="H660" s="1088"/>
      <c r="I660" s="1088"/>
      <c r="J660" s="1088"/>
      <c r="K660" s="1088"/>
    </row>
    <row r="661" spans="3:11" ht="12" customHeight="1">
      <c r="C661" s="891"/>
      <c r="D661" s="891"/>
      <c r="E661" s="891"/>
      <c r="F661" s="891"/>
      <c r="G661" s="891"/>
      <c r="H661" s="1088"/>
      <c r="I661" s="1088"/>
      <c r="J661" s="1088"/>
      <c r="K661" s="1088"/>
    </row>
    <row r="662" spans="3:11" ht="12" customHeight="1">
      <c r="C662" s="891"/>
      <c r="D662" s="891"/>
      <c r="E662" s="891"/>
      <c r="F662" s="891"/>
      <c r="G662" s="891"/>
      <c r="H662" s="1088"/>
      <c r="I662" s="1088"/>
      <c r="J662" s="1088"/>
      <c r="K662" s="1088"/>
    </row>
    <row r="663" spans="3:11" ht="12" customHeight="1">
      <c r="C663" s="891"/>
      <c r="D663" s="891"/>
      <c r="E663" s="891"/>
      <c r="F663" s="891"/>
      <c r="G663" s="891"/>
      <c r="H663" s="1088"/>
      <c r="I663" s="1088"/>
      <c r="J663" s="1088"/>
      <c r="K663" s="1088"/>
    </row>
    <row r="664" spans="3:11" ht="12" customHeight="1">
      <c r="C664" s="891"/>
      <c r="D664" s="891"/>
      <c r="E664" s="891"/>
      <c r="F664" s="891"/>
      <c r="G664" s="891"/>
      <c r="H664" s="1088"/>
      <c r="I664" s="1088"/>
      <c r="J664" s="1088"/>
      <c r="K664" s="1088"/>
    </row>
    <row r="665" spans="3:11" ht="12" customHeight="1">
      <c r="C665" s="891"/>
      <c r="D665" s="891"/>
      <c r="E665" s="891"/>
      <c r="F665" s="891"/>
      <c r="G665" s="891"/>
      <c r="H665" s="1088"/>
      <c r="I665" s="1088"/>
      <c r="J665" s="1088"/>
      <c r="K665" s="1088"/>
    </row>
    <row r="666" spans="3:11" ht="12" customHeight="1">
      <c r="C666" s="891"/>
      <c r="D666" s="891"/>
      <c r="E666" s="891"/>
      <c r="F666" s="891"/>
      <c r="G666" s="891"/>
      <c r="H666" s="1088"/>
      <c r="I666" s="1088"/>
      <c r="J666" s="1088"/>
      <c r="K666" s="1088"/>
    </row>
    <row r="667" spans="3:11" ht="12" customHeight="1">
      <c r="C667" s="891"/>
      <c r="D667" s="891"/>
      <c r="E667" s="891"/>
      <c r="F667" s="891"/>
      <c r="G667" s="891"/>
      <c r="H667" s="1088"/>
      <c r="I667" s="1088"/>
      <c r="J667" s="1088"/>
      <c r="K667" s="1088"/>
    </row>
    <row r="668" spans="3:11" ht="12" customHeight="1">
      <c r="C668" s="891"/>
      <c r="D668" s="891"/>
      <c r="E668" s="891"/>
      <c r="F668" s="891"/>
      <c r="G668" s="891"/>
      <c r="H668" s="1088"/>
      <c r="I668" s="1088"/>
      <c r="J668" s="1088"/>
      <c r="K668" s="1088"/>
    </row>
    <row r="669" spans="3:11" ht="12" customHeight="1">
      <c r="C669" s="891"/>
      <c r="D669" s="891"/>
      <c r="E669" s="891"/>
      <c r="F669" s="891"/>
      <c r="G669" s="891"/>
      <c r="H669" s="1088"/>
      <c r="I669" s="1088"/>
      <c r="J669" s="1088"/>
      <c r="K669" s="1088"/>
    </row>
    <row r="670" spans="3:11" ht="12" customHeight="1">
      <c r="C670" s="891"/>
      <c r="D670" s="891"/>
      <c r="E670" s="891"/>
      <c r="F670" s="891"/>
      <c r="G670" s="891"/>
      <c r="H670" s="1088"/>
      <c r="I670" s="1088"/>
      <c r="J670" s="1088"/>
      <c r="K670" s="1088"/>
    </row>
    <row r="671" spans="3:11" ht="12" customHeight="1">
      <c r="C671" s="891"/>
      <c r="D671" s="891"/>
      <c r="E671" s="891"/>
      <c r="F671" s="891"/>
      <c r="G671" s="891"/>
      <c r="H671" s="1088"/>
      <c r="I671" s="1088"/>
      <c r="J671" s="1088"/>
      <c r="K671" s="1088"/>
    </row>
    <row r="672" spans="3:11" ht="12" customHeight="1">
      <c r="C672" s="891"/>
      <c r="D672" s="891"/>
      <c r="E672" s="891"/>
      <c r="F672" s="891"/>
      <c r="G672" s="891"/>
      <c r="H672" s="1088"/>
      <c r="I672" s="1088"/>
      <c r="J672" s="1088"/>
      <c r="K672" s="1088"/>
    </row>
    <row r="673" spans="3:11" ht="12" customHeight="1">
      <c r="C673" s="891"/>
      <c r="D673" s="891"/>
      <c r="E673" s="891"/>
      <c r="F673" s="891"/>
      <c r="G673" s="891"/>
      <c r="H673" s="1088"/>
      <c r="I673" s="1088"/>
      <c r="J673" s="1088"/>
      <c r="K673" s="1088"/>
    </row>
    <row r="674" spans="3:11" ht="12" customHeight="1">
      <c r="C674" s="891"/>
      <c r="D674" s="891"/>
      <c r="E674" s="891"/>
      <c r="F674" s="891"/>
      <c r="G674" s="891"/>
      <c r="H674" s="1088"/>
      <c r="I674" s="1088"/>
      <c r="J674" s="1088"/>
      <c r="K674" s="1088"/>
    </row>
    <row r="675" spans="3:11" ht="12" customHeight="1">
      <c r="C675" s="891"/>
      <c r="D675" s="891"/>
      <c r="E675" s="891"/>
      <c r="F675" s="891"/>
      <c r="G675" s="891"/>
      <c r="H675" s="1088"/>
      <c r="I675" s="1088"/>
      <c r="J675" s="1088"/>
      <c r="K675" s="1088"/>
    </row>
    <row r="676" spans="3:11" ht="12" customHeight="1">
      <c r="C676" s="891"/>
      <c r="D676" s="891"/>
      <c r="E676" s="891"/>
      <c r="F676" s="891"/>
      <c r="G676" s="891"/>
      <c r="H676" s="1088"/>
      <c r="I676" s="1088"/>
      <c r="J676" s="1088"/>
      <c r="K676" s="1088"/>
    </row>
    <row r="677" spans="3:11" ht="12" customHeight="1">
      <c r="C677" s="891"/>
      <c r="D677" s="891"/>
      <c r="E677" s="891"/>
      <c r="F677" s="891"/>
      <c r="G677" s="891"/>
      <c r="H677" s="1088"/>
      <c r="I677" s="1088"/>
      <c r="J677" s="1088"/>
      <c r="K677" s="1088"/>
    </row>
    <row r="678" spans="3:11" ht="12" customHeight="1">
      <c r="C678" s="891"/>
      <c r="D678" s="891"/>
      <c r="E678" s="891"/>
      <c r="F678" s="891"/>
      <c r="G678" s="891"/>
      <c r="H678" s="1088"/>
      <c r="I678" s="1088"/>
      <c r="J678" s="1088"/>
      <c r="K678" s="1088"/>
    </row>
    <row r="679" spans="3:11" ht="12" customHeight="1">
      <c r="C679" s="891"/>
      <c r="D679" s="891"/>
      <c r="E679" s="891"/>
      <c r="F679" s="891"/>
      <c r="G679" s="891"/>
      <c r="H679" s="1088"/>
      <c r="I679" s="1088"/>
      <c r="J679" s="1088"/>
      <c r="K679" s="1088"/>
    </row>
    <row r="680" spans="3:11" ht="12" customHeight="1">
      <c r="C680" s="891"/>
      <c r="D680" s="891"/>
      <c r="E680" s="891"/>
      <c r="F680" s="891"/>
      <c r="G680" s="891"/>
      <c r="H680" s="1088"/>
      <c r="I680" s="1088"/>
      <c r="J680" s="1088"/>
      <c r="K680" s="1088"/>
    </row>
    <row r="681" spans="3:11" ht="12" customHeight="1">
      <c r="C681" s="891"/>
      <c r="D681" s="891"/>
      <c r="E681" s="891"/>
      <c r="F681" s="891"/>
      <c r="G681" s="891"/>
      <c r="H681" s="1088"/>
      <c r="I681" s="1088"/>
      <c r="J681" s="1088"/>
      <c r="K681" s="1088"/>
    </row>
    <row r="682" spans="3:11" ht="12" customHeight="1">
      <c r="C682" s="891"/>
      <c r="D682" s="891"/>
      <c r="E682" s="891"/>
      <c r="F682" s="891"/>
      <c r="G682" s="891"/>
      <c r="H682" s="1088"/>
      <c r="I682" s="1088"/>
      <c r="J682" s="1088"/>
      <c r="K682" s="1088"/>
    </row>
    <row r="683" spans="3:11" ht="12" customHeight="1">
      <c r="C683" s="891"/>
      <c r="D683" s="891"/>
      <c r="E683" s="891"/>
      <c r="F683" s="891"/>
      <c r="G683" s="891"/>
      <c r="H683" s="1088"/>
      <c r="I683" s="1088"/>
      <c r="J683" s="1088"/>
      <c r="K683" s="1088"/>
    </row>
    <row r="684" spans="3:11" ht="12" customHeight="1">
      <c r="C684" s="891"/>
      <c r="D684" s="891"/>
      <c r="E684" s="891"/>
      <c r="F684" s="891"/>
      <c r="G684" s="891"/>
      <c r="H684" s="1088"/>
      <c r="I684" s="1088"/>
      <c r="J684" s="1088"/>
      <c r="K684" s="1088"/>
    </row>
    <row r="685" spans="3:11" ht="12" customHeight="1">
      <c r="C685" s="891"/>
      <c r="D685" s="891"/>
      <c r="E685" s="891"/>
      <c r="F685" s="891"/>
      <c r="G685" s="891"/>
      <c r="H685" s="1088"/>
      <c r="I685" s="1088"/>
      <c r="J685" s="1088"/>
      <c r="K685" s="1088"/>
    </row>
    <row r="686" spans="3:11" ht="12" customHeight="1">
      <c r="C686" s="891"/>
      <c r="D686" s="891"/>
      <c r="E686" s="891"/>
      <c r="F686" s="891"/>
      <c r="G686" s="891"/>
      <c r="H686" s="1088"/>
      <c r="I686" s="1088"/>
      <c r="J686" s="1088"/>
      <c r="K686" s="1088"/>
    </row>
    <row r="687" spans="3:11" ht="12" customHeight="1">
      <c r="C687" s="891"/>
      <c r="D687" s="891"/>
      <c r="E687" s="891"/>
      <c r="F687" s="891"/>
      <c r="G687" s="891"/>
      <c r="H687" s="1088"/>
      <c r="I687" s="1088"/>
      <c r="J687" s="1088"/>
      <c r="K687" s="1088"/>
    </row>
    <row r="688" spans="3:11" ht="12" customHeight="1">
      <c r="C688" s="891"/>
      <c r="D688" s="891"/>
      <c r="E688" s="891"/>
      <c r="F688" s="891"/>
      <c r="G688" s="891"/>
      <c r="H688" s="1088"/>
      <c r="I688" s="1088"/>
      <c r="J688" s="1088"/>
      <c r="K688" s="1088"/>
    </row>
    <row r="689" spans="3:11" ht="12" customHeight="1">
      <c r="C689" s="891"/>
      <c r="D689" s="891"/>
      <c r="E689" s="891"/>
      <c r="F689" s="891"/>
      <c r="G689" s="891"/>
      <c r="H689" s="1088"/>
      <c r="I689" s="1088"/>
      <c r="J689" s="1088"/>
      <c r="K689" s="1088"/>
    </row>
    <row r="690" spans="3:11" ht="12" customHeight="1">
      <c r="C690" s="891"/>
      <c r="D690" s="891"/>
      <c r="E690" s="891"/>
      <c r="F690" s="891"/>
      <c r="G690" s="891"/>
      <c r="H690" s="1088"/>
      <c r="I690" s="1088"/>
      <c r="J690" s="1088"/>
      <c r="K690" s="1088"/>
    </row>
    <row r="691" spans="3:11" ht="12" customHeight="1">
      <c r="C691" s="891"/>
      <c r="D691" s="891"/>
      <c r="E691" s="891"/>
      <c r="F691" s="891"/>
      <c r="G691" s="891"/>
      <c r="H691" s="1088"/>
      <c r="I691" s="1088"/>
      <c r="J691" s="1088"/>
      <c r="K691" s="1088"/>
    </row>
    <row r="692" spans="3:11" ht="12" customHeight="1">
      <c r="C692" s="891"/>
      <c r="D692" s="891"/>
      <c r="E692" s="891"/>
      <c r="F692" s="891"/>
      <c r="G692" s="891"/>
      <c r="H692" s="1088"/>
      <c r="I692" s="1088"/>
      <c r="J692" s="1088"/>
      <c r="K692" s="1088"/>
    </row>
    <row r="693" spans="3:11" ht="12" customHeight="1">
      <c r="C693" s="891"/>
      <c r="D693" s="891"/>
      <c r="E693" s="891"/>
      <c r="F693" s="891"/>
      <c r="G693" s="891"/>
      <c r="H693" s="1088"/>
      <c r="I693" s="1088"/>
      <c r="J693" s="1088"/>
      <c r="K693" s="1088"/>
    </row>
    <row r="694" spans="3:11" ht="12" customHeight="1">
      <c r="C694" s="891"/>
      <c r="D694" s="891"/>
      <c r="E694" s="891"/>
      <c r="F694" s="891"/>
      <c r="G694" s="891"/>
      <c r="H694" s="1088"/>
      <c r="I694" s="1088"/>
      <c r="J694" s="1088"/>
      <c r="K694" s="1088"/>
    </row>
    <row r="695" spans="3:11" ht="12" customHeight="1">
      <c r="C695" s="891"/>
      <c r="D695" s="891"/>
      <c r="E695" s="891"/>
      <c r="F695" s="891"/>
      <c r="G695" s="891"/>
      <c r="H695" s="1088"/>
      <c r="I695" s="1088"/>
      <c r="J695" s="1088"/>
      <c r="K695" s="1088"/>
    </row>
    <row r="696" spans="3:11" ht="12" customHeight="1">
      <c r="C696" s="891"/>
      <c r="D696" s="891"/>
      <c r="E696" s="891"/>
      <c r="F696" s="891"/>
      <c r="G696" s="891"/>
      <c r="H696" s="1088"/>
      <c r="I696" s="1088"/>
      <c r="J696" s="1088"/>
      <c r="K696" s="1088"/>
    </row>
    <row r="697" spans="3:11" ht="12" customHeight="1">
      <c r="C697" s="891"/>
      <c r="D697" s="891"/>
      <c r="E697" s="891"/>
      <c r="F697" s="891"/>
      <c r="G697" s="891"/>
      <c r="H697" s="1088"/>
      <c r="I697" s="1088"/>
      <c r="J697" s="1088"/>
      <c r="K697" s="1088"/>
    </row>
    <row r="698" spans="3:11" ht="12" customHeight="1">
      <c r="C698" s="891"/>
      <c r="D698" s="891"/>
      <c r="E698" s="891"/>
      <c r="F698" s="891"/>
      <c r="G698" s="891"/>
      <c r="H698" s="1088"/>
      <c r="I698" s="1088"/>
      <c r="J698" s="1088"/>
      <c r="K698" s="1088"/>
    </row>
    <row r="699" spans="3:11" ht="12" customHeight="1">
      <c r="C699" s="891"/>
      <c r="D699" s="891"/>
      <c r="E699" s="891"/>
      <c r="F699" s="891"/>
      <c r="G699" s="891"/>
      <c r="H699" s="1088"/>
      <c r="I699" s="1088"/>
      <c r="J699" s="1088"/>
      <c r="K699" s="1088"/>
    </row>
    <row r="700" spans="3:11" ht="12" customHeight="1">
      <c r="C700" s="891"/>
      <c r="D700" s="891"/>
      <c r="E700" s="891"/>
      <c r="F700" s="891"/>
      <c r="G700" s="891"/>
      <c r="H700" s="1088"/>
      <c r="I700" s="1088"/>
      <c r="J700" s="1088"/>
      <c r="K700" s="1088"/>
    </row>
    <row r="701" spans="3:11" ht="12" customHeight="1">
      <c r="C701" s="891"/>
      <c r="D701" s="891"/>
      <c r="E701" s="891"/>
      <c r="F701" s="891"/>
      <c r="G701" s="891"/>
      <c r="H701" s="1088"/>
      <c r="I701" s="1088"/>
      <c r="J701" s="1088"/>
      <c r="K701" s="1088"/>
    </row>
    <row r="702" spans="3:11" ht="12" customHeight="1">
      <c r="C702" s="891"/>
      <c r="D702" s="891"/>
      <c r="E702" s="891"/>
      <c r="F702" s="891"/>
      <c r="G702" s="891"/>
      <c r="H702" s="1088"/>
      <c r="I702" s="1088"/>
      <c r="J702" s="1088"/>
      <c r="K702" s="1088"/>
    </row>
    <row r="703" spans="3:11" ht="12" customHeight="1">
      <c r="C703" s="891"/>
      <c r="D703" s="891"/>
      <c r="E703" s="891"/>
      <c r="F703" s="891"/>
      <c r="G703" s="891"/>
      <c r="H703" s="1088"/>
      <c r="I703" s="1088"/>
      <c r="J703" s="1088"/>
      <c r="K703" s="1088"/>
    </row>
    <row r="704" spans="3:11" ht="12" customHeight="1">
      <c r="C704" s="891"/>
      <c r="D704" s="891"/>
      <c r="E704" s="891"/>
      <c r="F704" s="891"/>
      <c r="G704" s="891"/>
      <c r="H704" s="1088"/>
      <c r="I704" s="1088"/>
      <c r="J704" s="1088"/>
      <c r="K704" s="1088"/>
    </row>
    <row r="705" spans="3:11" ht="12" customHeight="1">
      <c r="C705" s="891"/>
      <c r="D705" s="891"/>
      <c r="E705" s="891"/>
      <c r="F705" s="891"/>
      <c r="G705" s="891"/>
      <c r="H705" s="1088"/>
      <c r="I705" s="1088"/>
      <c r="J705" s="1088"/>
      <c r="K705" s="1088"/>
    </row>
    <row r="706" spans="3:11" ht="12" customHeight="1">
      <c r="C706" s="891"/>
      <c r="D706" s="891"/>
      <c r="E706" s="891"/>
      <c r="F706" s="891"/>
      <c r="G706" s="891"/>
      <c r="H706" s="1088"/>
      <c r="I706" s="1088"/>
      <c r="J706" s="1088"/>
      <c r="K706" s="1088"/>
    </row>
    <row r="707" spans="3:11" ht="12" customHeight="1">
      <c r="C707" s="891"/>
      <c r="D707" s="891"/>
      <c r="E707" s="891"/>
      <c r="F707" s="891"/>
      <c r="G707" s="891"/>
      <c r="H707" s="1088"/>
      <c r="I707" s="1088"/>
      <c r="J707" s="1088"/>
      <c r="K707" s="1088"/>
    </row>
    <row r="708" spans="3:11" ht="12" customHeight="1">
      <c r="C708" s="891"/>
      <c r="D708" s="891"/>
      <c r="E708" s="891"/>
      <c r="F708" s="891"/>
      <c r="G708" s="891"/>
      <c r="H708" s="1088"/>
      <c r="I708" s="1088"/>
      <c r="J708" s="1088"/>
      <c r="K708" s="1088"/>
    </row>
    <row r="709" spans="3:11" ht="12" customHeight="1">
      <c r="C709" s="891"/>
      <c r="D709" s="891"/>
      <c r="E709" s="891"/>
      <c r="F709" s="891"/>
      <c r="G709" s="891"/>
      <c r="H709" s="1088"/>
      <c r="I709" s="1088"/>
      <c r="J709" s="1088"/>
      <c r="K709" s="1088"/>
    </row>
    <row r="710" spans="3:11" ht="12" customHeight="1">
      <c r="C710" s="891"/>
      <c r="D710" s="891"/>
      <c r="E710" s="891"/>
      <c r="F710" s="891"/>
      <c r="G710" s="891"/>
      <c r="H710" s="1088"/>
      <c r="I710" s="1088"/>
      <c r="J710" s="1088"/>
      <c r="K710" s="1088"/>
    </row>
    <row r="711" spans="3:11" ht="12" customHeight="1">
      <c r="C711" s="891"/>
      <c r="D711" s="891"/>
      <c r="E711" s="891"/>
      <c r="F711" s="891"/>
      <c r="G711" s="891"/>
      <c r="H711" s="1088"/>
      <c r="I711" s="1088"/>
      <c r="J711" s="1088"/>
      <c r="K711" s="1088"/>
    </row>
    <row r="712" spans="3:11" ht="12" customHeight="1">
      <c r="C712" s="891"/>
      <c r="D712" s="891"/>
      <c r="E712" s="891"/>
      <c r="F712" s="891"/>
      <c r="G712" s="891"/>
      <c r="H712" s="1088"/>
      <c r="I712" s="1088"/>
      <c r="J712" s="1088"/>
      <c r="K712" s="1088"/>
    </row>
    <row r="713" spans="3:11" ht="12" customHeight="1">
      <c r="C713" s="891"/>
      <c r="D713" s="891"/>
      <c r="E713" s="891"/>
      <c r="F713" s="891"/>
      <c r="G713" s="891"/>
      <c r="H713" s="1088"/>
      <c r="I713" s="1088"/>
      <c r="J713" s="1088"/>
      <c r="K713" s="1088"/>
    </row>
    <row r="714" spans="3:11" ht="12" customHeight="1">
      <c r="C714" s="891"/>
      <c r="D714" s="891"/>
      <c r="E714" s="891"/>
      <c r="F714" s="891"/>
      <c r="G714" s="891"/>
      <c r="H714" s="1088"/>
      <c r="I714" s="1088"/>
      <c r="J714" s="1088"/>
      <c r="K714" s="1088"/>
    </row>
    <row r="715" spans="3:11" ht="12" customHeight="1">
      <c r="C715" s="891"/>
      <c r="D715" s="891"/>
      <c r="E715" s="891"/>
      <c r="F715" s="891"/>
      <c r="G715" s="891"/>
      <c r="H715" s="1088"/>
      <c r="I715" s="1088"/>
      <c r="J715" s="1088"/>
      <c r="K715" s="1088"/>
    </row>
    <row r="716" spans="3:11" ht="12" customHeight="1">
      <c r="C716" s="891"/>
      <c r="D716" s="891"/>
      <c r="E716" s="891"/>
      <c r="F716" s="891"/>
      <c r="G716" s="891"/>
      <c r="H716" s="1088"/>
      <c r="I716" s="1088"/>
      <c r="J716" s="1088"/>
      <c r="K716" s="1088"/>
    </row>
    <row r="717" spans="3:11" ht="12" customHeight="1">
      <c r="C717" s="891"/>
      <c r="D717" s="891"/>
      <c r="E717" s="891"/>
      <c r="F717" s="891"/>
      <c r="G717" s="891"/>
      <c r="H717" s="1088"/>
      <c r="I717" s="1088"/>
      <c r="J717" s="1088"/>
      <c r="K717" s="1088"/>
    </row>
    <row r="718" spans="3:11" ht="12" customHeight="1">
      <c r="C718" s="891"/>
      <c r="D718" s="891"/>
      <c r="E718" s="891"/>
      <c r="F718" s="891"/>
      <c r="G718" s="891"/>
      <c r="H718" s="1088"/>
      <c r="I718" s="1088"/>
      <c r="J718" s="1088"/>
      <c r="K718" s="1088"/>
    </row>
    <row r="719" spans="3:11" ht="12" customHeight="1">
      <c r="C719" s="891"/>
      <c r="D719" s="891"/>
      <c r="E719" s="891"/>
      <c r="F719" s="891"/>
      <c r="G719" s="891"/>
      <c r="H719" s="1088"/>
      <c r="I719" s="1088"/>
      <c r="J719" s="1088"/>
      <c r="K719" s="1088"/>
    </row>
    <row r="720" spans="3:11" ht="12" customHeight="1">
      <c r="C720" s="891"/>
      <c r="D720" s="891"/>
      <c r="E720" s="891"/>
      <c r="F720" s="891"/>
      <c r="G720" s="891"/>
      <c r="H720" s="1088"/>
      <c r="I720" s="1088"/>
      <c r="J720" s="1088"/>
      <c r="K720" s="1088"/>
    </row>
    <row r="721" spans="3:11" ht="12" customHeight="1">
      <c r="C721" s="891"/>
      <c r="D721" s="891"/>
      <c r="E721" s="891"/>
      <c r="F721" s="891"/>
      <c r="G721" s="891"/>
      <c r="H721" s="1088"/>
      <c r="I721" s="1088"/>
      <c r="J721" s="1088"/>
      <c r="K721" s="1088"/>
    </row>
    <row r="722" spans="3:11" ht="12" customHeight="1">
      <c r="C722" s="891"/>
      <c r="D722" s="891"/>
      <c r="E722" s="891"/>
      <c r="F722" s="891"/>
      <c r="G722" s="891"/>
      <c r="H722" s="1088"/>
      <c r="I722" s="1088"/>
      <c r="J722" s="1088"/>
      <c r="K722" s="1088"/>
    </row>
    <row r="723" spans="3:11" ht="12" customHeight="1">
      <c r="C723" s="891"/>
      <c r="D723" s="891"/>
      <c r="E723" s="891"/>
      <c r="F723" s="891"/>
      <c r="G723" s="891"/>
      <c r="H723" s="1088"/>
      <c r="I723" s="1088"/>
      <c r="J723" s="1088"/>
      <c r="K723" s="1088"/>
    </row>
    <row r="724" spans="3:11" ht="12" customHeight="1">
      <c r="C724" s="891"/>
      <c r="D724" s="891"/>
      <c r="E724" s="891"/>
      <c r="F724" s="891"/>
      <c r="G724" s="891"/>
      <c r="H724" s="1088"/>
      <c r="I724" s="1088"/>
      <c r="J724" s="1088"/>
      <c r="K724" s="1088"/>
    </row>
    <row r="725" spans="3:11" ht="12" customHeight="1">
      <c r="C725" s="891"/>
      <c r="D725" s="891"/>
      <c r="E725" s="891"/>
      <c r="F725" s="891"/>
      <c r="G725" s="891"/>
      <c r="H725" s="1088"/>
      <c r="I725" s="1088"/>
      <c r="J725" s="1088"/>
      <c r="K725" s="1088"/>
    </row>
    <row r="726" spans="3:11" ht="12" customHeight="1">
      <c r="C726" s="891"/>
      <c r="D726" s="891"/>
      <c r="E726" s="891"/>
      <c r="F726" s="891"/>
      <c r="G726" s="891"/>
      <c r="H726" s="1088"/>
      <c r="I726" s="1088"/>
      <c r="J726" s="1088"/>
      <c r="K726" s="1088"/>
    </row>
    <row r="727" spans="3:11" ht="12" customHeight="1">
      <c r="C727" s="891"/>
      <c r="D727" s="891"/>
      <c r="E727" s="891"/>
      <c r="F727" s="891"/>
      <c r="G727" s="891"/>
      <c r="H727" s="1088"/>
      <c r="I727" s="1088"/>
      <c r="J727" s="1088"/>
      <c r="K727" s="1088"/>
    </row>
    <row r="728" spans="3:11" ht="12" customHeight="1">
      <c r="C728" s="891"/>
      <c r="D728" s="891"/>
      <c r="E728" s="891"/>
      <c r="F728" s="891"/>
      <c r="G728" s="891"/>
      <c r="H728" s="1088"/>
      <c r="I728" s="1088"/>
      <c r="J728" s="1088"/>
      <c r="K728" s="1088"/>
    </row>
    <row r="729" spans="3:11" ht="12" customHeight="1">
      <c r="C729" s="891"/>
      <c r="D729" s="891"/>
      <c r="E729" s="891"/>
      <c r="F729" s="891"/>
      <c r="G729" s="891"/>
      <c r="H729" s="1088"/>
      <c r="I729" s="1088"/>
      <c r="J729" s="1088"/>
      <c r="K729" s="1088"/>
    </row>
    <row r="730" spans="3:11" ht="12" customHeight="1">
      <c r="C730" s="891"/>
      <c r="D730" s="891"/>
      <c r="E730" s="891"/>
      <c r="F730" s="891"/>
      <c r="G730" s="891"/>
      <c r="H730" s="1088"/>
      <c r="I730" s="1088"/>
      <c r="J730" s="1088"/>
      <c r="K730" s="1088"/>
    </row>
    <row r="731" spans="3:11" ht="12" customHeight="1">
      <c r="C731" s="891"/>
      <c r="D731" s="891"/>
      <c r="E731" s="891"/>
      <c r="F731" s="891"/>
      <c r="G731" s="891"/>
      <c r="H731" s="1088"/>
      <c r="I731" s="1088"/>
      <c r="J731" s="1088"/>
      <c r="K731" s="1088"/>
    </row>
    <row r="732" spans="3:11" ht="12" customHeight="1">
      <c r="C732" s="891"/>
      <c r="D732" s="891"/>
      <c r="E732" s="891"/>
      <c r="F732" s="891"/>
      <c r="G732" s="891"/>
      <c r="H732" s="1088"/>
      <c r="I732" s="1088"/>
      <c r="J732" s="1088"/>
      <c r="K732" s="1088"/>
    </row>
    <row r="733" spans="3:11" ht="12" customHeight="1">
      <c r="C733" s="891"/>
      <c r="D733" s="891"/>
      <c r="E733" s="891"/>
      <c r="F733" s="891"/>
      <c r="G733" s="891"/>
      <c r="H733" s="1088"/>
      <c r="I733" s="1088"/>
      <c r="J733" s="1088"/>
      <c r="K733" s="1088"/>
    </row>
    <row r="734" spans="3:11" ht="12" customHeight="1">
      <c r="C734" s="891"/>
      <c r="D734" s="891"/>
      <c r="E734" s="891"/>
      <c r="F734" s="891"/>
      <c r="G734" s="891"/>
      <c r="H734" s="1088"/>
      <c r="I734" s="1088"/>
      <c r="J734" s="1088"/>
      <c r="K734" s="1088"/>
    </row>
    <row r="735" spans="3:11" ht="12" customHeight="1">
      <c r="C735" s="891"/>
      <c r="D735" s="891"/>
      <c r="E735" s="891"/>
      <c r="F735" s="891"/>
      <c r="G735" s="891"/>
      <c r="H735" s="1088"/>
      <c r="I735" s="1088"/>
      <c r="J735" s="1088"/>
      <c r="K735" s="1088"/>
    </row>
    <row r="736" spans="3:11" ht="12" customHeight="1">
      <c r="C736" s="891"/>
      <c r="D736" s="891"/>
      <c r="E736" s="891"/>
      <c r="F736" s="891"/>
      <c r="G736" s="891"/>
      <c r="H736" s="1088"/>
      <c r="I736" s="1088"/>
      <c r="J736" s="1088"/>
      <c r="K736" s="1088"/>
    </row>
    <row r="737" spans="3:11" ht="12" customHeight="1">
      <c r="C737" s="891"/>
      <c r="D737" s="891"/>
      <c r="E737" s="891"/>
      <c r="F737" s="891"/>
      <c r="G737" s="891"/>
      <c r="H737" s="1088"/>
      <c r="I737" s="1088"/>
      <c r="J737" s="1088"/>
      <c r="K737" s="1088"/>
    </row>
    <row r="738" spans="3:11" ht="12" customHeight="1">
      <c r="C738" s="891"/>
      <c r="D738" s="891"/>
      <c r="E738" s="891"/>
      <c r="F738" s="891"/>
      <c r="G738" s="891"/>
      <c r="H738" s="1088"/>
      <c r="I738" s="1088"/>
      <c r="J738" s="1088"/>
      <c r="K738" s="1088"/>
    </row>
    <row r="739" spans="3:11" ht="12" customHeight="1">
      <c r="C739" s="891"/>
      <c r="D739" s="891"/>
      <c r="E739" s="891"/>
      <c r="F739" s="891"/>
      <c r="G739" s="891"/>
      <c r="H739" s="1088"/>
      <c r="I739" s="1088"/>
      <c r="J739" s="1088"/>
      <c r="K739" s="1088"/>
    </row>
    <row r="740" spans="3:11" ht="12" customHeight="1">
      <c r="C740" s="891"/>
      <c r="D740" s="891"/>
      <c r="E740" s="891"/>
      <c r="F740" s="891"/>
      <c r="G740" s="891"/>
      <c r="H740" s="1088"/>
      <c r="I740" s="1088"/>
      <c r="J740" s="1088"/>
      <c r="K740" s="1088"/>
    </row>
    <row r="741" spans="3:11" ht="12" customHeight="1">
      <c r="C741" s="891"/>
      <c r="D741" s="891"/>
      <c r="E741" s="891"/>
      <c r="F741" s="891"/>
      <c r="G741" s="891"/>
      <c r="H741" s="1088"/>
      <c r="I741" s="1088"/>
      <c r="J741" s="1088"/>
      <c r="K741" s="1088"/>
    </row>
    <row r="742" spans="3:11" ht="12" customHeight="1">
      <c r="C742" s="891"/>
      <c r="D742" s="891"/>
      <c r="E742" s="891"/>
      <c r="F742" s="891"/>
      <c r="G742" s="891"/>
      <c r="H742" s="1088"/>
      <c r="I742" s="1088"/>
      <c r="J742" s="1088"/>
      <c r="K742" s="1088"/>
    </row>
    <row r="743" spans="3:11" ht="12" customHeight="1">
      <c r="C743" s="891"/>
      <c r="D743" s="891"/>
      <c r="E743" s="891"/>
      <c r="F743" s="891"/>
      <c r="G743" s="891"/>
      <c r="H743" s="1088"/>
      <c r="I743" s="1088"/>
      <c r="J743" s="1088"/>
      <c r="K743" s="1088"/>
    </row>
    <row r="744" spans="3:11" ht="12" customHeight="1">
      <c r="C744" s="891"/>
      <c r="D744" s="891"/>
      <c r="E744" s="891"/>
      <c r="F744" s="891"/>
      <c r="G744" s="891"/>
      <c r="H744" s="1088"/>
      <c r="I744" s="1088"/>
      <c r="J744" s="1088"/>
      <c r="K744" s="1088"/>
    </row>
    <row r="745" spans="3:11" ht="12" customHeight="1">
      <c r="C745" s="891"/>
      <c r="D745" s="891"/>
      <c r="E745" s="891"/>
      <c r="F745" s="891"/>
      <c r="G745" s="891"/>
      <c r="H745" s="1088"/>
      <c r="I745" s="1088"/>
      <c r="J745" s="1088"/>
      <c r="K745" s="1088"/>
    </row>
    <row r="746" spans="3:11" ht="12" customHeight="1">
      <c r="C746" s="891"/>
      <c r="D746" s="891"/>
      <c r="E746" s="891"/>
      <c r="F746" s="891"/>
      <c r="G746" s="891"/>
      <c r="H746" s="1088"/>
      <c r="I746" s="1088"/>
      <c r="J746" s="1088"/>
      <c r="K746" s="1088"/>
    </row>
    <row r="747" spans="3:11" ht="12" customHeight="1">
      <c r="C747" s="891"/>
      <c r="D747" s="891"/>
      <c r="E747" s="891"/>
      <c r="F747" s="891"/>
      <c r="G747" s="891"/>
      <c r="H747" s="1088"/>
      <c r="I747" s="1088"/>
      <c r="J747" s="1088"/>
      <c r="K747" s="1088"/>
    </row>
    <row r="748" spans="3:11" ht="12" customHeight="1">
      <c r="C748" s="891"/>
      <c r="D748" s="891"/>
      <c r="E748" s="891"/>
      <c r="F748" s="891"/>
      <c r="G748" s="891"/>
      <c r="H748" s="1088"/>
      <c r="I748" s="1088"/>
      <c r="J748" s="1088"/>
      <c r="K748" s="1088"/>
    </row>
    <row r="749" spans="3:11" ht="12" customHeight="1">
      <c r="C749" s="891"/>
      <c r="D749" s="891"/>
      <c r="E749" s="891"/>
      <c r="F749" s="891"/>
      <c r="G749" s="891"/>
      <c r="H749" s="1088"/>
      <c r="I749" s="1088"/>
      <c r="J749" s="1088"/>
      <c r="K749" s="1088"/>
    </row>
    <row r="750" spans="3:11" ht="12" customHeight="1">
      <c r="C750" s="891"/>
      <c r="D750" s="891"/>
      <c r="E750" s="891"/>
      <c r="F750" s="891"/>
      <c r="G750" s="891"/>
      <c r="H750" s="1088"/>
      <c r="I750" s="1088"/>
      <c r="J750" s="1088"/>
      <c r="K750" s="1088"/>
    </row>
    <row r="751" spans="3:11" ht="12" customHeight="1">
      <c r="C751" s="891"/>
      <c r="D751" s="891"/>
      <c r="E751" s="891"/>
      <c r="F751" s="891"/>
      <c r="G751" s="891"/>
      <c r="H751" s="1088"/>
      <c r="I751" s="1088"/>
      <c r="J751" s="1088"/>
      <c r="K751" s="1088"/>
    </row>
    <row r="752" spans="3:11" ht="12" customHeight="1">
      <c r="C752" s="891"/>
      <c r="D752" s="891"/>
      <c r="E752" s="891"/>
      <c r="F752" s="891"/>
      <c r="G752" s="891"/>
      <c r="H752" s="1088"/>
      <c r="I752" s="1088"/>
      <c r="J752" s="1088"/>
      <c r="K752" s="1088"/>
    </row>
    <row r="753" spans="3:11" ht="12" customHeight="1">
      <c r="C753" s="891"/>
      <c r="D753" s="891"/>
      <c r="E753" s="891"/>
      <c r="F753" s="891"/>
      <c r="G753" s="891"/>
      <c r="H753" s="1088"/>
      <c r="I753" s="1088"/>
      <c r="J753" s="1088"/>
      <c r="K753" s="1088"/>
    </row>
    <row r="754" spans="3:11" ht="12" customHeight="1">
      <c r="C754" s="891"/>
      <c r="D754" s="891"/>
      <c r="E754" s="891"/>
      <c r="F754" s="891"/>
      <c r="G754" s="891"/>
      <c r="H754" s="1088"/>
      <c r="I754" s="1088"/>
      <c r="J754" s="1088"/>
      <c r="K754" s="1088"/>
    </row>
    <row r="755" spans="3:11" ht="12" customHeight="1">
      <c r="C755" s="891"/>
      <c r="D755" s="891"/>
      <c r="E755" s="891"/>
      <c r="F755" s="891"/>
      <c r="G755" s="891"/>
      <c r="H755" s="1088"/>
      <c r="I755" s="1088"/>
      <c r="J755" s="1088"/>
      <c r="K755" s="1088"/>
    </row>
    <row r="756" spans="3:11" ht="12" customHeight="1">
      <c r="C756" s="891"/>
      <c r="D756" s="891"/>
      <c r="E756" s="891"/>
      <c r="F756" s="891"/>
      <c r="G756" s="891"/>
      <c r="H756" s="1088"/>
      <c r="I756" s="1088"/>
      <c r="J756" s="1088"/>
      <c r="K756" s="1088"/>
    </row>
    <row r="757" spans="3:11" ht="12" customHeight="1">
      <c r="C757" s="891"/>
      <c r="D757" s="891"/>
      <c r="E757" s="891"/>
      <c r="F757" s="891"/>
      <c r="G757" s="891"/>
      <c r="H757" s="1088"/>
      <c r="I757" s="1088"/>
      <c r="J757" s="1088"/>
      <c r="K757" s="1088"/>
    </row>
    <row r="758" spans="3:11" ht="12" customHeight="1">
      <c r="C758" s="891"/>
      <c r="D758" s="891"/>
      <c r="E758" s="891"/>
      <c r="F758" s="891"/>
      <c r="G758" s="891"/>
      <c r="H758" s="1088"/>
      <c r="I758" s="1088"/>
      <c r="J758" s="1088"/>
      <c r="K758" s="1088"/>
    </row>
    <row r="759" spans="3:11" ht="12" customHeight="1">
      <c r="C759" s="891"/>
      <c r="D759" s="891"/>
      <c r="E759" s="891"/>
      <c r="F759" s="891"/>
      <c r="G759" s="891"/>
      <c r="H759" s="1088"/>
      <c r="I759" s="1088"/>
      <c r="J759" s="1088"/>
      <c r="K759" s="1088"/>
    </row>
    <row r="760" spans="3:11" ht="12" customHeight="1">
      <c r="C760" s="891"/>
      <c r="D760" s="891"/>
      <c r="E760" s="891"/>
      <c r="F760" s="891"/>
      <c r="G760" s="891"/>
      <c r="H760" s="1088"/>
      <c r="I760" s="1088"/>
      <c r="J760" s="1088"/>
      <c r="K760" s="1088"/>
    </row>
    <row r="761" spans="3:11" ht="12" customHeight="1">
      <c r="C761" s="891"/>
      <c r="D761" s="891"/>
      <c r="E761" s="891"/>
      <c r="F761" s="891"/>
      <c r="G761" s="891"/>
      <c r="H761" s="1088"/>
      <c r="I761" s="1088"/>
      <c r="J761" s="1088"/>
      <c r="K761" s="1088"/>
    </row>
    <row r="762" spans="3:11" ht="12" customHeight="1">
      <c r="C762" s="891"/>
      <c r="D762" s="891"/>
      <c r="E762" s="891"/>
      <c r="F762" s="891"/>
      <c r="G762" s="891"/>
      <c r="H762" s="1088"/>
      <c r="I762" s="1088"/>
      <c r="J762" s="1088"/>
      <c r="K762" s="1088"/>
    </row>
    <row r="763" spans="3:11" ht="12" customHeight="1">
      <c r="C763" s="891"/>
      <c r="D763" s="891"/>
      <c r="E763" s="891"/>
      <c r="F763" s="891"/>
      <c r="G763" s="891"/>
      <c r="H763" s="1088"/>
      <c r="I763" s="1088"/>
      <c r="J763" s="1088"/>
      <c r="K763" s="1088"/>
    </row>
    <row r="764" spans="3:11" ht="12" customHeight="1">
      <c r="C764" s="891"/>
      <c r="D764" s="891"/>
      <c r="E764" s="891"/>
      <c r="F764" s="891"/>
      <c r="G764" s="891"/>
      <c r="H764" s="1088"/>
      <c r="I764" s="1088"/>
      <c r="J764" s="1088"/>
      <c r="K764" s="1088"/>
    </row>
    <row r="765" spans="3:11" ht="12" customHeight="1">
      <c r="C765" s="891"/>
      <c r="D765" s="891"/>
      <c r="E765" s="891"/>
      <c r="F765" s="891"/>
      <c r="G765" s="891"/>
      <c r="H765" s="1088"/>
      <c r="I765" s="1088"/>
      <c r="J765" s="1088"/>
      <c r="K765" s="1088"/>
    </row>
    <row r="766" spans="3:11" ht="12" customHeight="1">
      <c r="C766" s="891"/>
      <c r="D766" s="891"/>
      <c r="E766" s="891"/>
      <c r="F766" s="891"/>
      <c r="G766" s="891"/>
      <c r="H766" s="1088"/>
      <c r="I766" s="1088"/>
      <c r="J766" s="1088"/>
      <c r="K766" s="1088"/>
    </row>
    <row r="767" spans="3:11" ht="12" customHeight="1">
      <c r="C767" s="891"/>
      <c r="D767" s="891"/>
      <c r="E767" s="891"/>
      <c r="F767" s="891"/>
      <c r="G767" s="891"/>
      <c r="H767" s="1088"/>
      <c r="I767" s="1088"/>
      <c r="J767" s="1088"/>
      <c r="K767" s="1088"/>
    </row>
    <row r="768" spans="3:11" ht="12" customHeight="1">
      <c r="C768" s="891"/>
      <c r="D768" s="891"/>
      <c r="E768" s="891"/>
      <c r="F768" s="891"/>
      <c r="G768" s="891"/>
      <c r="H768" s="1088"/>
      <c r="I768" s="1088"/>
      <c r="J768" s="1088"/>
      <c r="K768" s="1088"/>
    </row>
    <row r="769" spans="3:11" ht="12" customHeight="1">
      <c r="C769" s="891"/>
      <c r="D769" s="891"/>
      <c r="E769" s="891"/>
      <c r="F769" s="891"/>
      <c r="G769" s="891"/>
      <c r="H769" s="1088"/>
      <c r="I769" s="1088"/>
      <c r="J769" s="1088"/>
      <c r="K769" s="1088"/>
    </row>
    <row r="770" spans="3:11" ht="12" customHeight="1">
      <c r="C770" s="891"/>
      <c r="D770" s="891"/>
      <c r="E770" s="891"/>
      <c r="F770" s="891"/>
      <c r="G770" s="891"/>
      <c r="H770" s="1088"/>
      <c r="I770" s="1088"/>
      <c r="J770" s="1088"/>
      <c r="K770" s="1088"/>
    </row>
    <row r="771" spans="3:11" ht="12" customHeight="1">
      <c r="C771" s="891"/>
      <c r="D771" s="891"/>
      <c r="E771" s="891"/>
      <c r="F771" s="891"/>
      <c r="G771" s="891"/>
      <c r="H771" s="1088"/>
      <c r="I771" s="1088"/>
      <c r="J771" s="1088"/>
      <c r="K771" s="1088"/>
    </row>
    <row r="772" spans="3:11" ht="12" customHeight="1">
      <c r="C772" s="891"/>
      <c r="D772" s="891"/>
      <c r="E772" s="891"/>
      <c r="F772" s="891"/>
      <c r="G772" s="891"/>
      <c r="H772" s="1088"/>
      <c r="I772" s="1088"/>
      <c r="J772" s="1088"/>
      <c r="K772" s="1088"/>
    </row>
    <row r="773" spans="3:11" ht="12" customHeight="1">
      <c r="C773" s="891"/>
      <c r="D773" s="891"/>
      <c r="E773" s="891"/>
      <c r="F773" s="891"/>
      <c r="G773" s="891"/>
      <c r="H773" s="1088"/>
      <c r="I773" s="1088"/>
      <c r="J773" s="1088"/>
      <c r="K773" s="1088"/>
    </row>
    <row r="774" spans="3:11" ht="12" customHeight="1">
      <c r="C774" s="891"/>
      <c r="D774" s="891"/>
      <c r="E774" s="891"/>
      <c r="F774" s="891"/>
      <c r="G774" s="891"/>
      <c r="H774" s="1088"/>
      <c r="I774" s="1088"/>
      <c r="J774" s="1088"/>
      <c r="K774" s="1088"/>
    </row>
    <row r="775" spans="3:11" ht="12" customHeight="1">
      <c r="C775" s="891"/>
      <c r="D775" s="891"/>
      <c r="E775" s="891"/>
      <c r="F775" s="891"/>
      <c r="G775" s="891"/>
      <c r="H775" s="1088"/>
      <c r="I775" s="1088"/>
      <c r="J775" s="1088"/>
      <c r="K775" s="1088"/>
    </row>
    <row r="776" spans="3:11" ht="12" customHeight="1">
      <c r="C776" s="891"/>
      <c r="D776" s="891"/>
      <c r="E776" s="891"/>
      <c r="F776" s="891"/>
      <c r="G776" s="891"/>
      <c r="H776" s="1088"/>
      <c r="I776" s="1088"/>
      <c r="J776" s="1088"/>
      <c r="K776" s="1088"/>
    </row>
    <row r="777" spans="3:11" ht="12" customHeight="1">
      <c r="C777" s="891"/>
      <c r="D777" s="891"/>
      <c r="E777" s="891"/>
      <c r="F777" s="891"/>
      <c r="G777" s="891"/>
      <c r="H777" s="1088"/>
      <c r="I777" s="1088"/>
      <c r="J777" s="1088"/>
      <c r="K777" s="1088"/>
    </row>
    <row r="778" spans="3:11" ht="12" customHeight="1">
      <c r="C778" s="891"/>
      <c r="D778" s="891"/>
      <c r="E778" s="891"/>
      <c r="F778" s="891"/>
      <c r="G778" s="891"/>
      <c r="H778" s="1088"/>
      <c r="I778" s="1088"/>
      <c r="J778" s="1088"/>
      <c r="K778" s="1088"/>
    </row>
    <row r="779" spans="3:11" ht="12" customHeight="1">
      <c r="C779" s="891"/>
      <c r="D779" s="891"/>
      <c r="E779" s="891"/>
      <c r="F779" s="891"/>
      <c r="G779" s="891"/>
      <c r="H779" s="1088"/>
      <c r="I779" s="1088"/>
      <c r="J779" s="1088"/>
      <c r="K779" s="1088"/>
    </row>
    <row r="780" spans="3:11" ht="12" customHeight="1">
      <c r="C780" s="891"/>
      <c r="D780" s="891"/>
      <c r="E780" s="891"/>
      <c r="F780" s="891"/>
      <c r="G780" s="891"/>
      <c r="H780" s="1088"/>
      <c r="I780" s="1088"/>
      <c r="J780" s="1088"/>
      <c r="K780" s="1088"/>
    </row>
    <row r="781" spans="3:11" ht="12" customHeight="1">
      <c r="C781" s="891"/>
      <c r="D781" s="891"/>
      <c r="E781" s="891"/>
      <c r="F781" s="891"/>
      <c r="G781" s="891"/>
      <c r="H781" s="1088"/>
      <c r="I781" s="1088"/>
      <c r="J781" s="1088"/>
      <c r="K781" s="1088"/>
    </row>
    <row r="782" spans="3:11" ht="12" customHeight="1">
      <c r="C782" s="891"/>
      <c r="D782" s="891"/>
      <c r="E782" s="891"/>
      <c r="F782" s="891"/>
      <c r="G782" s="891"/>
      <c r="H782" s="1088"/>
      <c r="I782" s="1088"/>
      <c r="J782" s="1088"/>
      <c r="K782" s="1088"/>
    </row>
    <row r="783" spans="3:11" ht="12" customHeight="1">
      <c r="C783" s="891"/>
      <c r="D783" s="891"/>
      <c r="E783" s="891"/>
      <c r="F783" s="891"/>
      <c r="G783" s="891"/>
      <c r="H783" s="1088"/>
      <c r="I783" s="1088"/>
      <c r="J783" s="1088"/>
      <c r="K783" s="1088"/>
    </row>
    <row r="784" spans="3:11" ht="12" customHeight="1">
      <c r="C784" s="891"/>
      <c r="D784" s="891"/>
      <c r="E784" s="891"/>
      <c r="F784" s="891"/>
      <c r="G784" s="891"/>
      <c r="H784" s="1088"/>
      <c r="I784" s="1088"/>
      <c r="J784" s="1088"/>
      <c r="K784" s="1088"/>
    </row>
    <row r="785" spans="3:11" ht="12" customHeight="1">
      <c r="C785" s="891"/>
      <c r="D785" s="891"/>
      <c r="E785" s="891"/>
      <c r="F785" s="891"/>
      <c r="G785" s="891"/>
      <c r="H785" s="1088"/>
      <c r="I785" s="1088"/>
      <c r="J785" s="1088"/>
      <c r="K785" s="1088"/>
    </row>
    <row r="786" spans="3:11" ht="12" customHeight="1">
      <c r="C786" s="891"/>
      <c r="D786" s="891"/>
      <c r="E786" s="891"/>
      <c r="F786" s="891"/>
      <c r="G786" s="891"/>
      <c r="H786" s="1088"/>
      <c r="I786" s="1088"/>
      <c r="J786" s="1088"/>
      <c r="K786" s="1088"/>
    </row>
    <row r="787" spans="3:11" ht="12" customHeight="1">
      <c r="C787" s="891"/>
      <c r="D787" s="891"/>
      <c r="E787" s="891"/>
      <c r="F787" s="891"/>
      <c r="G787" s="891"/>
      <c r="H787" s="1088"/>
      <c r="I787" s="1088"/>
      <c r="J787" s="1088"/>
      <c r="K787" s="1088"/>
    </row>
    <row r="788" spans="3:11" ht="12" customHeight="1">
      <c r="C788" s="891"/>
      <c r="D788" s="891"/>
      <c r="E788" s="891"/>
      <c r="F788" s="891"/>
      <c r="G788" s="891"/>
      <c r="H788" s="1088"/>
      <c r="I788" s="1088"/>
      <c r="J788" s="1088"/>
      <c r="K788" s="1088"/>
    </row>
    <row r="789" spans="3:11" ht="12" customHeight="1">
      <c r="C789" s="891"/>
      <c r="D789" s="891"/>
      <c r="E789" s="891"/>
      <c r="F789" s="891"/>
      <c r="G789" s="891"/>
      <c r="H789" s="1088"/>
      <c r="I789" s="1088"/>
      <c r="J789" s="1088"/>
      <c r="K789" s="1088"/>
    </row>
    <row r="790" spans="3:11" ht="12" customHeight="1">
      <c r="C790" s="891"/>
      <c r="D790" s="891"/>
      <c r="E790" s="891"/>
      <c r="F790" s="891"/>
      <c r="G790" s="891"/>
      <c r="H790" s="1088"/>
      <c r="I790" s="1088"/>
      <c r="J790" s="1088"/>
      <c r="K790" s="1088"/>
    </row>
    <row r="791" spans="3:11" ht="12" customHeight="1">
      <c r="C791" s="891"/>
      <c r="D791" s="891"/>
      <c r="E791" s="891"/>
      <c r="F791" s="891"/>
      <c r="G791" s="891"/>
      <c r="H791" s="1088"/>
      <c r="I791" s="1088"/>
      <c r="J791" s="1088"/>
      <c r="K791" s="1088"/>
    </row>
    <row r="792" spans="3:11" ht="12" customHeight="1">
      <c r="C792" s="891"/>
      <c r="D792" s="891"/>
      <c r="E792" s="891"/>
      <c r="F792" s="891"/>
      <c r="G792" s="891"/>
      <c r="H792" s="1088"/>
      <c r="I792" s="1088"/>
      <c r="J792" s="1088"/>
      <c r="K792" s="1088"/>
    </row>
    <row r="793" spans="3:11" ht="12" customHeight="1">
      <c r="C793" s="891"/>
      <c r="D793" s="891"/>
      <c r="E793" s="891"/>
      <c r="F793" s="891"/>
      <c r="G793" s="891"/>
      <c r="H793" s="1088"/>
      <c r="I793" s="1088"/>
      <c r="J793" s="1088"/>
      <c r="K793" s="1088"/>
    </row>
    <row r="794" spans="3:11" ht="12" customHeight="1">
      <c r="C794" s="891"/>
      <c r="D794" s="891"/>
      <c r="E794" s="891"/>
      <c r="F794" s="891"/>
      <c r="G794" s="891"/>
      <c r="H794" s="1088"/>
      <c r="I794" s="1088"/>
      <c r="J794" s="1088"/>
      <c r="K794" s="1088"/>
    </row>
    <row r="795" spans="3:11" ht="12" customHeight="1">
      <c r="C795" s="891"/>
      <c r="D795" s="891"/>
      <c r="E795" s="891"/>
      <c r="F795" s="891"/>
      <c r="G795" s="891"/>
      <c r="H795" s="1088"/>
      <c r="I795" s="1088"/>
      <c r="J795" s="1088"/>
      <c r="K795" s="1088"/>
    </row>
    <row r="796" spans="3:11" ht="12" customHeight="1">
      <c r="C796" s="891"/>
      <c r="D796" s="891"/>
      <c r="E796" s="891"/>
      <c r="F796" s="891"/>
      <c r="G796" s="891"/>
      <c r="H796" s="1088"/>
      <c r="I796" s="1088"/>
      <c r="J796" s="1088"/>
      <c r="K796" s="1088"/>
    </row>
    <row r="797" spans="3:11" ht="12" customHeight="1">
      <c r="C797" s="891"/>
      <c r="D797" s="891"/>
      <c r="E797" s="891"/>
      <c r="F797" s="891"/>
      <c r="G797" s="891"/>
      <c r="H797" s="1088"/>
      <c r="I797" s="1088"/>
      <c r="J797" s="1088"/>
      <c r="K797" s="1088"/>
    </row>
    <row r="798" spans="3:11" ht="12" customHeight="1">
      <c r="C798" s="891"/>
      <c r="D798" s="891"/>
      <c r="E798" s="891"/>
      <c r="F798" s="891"/>
      <c r="G798" s="891"/>
      <c r="H798" s="1088"/>
      <c r="I798" s="1088"/>
      <c r="J798" s="1088"/>
      <c r="K798" s="1088"/>
    </row>
    <row r="799" spans="3:11" ht="12" customHeight="1">
      <c r="C799" s="891"/>
      <c r="D799" s="891"/>
      <c r="E799" s="891"/>
      <c r="F799" s="891"/>
      <c r="G799" s="891"/>
      <c r="H799" s="1088"/>
      <c r="I799" s="1088"/>
      <c r="J799" s="1088"/>
      <c r="K799" s="1088"/>
    </row>
    <row r="800" spans="3:11" ht="12" customHeight="1">
      <c r="C800" s="891"/>
      <c r="D800" s="891"/>
      <c r="E800" s="891"/>
      <c r="F800" s="891"/>
      <c r="G800" s="891"/>
      <c r="H800" s="1088"/>
      <c r="I800" s="1088"/>
      <c r="J800" s="1088"/>
      <c r="K800" s="1088"/>
    </row>
    <row r="801" spans="3:11" ht="12" customHeight="1">
      <c r="C801" s="891"/>
      <c r="D801" s="891"/>
      <c r="E801" s="891"/>
      <c r="F801" s="891"/>
      <c r="G801" s="891"/>
      <c r="H801" s="1088"/>
      <c r="I801" s="1088"/>
      <c r="J801" s="1088"/>
      <c r="K801" s="1088"/>
    </row>
    <row r="802" spans="3:11" ht="12" customHeight="1">
      <c r="C802" s="891"/>
      <c r="D802" s="891"/>
      <c r="E802" s="891"/>
      <c r="F802" s="891"/>
      <c r="G802" s="891"/>
      <c r="H802" s="1088"/>
      <c r="I802" s="1088"/>
      <c r="J802" s="1088"/>
      <c r="K802" s="1088"/>
    </row>
    <row r="803" spans="3:11" ht="12" customHeight="1">
      <c r="C803" s="891"/>
      <c r="D803" s="891"/>
      <c r="E803" s="891"/>
      <c r="F803" s="891"/>
      <c r="G803" s="891"/>
      <c r="H803" s="1088"/>
      <c r="I803" s="1088"/>
      <c r="J803" s="1088"/>
      <c r="K803" s="1088"/>
    </row>
    <row r="804" spans="3:11" ht="12" customHeight="1">
      <c r="C804" s="891"/>
      <c r="D804" s="891"/>
      <c r="E804" s="891"/>
      <c r="F804" s="891"/>
      <c r="G804" s="891"/>
      <c r="H804" s="1088"/>
      <c r="I804" s="1088"/>
      <c r="J804" s="1088"/>
      <c r="K804" s="1088"/>
    </row>
    <row r="805" spans="3:11" ht="12" customHeight="1">
      <c r="C805" s="891"/>
      <c r="D805" s="891"/>
      <c r="E805" s="891"/>
      <c r="F805" s="891"/>
      <c r="G805" s="891"/>
      <c r="H805" s="1088"/>
      <c r="I805" s="1088"/>
      <c r="J805" s="1088"/>
      <c r="K805" s="1088"/>
    </row>
    <row r="806" spans="3:11" ht="12" customHeight="1">
      <c r="C806" s="891"/>
      <c r="D806" s="891"/>
      <c r="E806" s="891"/>
      <c r="F806" s="891"/>
      <c r="G806" s="891"/>
      <c r="H806" s="1088"/>
      <c r="I806" s="1088"/>
      <c r="J806" s="1088"/>
      <c r="K806" s="1088"/>
    </row>
    <row r="807" spans="3:11" ht="12" customHeight="1">
      <c r="C807" s="891"/>
      <c r="D807" s="891"/>
      <c r="E807" s="891"/>
      <c r="F807" s="891"/>
      <c r="G807" s="891"/>
      <c r="H807" s="1088"/>
      <c r="I807" s="1088"/>
      <c r="J807" s="1088"/>
      <c r="K807" s="1088"/>
    </row>
    <row r="808" spans="3:11" ht="12" customHeight="1">
      <c r="C808" s="891"/>
      <c r="D808" s="891"/>
      <c r="E808" s="891"/>
      <c r="F808" s="891"/>
      <c r="G808" s="891"/>
      <c r="H808" s="1088"/>
      <c r="I808" s="1088"/>
      <c r="J808" s="1088"/>
      <c r="K808" s="1088"/>
    </row>
    <row r="809" spans="3:11" ht="12" customHeight="1">
      <c r="C809" s="891"/>
      <c r="D809" s="891"/>
      <c r="E809" s="891"/>
      <c r="F809" s="891"/>
      <c r="G809" s="891"/>
      <c r="H809" s="1088"/>
      <c r="I809" s="1088"/>
      <c r="J809" s="1088"/>
      <c r="K809" s="1088"/>
    </row>
    <row r="810" spans="3:11" ht="12" customHeight="1">
      <c r="C810" s="891"/>
      <c r="D810" s="891"/>
      <c r="E810" s="891"/>
      <c r="F810" s="891"/>
      <c r="G810" s="891"/>
      <c r="H810" s="1088"/>
      <c r="I810" s="1088"/>
      <c r="J810" s="1088"/>
      <c r="K810" s="1088"/>
    </row>
    <row r="811" spans="3:11" ht="12" customHeight="1">
      <c r="C811" s="891"/>
      <c r="D811" s="891"/>
      <c r="E811" s="891"/>
      <c r="F811" s="891"/>
      <c r="G811" s="891"/>
      <c r="H811" s="1088"/>
      <c r="I811" s="1088"/>
      <c r="J811" s="1088"/>
      <c r="K811" s="1088"/>
    </row>
    <row r="812" spans="3:11" ht="12" customHeight="1">
      <c r="C812" s="891"/>
      <c r="D812" s="891"/>
      <c r="E812" s="891"/>
      <c r="F812" s="891"/>
      <c r="G812" s="891"/>
      <c r="H812" s="1088"/>
      <c r="I812" s="1088"/>
      <c r="J812" s="1088"/>
      <c r="K812" s="1088"/>
    </row>
    <row r="813" spans="3:11" ht="12" customHeight="1">
      <c r="C813" s="891"/>
      <c r="D813" s="891"/>
      <c r="E813" s="891"/>
      <c r="F813" s="891"/>
      <c r="G813" s="891"/>
      <c r="H813" s="1088"/>
      <c r="I813" s="1088"/>
      <c r="J813" s="1088"/>
      <c r="K813" s="1088"/>
    </row>
    <row r="814" spans="3:11" ht="12" customHeight="1">
      <c r="C814" s="891"/>
      <c r="D814" s="891"/>
      <c r="E814" s="891"/>
      <c r="F814" s="891"/>
      <c r="G814" s="891"/>
      <c r="H814" s="1088"/>
      <c r="I814" s="1088"/>
      <c r="J814" s="1088"/>
      <c r="K814" s="1088"/>
    </row>
    <row r="815" spans="3:11" ht="12" customHeight="1">
      <c r="C815" s="891"/>
      <c r="D815" s="891"/>
      <c r="E815" s="891"/>
      <c r="F815" s="891"/>
      <c r="G815" s="891"/>
      <c r="H815" s="1088"/>
      <c r="I815" s="1088"/>
      <c r="J815" s="1088"/>
      <c r="K815" s="1088"/>
    </row>
    <row r="816" spans="3:11" ht="12" customHeight="1">
      <c r="C816" s="891"/>
      <c r="D816" s="891"/>
      <c r="E816" s="891"/>
      <c r="F816" s="891"/>
      <c r="G816" s="891"/>
      <c r="H816" s="1088"/>
      <c r="I816" s="1088"/>
      <c r="J816" s="1088"/>
      <c r="K816" s="1088"/>
    </row>
    <row r="817" spans="3:11" ht="12" customHeight="1">
      <c r="C817" s="891"/>
      <c r="D817" s="891"/>
      <c r="E817" s="891"/>
      <c r="F817" s="891"/>
      <c r="G817" s="891"/>
      <c r="H817" s="1088"/>
      <c r="I817" s="1088"/>
      <c r="J817" s="1088"/>
      <c r="K817" s="1088"/>
    </row>
    <row r="818" spans="3:11" ht="12" customHeight="1">
      <c r="C818" s="891"/>
      <c r="D818" s="891"/>
      <c r="E818" s="891"/>
      <c r="F818" s="891"/>
      <c r="G818" s="891"/>
      <c r="H818" s="1088"/>
      <c r="I818" s="1088"/>
      <c r="J818" s="1088"/>
      <c r="K818" s="1088"/>
    </row>
    <row r="819" spans="3:11" ht="12" customHeight="1">
      <c r="C819" s="891"/>
      <c r="D819" s="891"/>
      <c r="E819" s="891"/>
      <c r="F819" s="891"/>
      <c r="G819" s="891"/>
      <c r="H819" s="1088"/>
      <c r="I819" s="1088"/>
      <c r="J819" s="1088"/>
      <c r="K819" s="1088"/>
    </row>
    <row r="820" spans="3:11" ht="12" customHeight="1">
      <c r="C820" s="891"/>
      <c r="D820" s="891"/>
      <c r="E820" s="891"/>
      <c r="F820" s="891"/>
      <c r="G820" s="891"/>
      <c r="H820" s="1088"/>
      <c r="I820" s="1088"/>
      <c r="J820" s="1088"/>
      <c r="K820" s="1088"/>
    </row>
    <row r="821" spans="3:11" ht="12" customHeight="1">
      <c r="C821" s="891"/>
      <c r="D821" s="891"/>
      <c r="E821" s="891"/>
      <c r="F821" s="891"/>
      <c r="G821" s="891"/>
      <c r="H821" s="1088"/>
      <c r="I821" s="1088"/>
      <c r="J821" s="1088"/>
      <c r="K821" s="1088"/>
    </row>
    <row r="822" spans="3:11" ht="12" customHeight="1">
      <c r="C822" s="891"/>
      <c r="D822" s="891"/>
      <c r="E822" s="891"/>
      <c r="F822" s="891"/>
      <c r="G822" s="891"/>
      <c r="H822" s="1088"/>
      <c r="I822" s="1088"/>
      <c r="J822" s="1088"/>
      <c r="K822" s="1088"/>
    </row>
    <row r="823" spans="3:11" ht="12" customHeight="1">
      <c r="C823" s="891"/>
      <c r="D823" s="891"/>
      <c r="E823" s="891"/>
      <c r="F823" s="891"/>
      <c r="G823" s="891"/>
      <c r="H823" s="1088"/>
      <c r="I823" s="1088"/>
      <c r="J823" s="1088"/>
      <c r="K823" s="1088"/>
    </row>
    <row r="824" spans="3:11" ht="12" customHeight="1">
      <c r="C824" s="891"/>
      <c r="D824" s="891"/>
      <c r="E824" s="891"/>
      <c r="F824" s="891"/>
      <c r="G824" s="891"/>
      <c r="H824" s="1088"/>
      <c r="I824" s="1088"/>
      <c r="J824" s="1088"/>
      <c r="K824" s="1088"/>
    </row>
    <row r="825" spans="3:11" ht="12" customHeight="1">
      <c r="C825" s="891"/>
      <c r="D825" s="891"/>
      <c r="E825" s="891"/>
      <c r="F825" s="891"/>
      <c r="G825" s="891"/>
      <c r="H825" s="1088"/>
      <c r="I825" s="1088"/>
      <c r="J825" s="1088"/>
      <c r="K825" s="1088"/>
    </row>
    <row r="826" spans="3:11" ht="12" customHeight="1">
      <c r="C826" s="891"/>
      <c r="D826" s="891"/>
      <c r="E826" s="891"/>
      <c r="F826" s="891"/>
      <c r="G826" s="891"/>
      <c r="H826" s="1088"/>
      <c r="I826" s="1088"/>
      <c r="J826" s="1088"/>
      <c r="K826" s="1088"/>
    </row>
    <row r="827" spans="3:11" ht="12" customHeight="1">
      <c r="C827" s="891"/>
      <c r="D827" s="891"/>
      <c r="E827" s="891"/>
      <c r="F827" s="891"/>
      <c r="G827" s="891"/>
      <c r="H827" s="1088"/>
      <c r="I827" s="1088"/>
      <c r="J827" s="1088"/>
      <c r="K827" s="1088"/>
    </row>
    <row r="828" spans="3:11" ht="12" customHeight="1">
      <c r="C828" s="891"/>
      <c r="D828" s="891"/>
      <c r="E828" s="891"/>
      <c r="F828" s="891"/>
      <c r="G828" s="891"/>
      <c r="H828" s="1088"/>
      <c r="I828" s="1088"/>
      <c r="J828" s="1088"/>
      <c r="K828" s="1088"/>
    </row>
    <row r="829" spans="3:11" ht="12" customHeight="1">
      <c r="C829" s="891"/>
      <c r="D829" s="891"/>
      <c r="E829" s="891"/>
      <c r="F829" s="891"/>
      <c r="G829" s="891"/>
      <c r="H829" s="1088"/>
      <c r="I829" s="1088"/>
      <c r="J829" s="1088"/>
      <c r="K829" s="1088"/>
    </row>
    <row r="830" spans="3:11" ht="12" customHeight="1">
      <c r="C830" s="891"/>
      <c r="D830" s="891"/>
      <c r="E830" s="891"/>
      <c r="F830" s="891"/>
      <c r="G830" s="891"/>
      <c r="H830" s="1088"/>
      <c r="I830" s="1088"/>
      <c r="J830" s="1088"/>
      <c r="K830" s="1088"/>
    </row>
    <row r="831" spans="3:11" ht="12" customHeight="1">
      <c r="C831" s="891"/>
      <c r="D831" s="891"/>
      <c r="E831" s="891"/>
      <c r="F831" s="891"/>
      <c r="G831" s="891"/>
      <c r="H831" s="1088"/>
      <c r="I831" s="1088"/>
      <c r="J831" s="1088"/>
      <c r="K831" s="1088"/>
    </row>
    <row r="832" spans="3:11" ht="12" customHeight="1">
      <c r="C832" s="891"/>
      <c r="D832" s="891"/>
      <c r="E832" s="891"/>
      <c r="F832" s="891"/>
      <c r="G832" s="891"/>
      <c r="H832" s="1088"/>
      <c r="I832" s="1088"/>
      <c r="J832" s="1088"/>
      <c r="K832" s="1088"/>
    </row>
    <row r="833" spans="3:11" ht="12" customHeight="1">
      <c r="C833" s="891"/>
      <c r="D833" s="891"/>
      <c r="E833" s="891"/>
      <c r="F833" s="891"/>
      <c r="G833" s="891"/>
      <c r="H833" s="1088"/>
      <c r="I833" s="1088"/>
      <c r="J833" s="1088"/>
      <c r="K833" s="1088"/>
    </row>
    <row r="834" spans="3:11" ht="12" customHeight="1">
      <c r="C834" s="891"/>
      <c r="D834" s="891"/>
      <c r="E834" s="891"/>
      <c r="F834" s="891"/>
      <c r="G834" s="891"/>
      <c r="H834" s="1088"/>
      <c r="I834" s="1088"/>
      <c r="J834" s="1088"/>
      <c r="K834" s="1088"/>
    </row>
    <row r="835" spans="3:11" ht="12" customHeight="1">
      <c r="C835" s="891"/>
      <c r="D835" s="891"/>
      <c r="E835" s="891"/>
      <c r="F835" s="891"/>
      <c r="G835" s="891"/>
      <c r="H835" s="1088"/>
      <c r="I835" s="1088"/>
      <c r="J835" s="1088"/>
      <c r="K835" s="1088"/>
    </row>
    <row r="836" spans="3:11" ht="12" customHeight="1">
      <c r="C836" s="891"/>
      <c r="D836" s="891"/>
      <c r="E836" s="891"/>
      <c r="F836" s="891"/>
      <c r="G836" s="891"/>
      <c r="H836" s="1088"/>
      <c r="I836" s="1088"/>
      <c r="J836" s="1088"/>
      <c r="K836" s="1088"/>
    </row>
    <row r="837" spans="3:11" ht="12" customHeight="1">
      <c r="C837" s="891"/>
      <c r="D837" s="891"/>
      <c r="E837" s="891"/>
      <c r="F837" s="891"/>
      <c r="G837" s="891"/>
      <c r="H837" s="1088"/>
      <c r="I837" s="1088"/>
      <c r="J837" s="1088"/>
      <c r="K837" s="1088"/>
    </row>
    <row r="838" spans="3:11" ht="12" customHeight="1">
      <c r="C838" s="891"/>
      <c r="D838" s="891"/>
      <c r="E838" s="891"/>
      <c r="F838" s="891"/>
      <c r="G838" s="891"/>
      <c r="H838" s="1088"/>
      <c r="I838" s="1088"/>
      <c r="J838" s="1088"/>
      <c r="K838" s="1088"/>
    </row>
    <row r="839" spans="3:11" ht="12" customHeight="1">
      <c r="C839" s="891"/>
      <c r="D839" s="891"/>
      <c r="E839" s="891"/>
      <c r="F839" s="891"/>
      <c r="G839" s="891"/>
      <c r="H839" s="1088"/>
      <c r="I839" s="1088"/>
      <c r="J839" s="1088"/>
      <c r="K839" s="1088"/>
    </row>
    <row r="840" spans="3:11" ht="12" customHeight="1">
      <c r="C840" s="891"/>
      <c r="D840" s="891"/>
      <c r="E840" s="891"/>
      <c r="F840" s="891"/>
      <c r="G840" s="891"/>
      <c r="H840" s="1088"/>
      <c r="I840" s="1088"/>
      <c r="J840" s="1088"/>
      <c r="K840" s="1088"/>
    </row>
    <row r="841" spans="3:11" ht="12" customHeight="1">
      <c r="C841" s="891"/>
      <c r="D841" s="891"/>
      <c r="E841" s="891"/>
      <c r="F841" s="891"/>
      <c r="G841" s="891"/>
      <c r="H841" s="1088"/>
      <c r="I841" s="1088"/>
      <c r="J841" s="1088"/>
      <c r="K841" s="1088"/>
    </row>
    <row r="842" spans="3:11" ht="12" customHeight="1">
      <c r="C842" s="891"/>
      <c r="D842" s="891"/>
      <c r="E842" s="891"/>
      <c r="F842" s="891"/>
      <c r="G842" s="891"/>
      <c r="H842" s="1088"/>
      <c r="I842" s="1088"/>
      <c r="J842" s="1088"/>
      <c r="K842" s="1088"/>
    </row>
    <row r="843" spans="3:11" ht="12" customHeight="1">
      <c r="C843" s="891"/>
      <c r="D843" s="891"/>
      <c r="E843" s="891"/>
      <c r="F843" s="891"/>
      <c r="G843" s="891"/>
      <c r="H843" s="1088"/>
      <c r="I843" s="1088"/>
      <c r="J843" s="1088"/>
      <c r="K843" s="1088"/>
    </row>
    <row r="844" spans="3:11" ht="12" customHeight="1">
      <c r="C844" s="891"/>
      <c r="D844" s="891"/>
      <c r="E844" s="891"/>
      <c r="F844" s="891"/>
      <c r="G844" s="891"/>
      <c r="H844" s="1088"/>
      <c r="I844" s="1088"/>
      <c r="J844" s="1088"/>
      <c r="K844" s="1088"/>
    </row>
    <row r="845" spans="3:11" ht="12" customHeight="1">
      <c r="C845" s="891"/>
      <c r="D845" s="891"/>
      <c r="E845" s="891"/>
      <c r="F845" s="891"/>
      <c r="G845" s="891"/>
      <c r="H845" s="1088"/>
      <c r="I845" s="1088"/>
      <c r="J845" s="1088"/>
      <c r="K845" s="1088"/>
    </row>
    <row r="846" spans="3:11" ht="12" customHeight="1">
      <c r="C846" s="891"/>
      <c r="D846" s="891"/>
      <c r="E846" s="891"/>
      <c r="F846" s="891"/>
      <c r="G846" s="891"/>
      <c r="H846" s="1088"/>
      <c r="I846" s="1088"/>
      <c r="J846" s="1088"/>
      <c r="K846" s="1088"/>
    </row>
    <row r="847" spans="3:11" ht="12" customHeight="1">
      <c r="C847" s="891"/>
      <c r="D847" s="891"/>
      <c r="E847" s="891"/>
      <c r="F847" s="891"/>
      <c r="G847" s="891"/>
      <c r="H847" s="1088"/>
      <c r="I847" s="1088"/>
      <c r="J847" s="1088"/>
      <c r="K847" s="1088"/>
    </row>
    <row r="848" spans="3:11" ht="12" customHeight="1">
      <c r="C848" s="891"/>
      <c r="D848" s="891"/>
      <c r="E848" s="891"/>
      <c r="F848" s="891"/>
      <c r="G848" s="891"/>
      <c r="H848" s="1088"/>
      <c r="I848" s="1088"/>
      <c r="J848" s="1088"/>
      <c r="K848" s="1088"/>
    </row>
    <row r="849" spans="3:11" ht="12" customHeight="1">
      <c r="C849" s="891"/>
      <c r="D849" s="891"/>
      <c r="E849" s="891"/>
      <c r="F849" s="891"/>
      <c r="G849" s="891"/>
      <c r="H849" s="1088"/>
      <c r="I849" s="1088"/>
      <c r="J849" s="1088"/>
      <c r="K849" s="1088"/>
    </row>
    <row r="850" spans="3:11" ht="12" customHeight="1">
      <c r="C850" s="891"/>
      <c r="D850" s="891"/>
      <c r="E850" s="891"/>
      <c r="F850" s="891"/>
      <c r="G850" s="891"/>
      <c r="H850" s="1088"/>
      <c r="I850" s="1088"/>
      <c r="J850" s="1088"/>
      <c r="K850" s="1088"/>
    </row>
    <row r="851" spans="3:11" ht="12" customHeight="1">
      <c r="C851" s="891"/>
      <c r="D851" s="891"/>
      <c r="E851" s="891"/>
      <c r="F851" s="891"/>
      <c r="G851" s="891"/>
      <c r="H851" s="1088"/>
      <c r="I851" s="1088"/>
      <c r="J851" s="1088"/>
      <c r="K851" s="1088"/>
    </row>
    <row r="852" spans="3:11" ht="12" customHeight="1">
      <c r="C852" s="891"/>
      <c r="D852" s="891"/>
      <c r="E852" s="891"/>
      <c r="F852" s="891"/>
      <c r="G852" s="891"/>
      <c r="H852" s="1088"/>
      <c r="I852" s="1088"/>
      <c r="J852" s="1088"/>
      <c r="K852" s="1088"/>
    </row>
    <row r="853" spans="3:11" ht="12" customHeight="1">
      <c r="C853" s="891"/>
      <c r="D853" s="891"/>
      <c r="E853" s="891"/>
      <c r="F853" s="891"/>
      <c r="G853" s="891"/>
      <c r="H853" s="1088"/>
      <c r="I853" s="1088"/>
      <c r="J853" s="1088"/>
      <c r="K853" s="1088"/>
    </row>
    <row r="854" spans="3:11" ht="12" customHeight="1">
      <c r="C854" s="891"/>
      <c r="D854" s="891"/>
      <c r="E854" s="891"/>
      <c r="F854" s="891"/>
      <c r="G854" s="891"/>
      <c r="H854" s="1088"/>
      <c r="I854" s="1088"/>
      <c r="J854" s="1088"/>
      <c r="K854" s="1088"/>
    </row>
    <row r="855" spans="3:11" ht="12" customHeight="1">
      <c r="C855" s="891"/>
      <c r="D855" s="891"/>
      <c r="E855" s="891"/>
      <c r="F855" s="891"/>
      <c r="G855" s="891"/>
      <c r="H855" s="1088"/>
      <c r="I855" s="1088"/>
      <c r="J855" s="1088"/>
      <c r="K855" s="1088"/>
    </row>
    <row r="856" spans="3:11" ht="12" customHeight="1">
      <c r="C856" s="891"/>
      <c r="D856" s="891"/>
      <c r="E856" s="891"/>
      <c r="F856" s="891"/>
      <c r="G856" s="891"/>
      <c r="H856" s="1088"/>
      <c r="I856" s="1088"/>
      <c r="J856" s="1088"/>
      <c r="K856" s="1088"/>
    </row>
    <row r="857" spans="3:11" ht="12" customHeight="1">
      <c r="C857" s="891"/>
      <c r="D857" s="891"/>
      <c r="E857" s="891"/>
      <c r="F857" s="891"/>
      <c r="G857" s="891"/>
      <c r="H857" s="1088"/>
      <c r="I857" s="1088"/>
      <c r="J857" s="1088"/>
      <c r="K857" s="1088"/>
    </row>
    <row r="858" spans="3:11" ht="12" customHeight="1">
      <c r="C858" s="891"/>
      <c r="D858" s="891"/>
      <c r="E858" s="891"/>
      <c r="F858" s="891"/>
      <c r="G858" s="891"/>
      <c r="H858" s="1088"/>
      <c r="I858" s="1088"/>
      <c r="J858" s="1088"/>
      <c r="K858" s="1088"/>
    </row>
    <row r="859" spans="3:11" ht="12" customHeight="1">
      <c r="C859" s="891"/>
      <c r="D859" s="891"/>
      <c r="E859" s="891"/>
      <c r="F859" s="891"/>
      <c r="G859" s="891"/>
      <c r="H859" s="1088"/>
      <c r="I859" s="1088"/>
      <c r="J859" s="1088"/>
      <c r="K859" s="1088"/>
    </row>
    <row r="860" spans="3:11" ht="12" customHeight="1">
      <c r="C860" s="891"/>
      <c r="D860" s="891"/>
      <c r="E860" s="891"/>
      <c r="F860" s="891"/>
      <c r="G860" s="891"/>
      <c r="H860" s="1088"/>
      <c r="I860" s="1088"/>
      <c r="J860" s="1088"/>
      <c r="K860" s="1088"/>
    </row>
    <row r="861" spans="3:11" ht="12" customHeight="1">
      <c r="C861" s="891"/>
      <c r="D861" s="891"/>
      <c r="E861" s="891"/>
      <c r="F861" s="891"/>
      <c r="G861" s="891"/>
      <c r="H861" s="1088"/>
      <c r="I861" s="1088"/>
      <c r="J861" s="1088"/>
      <c r="K861" s="1088"/>
    </row>
    <row r="862" spans="3:11" ht="12" customHeight="1">
      <c r="C862" s="891"/>
      <c r="D862" s="891"/>
      <c r="E862" s="891"/>
      <c r="F862" s="891"/>
      <c r="G862" s="891"/>
      <c r="H862" s="1088"/>
      <c r="I862" s="1088"/>
      <c r="J862" s="1088"/>
      <c r="K862" s="1088"/>
    </row>
    <row r="863" spans="3:11" ht="12" customHeight="1">
      <c r="C863" s="891"/>
      <c r="D863" s="891"/>
      <c r="E863" s="891"/>
      <c r="F863" s="891"/>
      <c r="G863" s="891"/>
      <c r="H863" s="1088"/>
      <c r="I863" s="1088"/>
      <c r="J863" s="1088"/>
      <c r="K863" s="1088"/>
    </row>
    <row r="864" spans="3:11" ht="12" customHeight="1">
      <c r="C864" s="891"/>
      <c r="D864" s="891"/>
      <c r="E864" s="891"/>
      <c r="F864" s="891"/>
      <c r="G864" s="891"/>
      <c r="H864" s="1088"/>
      <c r="I864" s="1088"/>
      <c r="J864" s="1088"/>
      <c r="K864" s="1088"/>
    </row>
    <row r="865" spans="3:11" ht="12" customHeight="1">
      <c r="C865" s="891"/>
      <c r="D865" s="891"/>
      <c r="E865" s="891"/>
      <c r="F865" s="891"/>
      <c r="G865" s="891"/>
      <c r="H865" s="1088"/>
      <c r="I865" s="1088"/>
      <c r="J865" s="1088"/>
      <c r="K865" s="1088"/>
    </row>
    <row r="866" spans="3:11" ht="12" customHeight="1">
      <c r="C866" s="891"/>
      <c r="D866" s="891"/>
      <c r="E866" s="891"/>
      <c r="F866" s="891"/>
      <c r="G866" s="891"/>
      <c r="H866" s="1088"/>
      <c r="I866" s="1088"/>
      <c r="J866" s="1088"/>
      <c r="K866" s="1088"/>
    </row>
    <row r="867" spans="3:11" ht="12" customHeight="1">
      <c r="C867" s="891"/>
      <c r="D867" s="891"/>
      <c r="E867" s="891"/>
      <c r="F867" s="891"/>
      <c r="G867" s="891"/>
      <c r="H867" s="1088"/>
      <c r="I867" s="1088"/>
      <c r="J867" s="1088"/>
      <c r="K867" s="1088"/>
    </row>
    <row r="868" spans="3:11" ht="12" customHeight="1">
      <c r="C868" s="891"/>
      <c r="D868" s="891"/>
      <c r="E868" s="891"/>
      <c r="F868" s="891"/>
      <c r="G868" s="891"/>
      <c r="H868" s="1088"/>
      <c r="I868" s="1088"/>
      <c r="J868" s="1088"/>
      <c r="K868" s="1088"/>
    </row>
    <row r="869" spans="3:11" ht="12" customHeight="1">
      <c r="C869" s="891"/>
      <c r="D869" s="891"/>
      <c r="E869" s="891"/>
      <c r="F869" s="891"/>
      <c r="G869" s="891"/>
      <c r="H869" s="1088"/>
      <c r="I869" s="1088"/>
      <c r="J869" s="1088"/>
      <c r="K869" s="1088"/>
    </row>
    <row r="870" spans="3:11" ht="12" customHeight="1">
      <c r="C870" s="891"/>
      <c r="D870" s="891"/>
      <c r="E870" s="891"/>
      <c r="F870" s="891"/>
      <c r="G870" s="891"/>
      <c r="H870" s="1088"/>
      <c r="I870" s="1088"/>
      <c r="J870" s="1088"/>
      <c r="K870" s="1088"/>
    </row>
    <row r="871" spans="3:11" ht="12" customHeight="1">
      <c r="C871" s="891"/>
      <c r="D871" s="891"/>
      <c r="E871" s="891"/>
      <c r="F871" s="891"/>
      <c r="G871" s="891"/>
      <c r="H871" s="1088"/>
      <c r="I871" s="1088"/>
      <c r="J871" s="1088"/>
      <c r="K871" s="1088"/>
    </row>
    <row r="872" spans="3:11" ht="12" customHeight="1">
      <c r="C872" s="891"/>
      <c r="D872" s="891"/>
      <c r="E872" s="891"/>
      <c r="F872" s="891"/>
      <c r="G872" s="891"/>
      <c r="H872" s="1088"/>
      <c r="I872" s="1088"/>
      <c r="J872" s="1088"/>
      <c r="K872" s="1088"/>
    </row>
    <row r="873" spans="3:11" ht="12" customHeight="1">
      <c r="C873" s="891"/>
      <c r="D873" s="891"/>
      <c r="E873" s="891"/>
      <c r="F873" s="891"/>
      <c r="G873" s="891"/>
      <c r="H873" s="1088"/>
      <c r="I873" s="1088"/>
      <c r="J873" s="1088"/>
      <c r="K873" s="1088"/>
    </row>
    <row r="874" spans="3:11" ht="12" customHeight="1">
      <c r="C874" s="891"/>
      <c r="D874" s="891"/>
      <c r="E874" s="891"/>
      <c r="F874" s="891"/>
      <c r="G874" s="891"/>
      <c r="H874" s="1088"/>
      <c r="I874" s="1088"/>
      <c r="J874" s="1088"/>
      <c r="K874" s="1088"/>
    </row>
    <row r="875" spans="3:11" ht="12" customHeight="1">
      <c r="C875" s="891"/>
      <c r="D875" s="891"/>
      <c r="E875" s="891"/>
      <c r="F875" s="891"/>
      <c r="G875" s="891"/>
      <c r="H875" s="1088"/>
      <c r="I875" s="1088"/>
      <c r="J875" s="1088"/>
      <c r="K875" s="1088"/>
    </row>
    <row r="876" spans="3:11" ht="12" customHeight="1">
      <c r="C876" s="891"/>
      <c r="D876" s="891"/>
      <c r="E876" s="891"/>
      <c r="F876" s="891"/>
      <c r="G876" s="891"/>
      <c r="H876" s="1088"/>
      <c r="I876" s="1088"/>
      <c r="J876" s="1088"/>
      <c r="K876" s="1088"/>
    </row>
    <row r="877" spans="3:11" ht="12" customHeight="1">
      <c r="C877" s="891"/>
      <c r="D877" s="891"/>
      <c r="E877" s="891"/>
      <c r="F877" s="891"/>
      <c r="G877" s="891"/>
      <c r="H877" s="1088"/>
      <c r="I877" s="1088"/>
      <c r="J877" s="1088"/>
      <c r="K877" s="1088"/>
    </row>
    <row r="878" spans="3:11" ht="12" customHeight="1">
      <c r="C878" s="891"/>
      <c r="D878" s="891"/>
      <c r="E878" s="891"/>
      <c r="F878" s="891"/>
      <c r="G878" s="891"/>
      <c r="H878" s="1088"/>
      <c r="I878" s="1088"/>
      <c r="J878" s="1088"/>
      <c r="K878" s="1088"/>
    </row>
    <row r="879" spans="3:11" ht="12" customHeight="1">
      <c r="C879" s="891"/>
      <c r="D879" s="891"/>
      <c r="E879" s="891"/>
      <c r="F879" s="891"/>
      <c r="G879" s="891"/>
      <c r="H879" s="1088"/>
      <c r="I879" s="1088"/>
      <c r="J879" s="1088"/>
      <c r="K879" s="1088"/>
    </row>
    <row r="880" spans="3:11" ht="12" customHeight="1">
      <c r="C880" s="891"/>
      <c r="D880" s="891"/>
      <c r="E880" s="891"/>
      <c r="F880" s="891"/>
      <c r="G880" s="891"/>
      <c r="H880" s="1088"/>
      <c r="I880" s="1088"/>
      <c r="J880" s="1088"/>
      <c r="K880" s="1088"/>
    </row>
    <row r="881" spans="3:11" ht="12" customHeight="1">
      <c r="C881" s="891"/>
      <c r="D881" s="891"/>
      <c r="E881" s="891"/>
      <c r="F881" s="891"/>
      <c r="G881" s="891"/>
      <c r="H881" s="1088"/>
      <c r="I881" s="1088"/>
      <c r="J881" s="1088"/>
      <c r="K881" s="1088"/>
    </row>
    <row r="882" spans="3:11" ht="12" customHeight="1">
      <c r="C882" s="891"/>
      <c r="D882" s="891"/>
      <c r="E882" s="891"/>
      <c r="F882" s="891"/>
      <c r="G882" s="891"/>
      <c r="H882" s="1088"/>
      <c r="I882" s="1088"/>
      <c r="J882" s="1088"/>
      <c r="K882" s="1088"/>
    </row>
    <row r="883" spans="3:11" ht="12" customHeight="1">
      <c r="C883" s="891"/>
      <c r="D883" s="891"/>
      <c r="E883" s="891"/>
      <c r="F883" s="891"/>
      <c r="G883" s="891"/>
      <c r="H883" s="1088"/>
      <c r="I883" s="1088"/>
      <c r="J883" s="1088"/>
      <c r="K883" s="1088"/>
    </row>
    <row r="884" spans="3:11" ht="12" customHeight="1">
      <c r="C884" s="891"/>
      <c r="D884" s="891"/>
      <c r="E884" s="891"/>
      <c r="F884" s="891"/>
      <c r="G884" s="891"/>
      <c r="H884" s="1088"/>
      <c r="I884" s="1088"/>
      <c r="J884" s="1088"/>
      <c r="K884" s="1088"/>
    </row>
    <row r="885" spans="3:11" ht="12" customHeight="1">
      <c r="C885" s="891"/>
      <c r="D885" s="891"/>
      <c r="E885" s="891"/>
      <c r="F885" s="891"/>
      <c r="G885" s="891"/>
      <c r="H885" s="1088"/>
      <c r="I885" s="1088"/>
      <c r="J885" s="1088"/>
      <c r="K885" s="1088"/>
    </row>
    <row r="886" spans="3:11" ht="12" customHeight="1">
      <c r="C886" s="891"/>
      <c r="D886" s="891"/>
      <c r="E886" s="891"/>
      <c r="F886" s="891"/>
      <c r="G886" s="891"/>
      <c r="H886" s="1088"/>
      <c r="I886" s="1088"/>
      <c r="J886" s="1088"/>
      <c r="K886" s="1088"/>
    </row>
    <row r="887" spans="3:11" ht="12" customHeight="1">
      <c r="C887" s="891"/>
      <c r="D887" s="891"/>
      <c r="E887" s="891"/>
      <c r="F887" s="891"/>
      <c r="G887" s="891"/>
      <c r="H887" s="1088"/>
      <c r="I887" s="1088"/>
      <c r="J887" s="1088"/>
      <c r="K887" s="1088"/>
    </row>
    <row r="888" spans="3:11" ht="12" customHeight="1">
      <c r="C888" s="891"/>
      <c r="D888" s="891"/>
      <c r="E888" s="891"/>
      <c r="F888" s="891"/>
      <c r="G888" s="891"/>
      <c r="H888" s="1088"/>
      <c r="I888" s="1088"/>
      <c r="J888" s="1088"/>
      <c r="K888" s="1088"/>
    </row>
    <row r="889" spans="3:11" ht="12" customHeight="1">
      <c r="C889" s="891"/>
      <c r="D889" s="891"/>
      <c r="E889" s="891"/>
      <c r="F889" s="891"/>
      <c r="G889" s="891"/>
      <c r="H889" s="1088"/>
      <c r="I889" s="1088"/>
      <c r="J889" s="1088"/>
      <c r="K889" s="1088"/>
    </row>
    <row r="890" spans="3:11" ht="12" customHeight="1">
      <c r="C890" s="891"/>
      <c r="D890" s="891"/>
      <c r="E890" s="891"/>
      <c r="F890" s="891"/>
      <c r="G890" s="891"/>
      <c r="H890" s="1088"/>
      <c r="I890" s="1088"/>
      <c r="J890" s="1088"/>
      <c r="K890" s="1088"/>
    </row>
    <row r="891" spans="3:11" ht="12" customHeight="1">
      <c r="C891" s="891"/>
      <c r="D891" s="891"/>
      <c r="E891" s="891"/>
      <c r="F891" s="891"/>
      <c r="G891" s="891"/>
      <c r="H891" s="1088"/>
      <c r="I891" s="1088"/>
      <c r="J891" s="1088"/>
      <c r="K891" s="1088"/>
    </row>
    <row r="892" spans="3:11" ht="12" customHeight="1">
      <c r="C892" s="891"/>
      <c r="D892" s="891"/>
      <c r="E892" s="891"/>
      <c r="F892" s="891"/>
      <c r="G892" s="891"/>
      <c r="H892" s="1088"/>
      <c r="I892" s="1088"/>
      <c r="J892" s="1088"/>
      <c r="K892" s="1088"/>
    </row>
    <row r="893" spans="3:11" ht="12" customHeight="1">
      <c r="C893" s="891"/>
      <c r="D893" s="891"/>
      <c r="E893" s="891"/>
      <c r="F893" s="891"/>
      <c r="G893" s="891"/>
      <c r="H893" s="1088"/>
      <c r="I893" s="1088"/>
      <c r="J893" s="1088"/>
      <c r="K893" s="1088"/>
    </row>
    <row r="894" spans="3:11" ht="12" customHeight="1">
      <c r="C894" s="891"/>
      <c r="D894" s="891"/>
      <c r="E894" s="891"/>
      <c r="F894" s="891"/>
      <c r="G894" s="891"/>
      <c r="H894" s="1088"/>
      <c r="I894" s="1088"/>
      <c r="J894" s="1088"/>
      <c r="K894" s="1088"/>
    </row>
    <row r="895" spans="3:11" ht="12" customHeight="1">
      <c r="C895" s="891"/>
      <c r="D895" s="891"/>
      <c r="E895" s="891"/>
      <c r="F895" s="891"/>
      <c r="G895" s="891"/>
      <c r="H895" s="1088"/>
      <c r="I895" s="1088"/>
      <c r="J895" s="1088"/>
      <c r="K895" s="1088"/>
    </row>
    <row r="896" spans="3:11" ht="12" customHeight="1">
      <c r="C896" s="891"/>
      <c r="D896" s="891"/>
      <c r="E896" s="891"/>
      <c r="F896" s="891"/>
      <c r="G896" s="891"/>
      <c r="H896" s="1088"/>
      <c r="I896" s="1088"/>
      <c r="J896" s="1088"/>
      <c r="K896" s="1088"/>
    </row>
    <row r="897" spans="3:11" ht="12" customHeight="1">
      <c r="C897" s="891"/>
      <c r="D897" s="891"/>
      <c r="E897" s="891"/>
      <c r="F897" s="891"/>
      <c r="G897" s="891"/>
      <c r="H897" s="1088"/>
      <c r="I897" s="1088"/>
      <c r="J897" s="1088"/>
      <c r="K897" s="1088"/>
    </row>
    <row r="898" spans="3:11" ht="12" customHeight="1">
      <c r="C898" s="891"/>
      <c r="D898" s="891"/>
      <c r="E898" s="891"/>
      <c r="F898" s="891"/>
      <c r="G898" s="891"/>
      <c r="H898" s="1088"/>
      <c r="I898" s="1088"/>
      <c r="J898" s="1088"/>
      <c r="K898" s="1088"/>
    </row>
    <row r="899" spans="3:11" ht="12" customHeight="1">
      <c r="C899" s="891"/>
      <c r="D899" s="891"/>
      <c r="E899" s="891"/>
      <c r="F899" s="891"/>
      <c r="G899" s="891"/>
      <c r="H899" s="1088"/>
      <c r="I899" s="1088"/>
      <c r="J899" s="1088"/>
      <c r="K899" s="1088"/>
    </row>
    <row r="900" spans="3:11" ht="12" customHeight="1">
      <c r="C900" s="891"/>
      <c r="D900" s="891"/>
      <c r="E900" s="891"/>
      <c r="F900" s="891"/>
      <c r="G900" s="891"/>
      <c r="H900" s="1088"/>
      <c r="I900" s="1088"/>
      <c r="J900" s="1088"/>
      <c r="K900" s="1088"/>
    </row>
    <row r="901" spans="3:11" ht="12" customHeight="1">
      <c r="C901" s="891"/>
      <c r="D901" s="891"/>
      <c r="E901" s="891"/>
      <c r="F901" s="891"/>
      <c r="G901" s="891"/>
      <c r="H901" s="1088"/>
      <c r="I901" s="1088"/>
      <c r="J901" s="1088"/>
      <c r="K901" s="1088"/>
    </row>
    <row r="902" spans="3:11" ht="12" customHeight="1">
      <c r="C902" s="891"/>
      <c r="D902" s="891"/>
      <c r="E902" s="891"/>
      <c r="F902" s="891"/>
      <c r="G902" s="891"/>
      <c r="H902" s="1088"/>
      <c r="I902" s="1088"/>
      <c r="J902" s="1088"/>
      <c r="K902" s="1088"/>
    </row>
    <row r="903" spans="3:11" ht="12" customHeight="1">
      <c r="C903" s="891"/>
      <c r="D903" s="891"/>
      <c r="E903" s="891"/>
      <c r="F903" s="891"/>
      <c r="G903" s="891"/>
      <c r="H903" s="1088"/>
      <c r="I903" s="1088"/>
      <c r="J903" s="1088"/>
      <c r="K903" s="1088"/>
    </row>
    <row r="904" spans="3:11" ht="12" customHeight="1">
      <c r="C904" s="891"/>
      <c r="D904" s="891"/>
      <c r="E904" s="891"/>
      <c r="F904" s="891"/>
      <c r="G904" s="891"/>
      <c r="H904" s="1088"/>
      <c r="I904" s="1088"/>
      <c r="J904" s="1088"/>
      <c r="K904" s="1088"/>
    </row>
    <row r="905" spans="3:11" ht="12" customHeight="1">
      <c r="C905" s="891"/>
      <c r="D905" s="891"/>
      <c r="E905" s="891"/>
      <c r="F905" s="891"/>
      <c r="G905" s="891"/>
      <c r="H905" s="1088"/>
      <c r="I905" s="1088"/>
      <c r="J905" s="1088"/>
      <c r="K905" s="1088"/>
    </row>
    <row r="906" spans="3:11" ht="12" customHeight="1">
      <c r="C906" s="891"/>
      <c r="D906" s="891"/>
      <c r="E906" s="891"/>
      <c r="F906" s="891"/>
      <c r="G906" s="891"/>
      <c r="H906" s="1088"/>
      <c r="I906" s="1088"/>
      <c r="J906" s="1088"/>
      <c r="K906" s="1088"/>
    </row>
    <row r="907" spans="3:11" ht="12" customHeight="1">
      <c r="C907" s="891"/>
      <c r="D907" s="891"/>
      <c r="E907" s="891"/>
      <c r="F907" s="891"/>
      <c r="G907" s="891"/>
      <c r="H907" s="1088"/>
      <c r="I907" s="1088"/>
      <c r="J907" s="1088"/>
      <c r="K907" s="1088"/>
    </row>
    <row r="908" spans="3:11" ht="12" customHeight="1">
      <c r="C908" s="891"/>
      <c r="D908" s="891"/>
      <c r="E908" s="891"/>
      <c r="F908" s="891"/>
      <c r="G908" s="891"/>
      <c r="H908" s="1088"/>
      <c r="I908" s="1088"/>
      <c r="J908" s="1088"/>
      <c r="K908" s="1088"/>
    </row>
    <row r="909" spans="3:11" ht="12" customHeight="1">
      <c r="C909" s="891"/>
      <c r="D909" s="891"/>
      <c r="E909" s="891"/>
      <c r="F909" s="891"/>
      <c r="G909" s="891"/>
      <c r="H909" s="1088"/>
      <c r="I909" s="1088"/>
      <c r="J909" s="1088"/>
      <c r="K909" s="1088"/>
    </row>
    <row r="910" spans="3:11" ht="12" customHeight="1">
      <c r="C910" s="891"/>
      <c r="D910" s="891"/>
      <c r="E910" s="891"/>
      <c r="F910" s="891"/>
      <c r="G910" s="891"/>
      <c r="H910" s="1088"/>
      <c r="I910" s="1088"/>
      <c r="J910" s="1088"/>
      <c r="K910" s="1088"/>
    </row>
    <row r="911" spans="3:11" ht="12" customHeight="1">
      <c r="C911" s="891"/>
      <c r="D911" s="891"/>
      <c r="E911" s="891"/>
      <c r="F911" s="891"/>
      <c r="G911" s="891"/>
      <c r="H911" s="1088"/>
      <c r="I911" s="1088"/>
      <c r="J911" s="1088"/>
      <c r="K911" s="1088"/>
    </row>
    <row r="912" spans="3:11" ht="12" customHeight="1">
      <c r="C912" s="891"/>
      <c r="D912" s="891"/>
      <c r="E912" s="891"/>
      <c r="F912" s="891"/>
      <c r="G912" s="891"/>
      <c r="H912" s="1088"/>
      <c r="I912" s="1088"/>
      <c r="J912" s="1088"/>
      <c r="K912" s="1088"/>
    </row>
    <row r="913" spans="3:11" ht="12" customHeight="1">
      <c r="C913" s="891"/>
      <c r="D913" s="891"/>
      <c r="E913" s="891"/>
      <c r="F913" s="891"/>
      <c r="G913" s="891"/>
      <c r="H913" s="1088"/>
      <c r="I913" s="1088"/>
      <c r="J913" s="1088"/>
      <c r="K913" s="1088"/>
    </row>
    <row r="914" spans="3:11" ht="12" customHeight="1">
      <c r="C914" s="891"/>
      <c r="D914" s="891"/>
      <c r="E914" s="891"/>
      <c r="F914" s="891"/>
      <c r="G914" s="891"/>
      <c r="H914" s="1088"/>
      <c r="I914" s="1088"/>
      <c r="J914" s="1088"/>
      <c r="K914" s="1088"/>
    </row>
    <row r="915" spans="3:11" ht="12" customHeight="1">
      <c r="C915" s="891"/>
      <c r="D915" s="891"/>
      <c r="E915" s="891"/>
      <c r="F915" s="891"/>
      <c r="G915" s="891"/>
      <c r="H915" s="1088"/>
      <c r="I915" s="1088"/>
      <c r="J915" s="1088"/>
      <c r="K915" s="1088"/>
    </row>
    <row r="916" spans="3:11" ht="12" customHeight="1">
      <c r="C916" s="891"/>
      <c r="D916" s="891"/>
      <c r="E916" s="891"/>
      <c r="F916" s="891"/>
      <c r="G916" s="891"/>
      <c r="H916" s="1088"/>
      <c r="I916" s="1088"/>
      <c r="J916" s="1088"/>
      <c r="K916" s="1088"/>
    </row>
    <row r="917" spans="3:11" ht="12" customHeight="1">
      <c r="C917" s="891"/>
      <c r="D917" s="891"/>
      <c r="E917" s="891"/>
      <c r="F917" s="891"/>
      <c r="G917" s="891"/>
      <c r="H917" s="1088"/>
      <c r="I917" s="1088"/>
      <c r="J917" s="1088"/>
      <c r="K917" s="1088"/>
    </row>
    <row r="918" spans="3:11" ht="12" customHeight="1">
      <c r="C918" s="891"/>
      <c r="D918" s="891"/>
      <c r="E918" s="891"/>
      <c r="F918" s="891"/>
      <c r="G918" s="891"/>
      <c r="H918" s="1088"/>
      <c r="I918" s="1088"/>
      <c r="J918" s="1088"/>
      <c r="K918" s="1088"/>
    </row>
    <row r="919" spans="3:11" ht="12" customHeight="1">
      <c r="C919" s="891"/>
      <c r="D919" s="891"/>
      <c r="E919" s="891"/>
      <c r="F919" s="891"/>
      <c r="G919" s="891"/>
      <c r="H919" s="1088"/>
      <c r="I919" s="1088"/>
      <c r="J919" s="1088"/>
      <c r="K919" s="1088"/>
    </row>
    <row r="920" spans="3:11" ht="12" customHeight="1">
      <c r="C920" s="891"/>
      <c r="D920" s="891"/>
      <c r="E920" s="891"/>
      <c r="F920" s="891"/>
      <c r="G920" s="891"/>
      <c r="H920" s="1088"/>
      <c r="I920" s="1088"/>
      <c r="J920" s="1088"/>
      <c r="K920" s="1088"/>
    </row>
    <row r="921" spans="3:11" ht="12" customHeight="1">
      <c r="C921" s="891"/>
      <c r="D921" s="891"/>
      <c r="E921" s="891"/>
      <c r="F921" s="891"/>
      <c r="G921" s="891"/>
      <c r="H921" s="1088"/>
      <c r="I921" s="1088"/>
      <c r="J921" s="1088"/>
      <c r="K921" s="1088"/>
    </row>
    <row r="922" spans="3:11" ht="12" customHeight="1">
      <c r="C922" s="891"/>
      <c r="D922" s="891"/>
      <c r="E922" s="891"/>
      <c r="F922" s="891"/>
      <c r="G922" s="891"/>
      <c r="H922" s="1088"/>
      <c r="I922" s="1088"/>
      <c r="J922" s="1088"/>
      <c r="K922" s="1088"/>
    </row>
    <row r="923" spans="3:11" ht="12" customHeight="1">
      <c r="C923" s="891"/>
      <c r="D923" s="891"/>
      <c r="E923" s="891"/>
      <c r="F923" s="891"/>
      <c r="G923" s="891"/>
      <c r="H923" s="1088"/>
      <c r="I923" s="1088"/>
      <c r="J923" s="1088"/>
      <c r="K923" s="1088"/>
    </row>
    <row r="924" spans="3:11" ht="12" customHeight="1">
      <c r="C924" s="891"/>
      <c r="D924" s="891"/>
      <c r="E924" s="891"/>
      <c r="F924" s="891"/>
      <c r="G924" s="891"/>
      <c r="H924" s="1088"/>
      <c r="I924" s="1088"/>
      <c r="J924" s="1088"/>
      <c r="K924" s="1088"/>
    </row>
    <row r="925" spans="3:11" ht="12" customHeight="1">
      <c r="C925" s="891"/>
      <c r="D925" s="891"/>
      <c r="E925" s="891"/>
      <c r="F925" s="891"/>
      <c r="G925" s="891"/>
      <c r="H925" s="1088"/>
      <c r="I925" s="1088"/>
      <c r="J925" s="1088"/>
      <c r="K925" s="1088"/>
    </row>
    <row r="926" spans="3:11" ht="12" customHeight="1">
      <c r="C926" s="891"/>
      <c r="D926" s="891"/>
      <c r="E926" s="891"/>
      <c r="F926" s="891"/>
      <c r="G926" s="891"/>
      <c r="H926" s="1088"/>
      <c r="I926" s="1088"/>
      <c r="J926" s="1088"/>
      <c r="K926" s="1088"/>
    </row>
    <row r="927" spans="3:11" ht="12" customHeight="1">
      <c r="C927" s="891"/>
      <c r="D927" s="891"/>
      <c r="E927" s="891"/>
      <c r="F927" s="891"/>
      <c r="G927" s="891"/>
      <c r="H927" s="1088"/>
      <c r="I927" s="1088"/>
      <c r="J927" s="1088"/>
      <c r="K927" s="1088"/>
    </row>
    <row r="928" spans="3:11" ht="12" customHeight="1">
      <c r="C928" s="891"/>
      <c r="D928" s="891"/>
      <c r="E928" s="891"/>
      <c r="F928" s="891"/>
      <c r="G928" s="891"/>
      <c r="H928" s="1088"/>
      <c r="I928" s="1088"/>
      <c r="J928" s="1088"/>
      <c r="K928" s="1088"/>
    </row>
    <row r="929" spans="3:11" ht="12" customHeight="1">
      <c r="C929" s="891"/>
      <c r="D929" s="891"/>
      <c r="E929" s="891"/>
      <c r="F929" s="891"/>
      <c r="G929" s="891"/>
      <c r="H929" s="1088"/>
      <c r="I929" s="1088"/>
      <c r="J929" s="1088"/>
      <c r="K929" s="1088"/>
    </row>
    <row r="930" spans="3:11" ht="12" customHeight="1">
      <c r="C930" s="891"/>
      <c r="D930" s="891"/>
      <c r="E930" s="891"/>
      <c r="F930" s="891"/>
      <c r="G930" s="891"/>
      <c r="H930" s="1088"/>
      <c r="I930" s="1088"/>
      <c r="J930" s="1088"/>
      <c r="K930" s="1088"/>
    </row>
    <row r="931" spans="3:11" ht="12" customHeight="1">
      <c r="C931" s="891"/>
      <c r="D931" s="891"/>
      <c r="E931" s="891"/>
      <c r="F931" s="891"/>
      <c r="G931" s="891"/>
      <c r="H931" s="1088"/>
      <c r="I931" s="1088"/>
      <c r="J931" s="1088"/>
      <c r="K931" s="1088"/>
    </row>
    <row r="932" spans="3:11" ht="12" customHeight="1">
      <c r="C932" s="891"/>
      <c r="D932" s="891"/>
      <c r="E932" s="891"/>
      <c r="F932" s="891"/>
      <c r="G932" s="891"/>
      <c r="H932" s="1088"/>
      <c r="I932" s="1088"/>
      <c r="J932" s="1088"/>
      <c r="K932" s="1088"/>
    </row>
    <row r="933" spans="3:11" ht="12" customHeight="1">
      <c r="C933" s="891"/>
      <c r="D933" s="891"/>
      <c r="E933" s="891"/>
      <c r="F933" s="891"/>
      <c r="G933" s="891"/>
      <c r="H933" s="1088"/>
      <c r="I933" s="1088"/>
      <c r="J933" s="1088"/>
      <c r="K933" s="1088"/>
    </row>
    <row r="934" spans="3:11" ht="12" customHeight="1">
      <c r="C934" s="891"/>
      <c r="D934" s="891"/>
      <c r="E934" s="891"/>
      <c r="F934" s="891"/>
      <c r="G934" s="891"/>
      <c r="H934" s="1088"/>
      <c r="I934" s="1088"/>
      <c r="J934" s="1088"/>
      <c r="K934" s="1088"/>
    </row>
    <row r="935" spans="3:11" ht="12" customHeight="1">
      <c r="C935" s="891"/>
      <c r="D935" s="891"/>
      <c r="E935" s="891"/>
      <c r="F935" s="891"/>
      <c r="G935" s="891"/>
      <c r="H935" s="1088"/>
      <c r="I935" s="1088"/>
      <c r="J935" s="1088"/>
      <c r="K935" s="1088"/>
    </row>
    <row r="936" spans="3:11" ht="12" customHeight="1">
      <c r="C936" s="891"/>
      <c r="D936" s="891"/>
      <c r="E936" s="891"/>
      <c r="F936" s="891"/>
      <c r="G936" s="891"/>
      <c r="H936" s="1088"/>
      <c r="I936" s="1088"/>
      <c r="J936" s="1088"/>
      <c r="K936" s="1088"/>
    </row>
    <row r="937" spans="3:11" ht="12" customHeight="1">
      <c r="C937" s="891"/>
      <c r="D937" s="891"/>
      <c r="E937" s="891"/>
      <c r="F937" s="891"/>
      <c r="G937" s="891"/>
      <c r="H937" s="1088"/>
      <c r="I937" s="1088"/>
      <c r="J937" s="1088"/>
      <c r="K937" s="1088"/>
    </row>
    <row r="938" spans="3:11" ht="12" customHeight="1">
      <c r="C938" s="891"/>
      <c r="D938" s="891"/>
      <c r="E938" s="891"/>
      <c r="F938" s="891"/>
      <c r="G938" s="891"/>
      <c r="H938" s="1088"/>
      <c r="I938" s="1088"/>
      <c r="J938" s="1088"/>
      <c r="K938" s="1088"/>
    </row>
    <row r="939" spans="3:11" ht="12" customHeight="1">
      <c r="C939" s="891"/>
      <c r="D939" s="891"/>
      <c r="E939" s="891"/>
      <c r="F939" s="891"/>
      <c r="G939" s="891"/>
      <c r="H939" s="1088"/>
      <c r="I939" s="1088"/>
      <c r="J939" s="1088"/>
      <c r="K939" s="1088"/>
    </row>
    <row r="940" spans="3:11" ht="12" customHeight="1">
      <c r="C940" s="891"/>
      <c r="D940" s="891"/>
      <c r="E940" s="891"/>
      <c r="F940" s="891"/>
      <c r="G940" s="891"/>
      <c r="H940" s="1088"/>
      <c r="I940" s="1088"/>
      <c r="J940" s="1088"/>
      <c r="K940" s="1088"/>
    </row>
    <row r="941" spans="3:11" ht="12" customHeight="1">
      <c r="C941" s="891"/>
      <c r="D941" s="891"/>
      <c r="E941" s="891"/>
      <c r="F941" s="891"/>
      <c r="G941" s="891"/>
      <c r="H941" s="1088"/>
      <c r="I941" s="1088"/>
      <c r="J941" s="1088"/>
      <c r="K941" s="1088"/>
    </row>
    <row r="942" spans="3:11" ht="12" customHeight="1">
      <c r="C942" s="891"/>
      <c r="D942" s="891"/>
      <c r="E942" s="891"/>
      <c r="F942" s="891"/>
      <c r="G942" s="891"/>
      <c r="H942" s="1088"/>
      <c r="I942" s="1088"/>
      <c r="J942" s="1088"/>
      <c r="K942" s="1088"/>
    </row>
    <row r="943" spans="3:11" ht="12" customHeight="1">
      <c r="C943" s="891"/>
      <c r="D943" s="891"/>
      <c r="E943" s="891"/>
      <c r="F943" s="891"/>
      <c r="G943" s="891"/>
      <c r="H943" s="1088"/>
      <c r="I943" s="1088"/>
      <c r="J943" s="1088"/>
      <c r="K943" s="1088"/>
    </row>
    <row r="944" spans="3:11" ht="12" customHeight="1">
      <c r="C944" s="891"/>
      <c r="D944" s="891"/>
      <c r="E944" s="891"/>
      <c r="F944" s="891"/>
      <c r="G944" s="891"/>
      <c r="H944" s="1088"/>
      <c r="I944" s="1088"/>
      <c r="J944" s="1088"/>
      <c r="K944" s="1088"/>
    </row>
    <row r="945" spans="3:11" ht="12" customHeight="1">
      <c r="C945" s="891"/>
      <c r="D945" s="891"/>
      <c r="E945" s="891"/>
      <c r="F945" s="891"/>
      <c r="G945" s="891"/>
      <c r="H945" s="1088"/>
      <c r="I945" s="1088"/>
      <c r="J945" s="1088"/>
      <c r="K945" s="1088"/>
    </row>
    <row r="946" spans="3:11" ht="12" customHeight="1">
      <c r="C946" s="891"/>
      <c r="D946" s="891"/>
      <c r="E946" s="891"/>
      <c r="F946" s="891"/>
      <c r="G946" s="891"/>
      <c r="H946" s="1088"/>
      <c r="I946" s="1088"/>
      <c r="J946" s="1088"/>
      <c r="K946" s="1088"/>
    </row>
    <row r="947" spans="3:11" ht="12" customHeight="1">
      <c r="C947" s="891"/>
      <c r="D947" s="891"/>
      <c r="E947" s="891"/>
      <c r="F947" s="891"/>
      <c r="G947" s="891"/>
      <c r="H947" s="1088"/>
      <c r="I947" s="1088"/>
      <c r="J947" s="1088"/>
      <c r="K947" s="1088"/>
    </row>
    <row r="948" spans="3:11" ht="12" customHeight="1">
      <c r="C948" s="891"/>
      <c r="D948" s="891"/>
      <c r="E948" s="891"/>
      <c r="F948" s="891"/>
      <c r="G948" s="891"/>
      <c r="H948" s="1088"/>
      <c r="I948" s="1088"/>
      <c r="J948" s="1088"/>
      <c r="K948" s="1088"/>
    </row>
    <row r="949" spans="3:11" ht="12" customHeight="1">
      <c r="C949" s="891"/>
      <c r="D949" s="891"/>
      <c r="E949" s="891"/>
      <c r="F949" s="891"/>
      <c r="G949" s="891"/>
      <c r="H949" s="1088"/>
      <c r="I949" s="1088"/>
      <c r="J949" s="1088"/>
      <c r="K949" s="1088"/>
    </row>
    <row r="950" spans="3:11" ht="12" customHeight="1">
      <c r="C950" s="891"/>
      <c r="D950" s="891"/>
      <c r="E950" s="891"/>
      <c r="F950" s="891"/>
      <c r="G950" s="891"/>
      <c r="H950" s="1088"/>
      <c r="I950" s="1088"/>
      <c r="J950" s="1088"/>
      <c r="K950" s="1088"/>
    </row>
    <row r="951" spans="3:11" ht="12" customHeight="1">
      <c r="C951" s="891"/>
      <c r="D951" s="891"/>
      <c r="E951" s="891"/>
      <c r="F951" s="891"/>
      <c r="G951" s="891"/>
      <c r="H951" s="1088"/>
      <c r="I951" s="1088"/>
      <c r="J951" s="1088"/>
      <c r="K951" s="1088"/>
    </row>
    <row r="952" spans="3:11" ht="12" customHeight="1">
      <c r="C952" s="891"/>
      <c r="D952" s="891"/>
      <c r="E952" s="891"/>
      <c r="F952" s="891"/>
      <c r="G952" s="891"/>
      <c r="H952" s="1088"/>
      <c r="I952" s="1088"/>
      <c r="J952" s="1088"/>
      <c r="K952" s="1088"/>
    </row>
    <row r="953" spans="3:11" ht="12" customHeight="1">
      <c r="C953" s="891"/>
      <c r="D953" s="891"/>
      <c r="E953" s="891"/>
      <c r="F953" s="891"/>
      <c r="G953" s="891"/>
      <c r="H953" s="1088"/>
      <c r="I953" s="1088"/>
      <c r="J953" s="1088"/>
      <c r="K953" s="1088"/>
    </row>
    <row r="954" spans="3:11" ht="12" customHeight="1">
      <c r="C954" s="891"/>
      <c r="D954" s="891"/>
      <c r="E954" s="891"/>
      <c r="F954" s="891"/>
      <c r="G954" s="891"/>
      <c r="H954" s="1088"/>
      <c r="I954" s="1088"/>
      <c r="J954" s="1088"/>
      <c r="K954" s="1088"/>
    </row>
    <row r="955" spans="3:11" ht="12" customHeight="1">
      <c r="C955" s="891"/>
      <c r="D955" s="891"/>
      <c r="E955" s="891"/>
      <c r="F955" s="891"/>
      <c r="G955" s="891"/>
      <c r="H955" s="1088"/>
      <c r="I955" s="1088"/>
      <c r="J955" s="1088"/>
      <c r="K955" s="1088"/>
    </row>
    <row r="956" spans="3:11" ht="12" customHeight="1">
      <c r="C956" s="891"/>
      <c r="D956" s="891"/>
      <c r="E956" s="891"/>
      <c r="F956" s="891"/>
      <c r="G956" s="891"/>
      <c r="H956" s="1088"/>
      <c r="I956" s="1088"/>
      <c r="J956" s="1088"/>
      <c r="K956" s="1088"/>
    </row>
    <row r="957" spans="3:11" ht="12" customHeight="1">
      <c r="C957" s="891"/>
      <c r="D957" s="891"/>
      <c r="E957" s="891"/>
      <c r="F957" s="891"/>
      <c r="G957" s="891"/>
      <c r="H957" s="1088"/>
      <c r="I957" s="1088"/>
      <c r="J957" s="1088"/>
      <c r="K957" s="1088"/>
    </row>
    <row r="958" spans="3:11" ht="12" customHeight="1">
      <c r="C958" s="891"/>
      <c r="D958" s="891"/>
      <c r="E958" s="891"/>
      <c r="F958" s="891"/>
      <c r="G958" s="891"/>
      <c r="H958" s="1088"/>
      <c r="I958" s="1088"/>
      <c r="J958" s="1088"/>
      <c r="K958" s="1088"/>
    </row>
    <row r="959" spans="3:11" ht="12" customHeight="1">
      <c r="C959" s="891"/>
      <c r="D959" s="891"/>
      <c r="E959" s="891"/>
      <c r="F959" s="891"/>
      <c r="G959" s="891"/>
      <c r="H959" s="1088"/>
      <c r="I959" s="1088"/>
      <c r="J959" s="1088"/>
      <c r="K959" s="1088"/>
    </row>
    <row r="960" spans="3:11" ht="12" customHeight="1">
      <c r="C960" s="891"/>
      <c r="D960" s="891"/>
      <c r="E960" s="891"/>
      <c r="F960" s="891"/>
      <c r="G960" s="891"/>
      <c r="H960" s="1088"/>
      <c r="I960" s="1088"/>
      <c r="J960" s="1088"/>
      <c r="K960" s="1088"/>
    </row>
    <row r="961" spans="3:11" ht="12" customHeight="1">
      <c r="C961" s="891"/>
      <c r="D961" s="891"/>
      <c r="E961" s="891"/>
      <c r="F961" s="891"/>
      <c r="G961" s="891"/>
      <c r="H961" s="1088"/>
      <c r="I961" s="1088"/>
      <c r="J961" s="1088"/>
      <c r="K961" s="1088"/>
    </row>
    <row r="962" spans="3:11" ht="12" customHeight="1">
      <c r="C962" s="891"/>
      <c r="D962" s="891"/>
      <c r="E962" s="891"/>
      <c r="F962" s="891"/>
      <c r="G962" s="891"/>
      <c r="H962" s="1088"/>
      <c r="I962" s="1088"/>
      <c r="J962" s="1088"/>
      <c r="K962" s="1088"/>
    </row>
    <row r="963" spans="3:11" ht="12" customHeight="1">
      <c r="C963" s="891"/>
      <c r="D963" s="891"/>
      <c r="E963" s="891"/>
      <c r="F963" s="891"/>
      <c r="G963" s="891"/>
      <c r="H963" s="1088"/>
      <c r="I963" s="1088"/>
      <c r="J963" s="1088"/>
      <c r="K963" s="1088"/>
    </row>
    <row r="964" spans="3:11" ht="12" customHeight="1">
      <c r="C964" s="891"/>
      <c r="D964" s="891"/>
      <c r="E964" s="891"/>
      <c r="F964" s="891"/>
      <c r="G964" s="891"/>
      <c r="H964" s="1088"/>
      <c r="I964" s="1088"/>
      <c r="J964" s="1088"/>
      <c r="K964" s="1088"/>
    </row>
    <row r="965" spans="3:11" ht="12" customHeight="1">
      <c r="C965" s="891"/>
      <c r="D965" s="891"/>
      <c r="E965" s="891"/>
      <c r="F965" s="891"/>
      <c r="G965" s="891"/>
      <c r="H965" s="1088"/>
      <c r="I965" s="1088"/>
      <c r="J965" s="1088"/>
      <c r="K965" s="1088"/>
    </row>
    <row r="966" spans="3:11" ht="12" customHeight="1">
      <c r="C966" s="891"/>
      <c r="D966" s="891"/>
      <c r="E966" s="891"/>
      <c r="F966" s="891"/>
      <c r="G966" s="891"/>
      <c r="H966" s="1088"/>
      <c r="I966" s="1088"/>
      <c r="J966" s="1088"/>
      <c r="K966" s="1088"/>
    </row>
    <row r="967" spans="3:11" ht="12" customHeight="1">
      <c r="C967" s="891"/>
      <c r="D967" s="891"/>
      <c r="E967" s="891"/>
      <c r="F967" s="891"/>
      <c r="G967" s="891"/>
      <c r="H967" s="1088"/>
      <c r="I967" s="1088"/>
      <c r="J967" s="1088"/>
      <c r="K967" s="1088"/>
    </row>
    <row r="968" spans="3:11" ht="12" customHeight="1">
      <c r="C968" s="891"/>
      <c r="D968" s="891"/>
      <c r="E968" s="891"/>
      <c r="F968" s="891"/>
      <c r="G968" s="891"/>
      <c r="H968" s="1088"/>
      <c r="I968" s="1088"/>
      <c r="J968" s="1088"/>
      <c r="K968" s="1088"/>
    </row>
    <row r="969" spans="3:11" ht="12" customHeight="1">
      <c r="C969" s="891"/>
      <c r="D969" s="891"/>
      <c r="E969" s="891"/>
      <c r="F969" s="891"/>
      <c r="G969" s="891"/>
      <c r="H969" s="1088"/>
      <c r="I969" s="1088"/>
      <c r="J969" s="1088"/>
      <c r="K969" s="1088"/>
    </row>
    <row r="970" spans="3:11" ht="12" customHeight="1">
      <c r="C970" s="891"/>
      <c r="D970" s="891"/>
      <c r="E970" s="891"/>
      <c r="F970" s="891"/>
      <c r="G970" s="891"/>
      <c r="H970" s="1088"/>
      <c r="I970" s="1088"/>
      <c r="J970" s="1088"/>
      <c r="K970" s="1088"/>
    </row>
    <row r="971" spans="3:11" ht="12" customHeight="1">
      <c r="C971" s="891"/>
      <c r="D971" s="891"/>
      <c r="E971" s="891"/>
      <c r="F971" s="891"/>
      <c r="G971" s="891"/>
      <c r="H971" s="1088"/>
      <c r="I971" s="1088"/>
      <c r="J971" s="1088"/>
      <c r="K971" s="1088"/>
    </row>
    <row r="972" spans="3:11" ht="12" customHeight="1">
      <c r="C972" s="891"/>
      <c r="D972" s="891"/>
      <c r="E972" s="891"/>
      <c r="F972" s="891"/>
      <c r="G972" s="891"/>
      <c r="H972" s="1088"/>
      <c r="I972" s="1088"/>
      <c r="J972" s="1088"/>
      <c r="K972" s="1088"/>
    </row>
    <row r="973" spans="3:11" ht="12" customHeight="1">
      <c r="C973" s="891"/>
      <c r="D973" s="891"/>
      <c r="E973" s="891"/>
      <c r="F973" s="891"/>
      <c r="G973" s="891"/>
      <c r="H973" s="1088"/>
      <c r="I973" s="1088"/>
      <c r="J973" s="1088"/>
      <c r="K973" s="1088"/>
    </row>
    <row r="974" spans="3:11" ht="12" customHeight="1">
      <c r="C974" s="891"/>
      <c r="D974" s="891"/>
      <c r="E974" s="891"/>
      <c r="F974" s="891"/>
      <c r="G974" s="891"/>
      <c r="H974" s="1088"/>
      <c r="I974" s="1088"/>
      <c r="J974" s="1088"/>
      <c r="K974" s="1088"/>
    </row>
    <row r="975" spans="3:11" ht="12" customHeight="1">
      <c r="C975" s="891"/>
      <c r="D975" s="891"/>
      <c r="E975" s="891"/>
      <c r="F975" s="891"/>
      <c r="G975" s="891"/>
      <c r="H975" s="1088"/>
      <c r="I975" s="1088"/>
      <c r="J975" s="1088"/>
      <c r="K975" s="1088"/>
    </row>
    <row r="976" spans="3:11" ht="12" customHeight="1">
      <c r="C976" s="891"/>
      <c r="D976" s="891"/>
      <c r="E976" s="891"/>
      <c r="F976" s="891"/>
      <c r="G976" s="891"/>
      <c r="H976" s="1088"/>
      <c r="I976" s="1088"/>
      <c r="J976" s="1088"/>
      <c r="K976" s="1088"/>
    </row>
    <row r="977" spans="3:11" ht="12" customHeight="1">
      <c r="C977" s="891"/>
      <c r="D977" s="891"/>
      <c r="E977" s="891"/>
      <c r="F977" s="891"/>
      <c r="G977" s="891"/>
      <c r="H977" s="1088"/>
      <c r="I977" s="1088"/>
      <c r="J977" s="1088"/>
      <c r="K977" s="1088"/>
    </row>
    <row r="978" spans="3:11" ht="12" customHeight="1">
      <c r="C978" s="891"/>
      <c r="D978" s="891"/>
      <c r="E978" s="891"/>
      <c r="F978" s="891"/>
      <c r="G978" s="891"/>
      <c r="H978" s="1088"/>
      <c r="I978" s="1088"/>
      <c r="J978" s="1088"/>
      <c r="K978" s="1088"/>
    </row>
    <row r="979" spans="3:11" ht="12" customHeight="1">
      <c r="C979" s="891"/>
      <c r="D979" s="891"/>
      <c r="E979" s="891"/>
      <c r="F979" s="891"/>
      <c r="G979" s="891"/>
      <c r="H979" s="1088"/>
      <c r="I979" s="1088"/>
      <c r="J979" s="1088"/>
      <c r="K979" s="1088"/>
    </row>
    <row r="980" spans="3:11" ht="12" customHeight="1">
      <c r="C980" s="891"/>
      <c r="D980" s="891"/>
      <c r="E980" s="891"/>
      <c r="F980" s="891"/>
      <c r="G980" s="891"/>
      <c r="H980" s="1088"/>
      <c r="I980" s="1088"/>
      <c r="J980" s="1088"/>
      <c r="K980" s="1088"/>
    </row>
    <row r="981" spans="3:11" ht="12" customHeight="1">
      <c r="C981" s="891"/>
      <c r="D981" s="891"/>
      <c r="E981" s="891"/>
      <c r="F981" s="891"/>
      <c r="G981" s="891"/>
      <c r="H981" s="1088"/>
      <c r="I981" s="1088"/>
      <c r="J981" s="1088"/>
      <c r="K981" s="1088"/>
    </row>
    <row r="982" spans="3:11" ht="12" customHeight="1">
      <c r="C982" s="891"/>
      <c r="D982" s="891"/>
      <c r="E982" s="891"/>
      <c r="F982" s="891"/>
      <c r="G982" s="891"/>
      <c r="H982" s="1088"/>
      <c r="I982" s="1088"/>
      <c r="J982" s="1088"/>
      <c r="K982" s="1088"/>
    </row>
    <row r="983" spans="3:11" ht="12" customHeight="1">
      <c r="C983" s="891"/>
      <c r="D983" s="891"/>
      <c r="E983" s="891"/>
      <c r="F983" s="891"/>
      <c r="G983" s="891"/>
      <c r="H983" s="1088"/>
      <c r="I983" s="1088"/>
      <c r="J983" s="1088"/>
      <c r="K983" s="1088"/>
    </row>
    <row r="984" spans="3:11" ht="12" customHeight="1">
      <c r="C984" s="891"/>
      <c r="D984" s="891"/>
      <c r="E984" s="891"/>
      <c r="F984" s="891"/>
      <c r="G984" s="891"/>
      <c r="H984" s="1088"/>
      <c r="I984" s="1088"/>
      <c r="J984" s="1088"/>
      <c r="K984" s="1088"/>
    </row>
    <row r="985" spans="3:11" ht="12" customHeight="1">
      <c r="C985" s="891"/>
      <c r="D985" s="891"/>
      <c r="E985" s="891"/>
      <c r="F985" s="891"/>
      <c r="G985" s="891"/>
      <c r="H985" s="1088"/>
      <c r="I985" s="1088"/>
      <c r="J985" s="1088"/>
      <c r="K985" s="1088"/>
    </row>
    <row r="986" spans="3:11" ht="12" customHeight="1">
      <c r="C986" s="891"/>
      <c r="D986" s="891"/>
      <c r="E986" s="891"/>
      <c r="F986" s="891"/>
      <c r="G986" s="891"/>
      <c r="H986" s="1088"/>
      <c r="I986" s="1088"/>
      <c r="J986" s="1088"/>
      <c r="K986" s="1088"/>
    </row>
    <row r="987" spans="3:11" ht="12" customHeight="1">
      <c r="C987" s="891"/>
      <c r="D987" s="891"/>
      <c r="E987" s="891"/>
      <c r="F987" s="891"/>
      <c r="G987" s="891"/>
      <c r="H987" s="1088"/>
      <c r="I987" s="1088"/>
      <c r="J987" s="1088"/>
      <c r="K987" s="1088"/>
    </row>
    <row r="988" spans="3:11" ht="12" customHeight="1">
      <c r="C988" s="891"/>
      <c r="D988" s="891"/>
      <c r="E988" s="891"/>
      <c r="F988" s="891"/>
      <c r="G988" s="891"/>
      <c r="H988" s="1088"/>
      <c r="I988" s="1088"/>
      <c r="J988" s="1088"/>
      <c r="K988" s="1088"/>
    </row>
    <row r="989" spans="3:11" ht="12" customHeight="1">
      <c r="C989" s="891"/>
      <c r="D989" s="891"/>
      <c r="E989" s="891"/>
      <c r="F989" s="891"/>
      <c r="G989" s="891"/>
      <c r="H989" s="1088"/>
      <c r="I989" s="1088"/>
      <c r="J989" s="1088"/>
      <c r="K989" s="1088"/>
    </row>
    <row r="990" spans="3:11" ht="12" customHeight="1">
      <c r="C990" s="891"/>
      <c r="D990" s="891"/>
      <c r="E990" s="891"/>
      <c r="F990" s="891"/>
      <c r="G990" s="891"/>
      <c r="H990" s="1088"/>
      <c r="I990" s="1088"/>
      <c r="J990" s="1088"/>
      <c r="K990" s="1088"/>
    </row>
    <row r="991" spans="3:11" ht="12" customHeight="1">
      <c r="C991" s="891"/>
      <c r="D991" s="891"/>
      <c r="E991" s="891"/>
      <c r="F991" s="891"/>
      <c r="G991" s="891"/>
      <c r="H991" s="1088"/>
      <c r="I991" s="1088"/>
      <c r="J991" s="1088"/>
      <c r="K991" s="1088"/>
    </row>
    <row r="992" spans="3:11" ht="12" customHeight="1">
      <c r="C992" s="891"/>
      <c r="D992" s="891"/>
      <c r="E992" s="891"/>
      <c r="F992" s="891"/>
      <c r="G992" s="891"/>
      <c r="H992" s="1088"/>
      <c r="I992" s="1088"/>
      <c r="J992" s="1088"/>
      <c r="K992" s="1088"/>
    </row>
    <row r="993" spans="3:11" ht="12" customHeight="1">
      <c r="C993" s="891"/>
      <c r="D993" s="891"/>
      <c r="E993" s="891"/>
      <c r="F993" s="891"/>
      <c r="G993" s="891"/>
      <c r="H993" s="1088"/>
      <c r="I993" s="1088"/>
      <c r="J993" s="1088"/>
      <c r="K993" s="1088"/>
    </row>
    <row r="994" spans="3:11" ht="12" customHeight="1">
      <c r="C994" s="891"/>
      <c r="D994" s="891"/>
      <c r="E994" s="891"/>
      <c r="F994" s="891"/>
      <c r="G994" s="891"/>
      <c r="H994" s="1088"/>
      <c r="I994" s="1088"/>
      <c r="J994" s="1088"/>
      <c r="K994" s="1088"/>
    </row>
    <row r="995" spans="3:11" ht="12" customHeight="1">
      <c r="C995" s="891"/>
      <c r="D995" s="891"/>
      <c r="E995" s="891"/>
      <c r="F995" s="891"/>
      <c r="G995" s="891"/>
      <c r="H995" s="1088"/>
      <c r="I995" s="1088"/>
      <c r="J995" s="1088"/>
      <c r="K995" s="1088"/>
    </row>
    <row r="996" spans="3:11" ht="12" customHeight="1">
      <c r="C996" s="891"/>
      <c r="D996" s="891"/>
      <c r="E996" s="891"/>
      <c r="F996" s="891"/>
      <c r="G996" s="891"/>
      <c r="H996" s="1088"/>
      <c r="I996" s="1088"/>
      <c r="J996" s="1088"/>
      <c r="K996" s="1088"/>
    </row>
    <row r="997" spans="3:11" ht="12" customHeight="1">
      <c r="C997" s="891"/>
      <c r="D997" s="891"/>
      <c r="E997" s="891"/>
      <c r="F997" s="891"/>
      <c r="G997" s="891"/>
      <c r="H997" s="1088"/>
      <c r="I997" s="1088"/>
      <c r="J997" s="1088"/>
      <c r="K997" s="1088"/>
    </row>
    <row r="998" spans="3:11" ht="12" customHeight="1">
      <c r="C998" s="891"/>
      <c r="D998" s="891"/>
      <c r="E998" s="891"/>
      <c r="F998" s="891"/>
      <c r="G998" s="891"/>
      <c r="H998" s="1088"/>
      <c r="I998" s="1088"/>
      <c r="J998" s="1088"/>
      <c r="K998" s="1088"/>
    </row>
    <row r="999" spans="3:11" ht="12" customHeight="1">
      <c r="C999" s="891"/>
      <c r="D999" s="891"/>
      <c r="E999" s="891"/>
      <c r="F999" s="891"/>
      <c r="G999" s="891"/>
      <c r="H999" s="1088"/>
      <c r="I999" s="1088"/>
      <c r="J999" s="1088"/>
      <c r="K999" s="1088"/>
    </row>
    <row r="1000" spans="3:11" ht="12" customHeight="1">
      <c r="C1000" s="891"/>
      <c r="D1000" s="891"/>
      <c r="E1000" s="891"/>
      <c r="F1000" s="891"/>
      <c r="G1000" s="891"/>
      <c r="H1000" s="1088"/>
      <c r="I1000" s="1088"/>
      <c r="J1000" s="1088"/>
      <c r="K1000" s="1088"/>
    </row>
    <row r="1001" spans="3:11" ht="12" customHeight="1">
      <c r="C1001" s="891"/>
      <c r="D1001" s="891"/>
      <c r="E1001" s="891"/>
      <c r="F1001" s="891"/>
      <c r="G1001" s="891"/>
      <c r="H1001" s="1088"/>
      <c r="I1001" s="1088"/>
      <c r="J1001" s="1088"/>
      <c r="K1001" s="1088"/>
    </row>
    <row r="1002" spans="3:11" ht="12" customHeight="1">
      <c r="C1002" s="891"/>
      <c r="D1002" s="891"/>
      <c r="E1002" s="891"/>
      <c r="F1002" s="891"/>
      <c r="G1002" s="891"/>
      <c r="H1002" s="1088"/>
      <c r="I1002" s="1088"/>
      <c r="J1002" s="1088"/>
      <c r="K1002" s="1088"/>
    </row>
    <row r="1003" spans="3:11" ht="12" customHeight="1">
      <c r="C1003" s="891"/>
      <c r="D1003" s="891"/>
      <c r="E1003" s="891"/>
      <c r="F1003" s="891"/>
      <c r="G1003" s="891"/>
      <c r="H1003" s="1088"/>
      <c r="I1003" s="1088"/>
      <c r="J1003" s="1088"/>
      <c r="K1003" s="1088"/>
    </row>
    <row r="1004" spans="3:11" ht="12" customHeight="1">
      <c r="C1004" s="891"/>
      <c r="D1004" s="891"/>
      <c r="E1004" s="891"/>
      <c r="F1004" s="891"/>
      <c r="G1004" s="891"/>
      <c r="H1004" s="1088"/>
      <c r="I1004" s="1088"/>
      <c r="J1004" s="1088"/>
      <c r="K1004" s="1088"/>
    </row>
    <row r="1005" spans="3:11" ht="12" customHeight="1">
      <c r="C1005" s="891"/>
      <c r="D1005" s="891"/>
      <c r="E1005" s="891"/>
      <c r="F1005" s="891"/>
      <c r="G1005" s="891"/>
      <c r="H1005" s="1088"/>
      <c r="I1005" s="1088"/>
      <c r="J1005" s="1088"/>
      <c r="K1005" s="1088"/>
    </row>
    <row r="1006" spans="3:11" ht="12" customHeight="1">
      <c r="C1006" s="891"/>
      <c r="D1006" s="891"/>
      <c r="E1006" s="891"/>
      <c r="F1006" s="891"/>
      <c r="G1006" s="891"/>
      <c r="H1006" s="1088"/>
      <c r="I1006" s="1088"/>
      <c r="J1006" s="1088"/>
      <c r="K1006" s="1088"/>
    </row>
    <row r="1007" spans="3:11" ht="12" customHeight="1">
      <c r="C1007" s="891"/>
      <c r="D1007" s="891"/>
      <c r="E1007" s="891"/>
      <c r="F1007" s="891"/>
      <c r="G1007" s="891"/>
      <c r="H1007" s="1088"/>
      <c r="I1007" s="1088"/>
      <c r="J1007" s="1088"/>
      <c r="K1007" s="1088"/>
    </row>
    <row r="1008" spans="3:11" ht="12" customHeight="1">
      <c r="C1008" s="891"/>
      <c r="D1008" s="891"/>
      <c r="E1008" s="891"/>
      <c r="F1008" s="891"/>
      <c r="G1008" s="891"/>
      <c r="H1008" s="1088"/>
      <c r="I1008" s="1088"/>
      <c r="J1008" s="1088"/>
      <c r="K1008" s="1088"/>
    </row>
    <row r="1009" spans="3:11" ht="12" customHeight="1">
      <c r="C1009" s="891"/>
      <c r="D1009" s="891"/>
      <c r="E1009" s="891"/>
      <c r="F1009" s="891"/>
      <c r="G1009" s="891"/>
      <c r="H1009" s="1088"/>
      <c r="I1009" s="1088"/>
      <c r="J1009" s="1088"/>
      <c r="K1009" s="1088"/>
    </row>
    <row r="1010" spans="3:11" ht="12" customHeight="1">
      <c r="C1010" s="891"/>
      <c r="D1010" s="891"/>
      <c r="E1010" s="891"/>
      <c r="F1010" s="891"/>
      <c r="G1010" s="891"/>
      <c r="H1010" s="1088"/>
      <c r="I1010" s="1088"/>
      <c r="J1010" s="1088"/>
      <c r="K1010" s="1088"/>
    </row>
    <row r="1011" spans="3:11" ht="12" customHeight="1">
      <c r="C1011" s="891"/>
      <c r="D1011" s="891"/>
      <c r="E1011" s="891"/>
      <c r="F1011" s="891"/>
      <c r="G1011" s="891"/>
      <c r="H1011" s="1088"/>
      <c r="I1011" s="1088"/>
      <c r="J1011" s="1088"/>
      <c r="K1011" s="1088"/>
    </row>
    <row r="1012" spans="3:11" ht="12" customHeight="1">
      <c r="C1012" s="891"/>
      <c r="D1012" s="891"/>
      <c r="E1012" s="891"/>
      <c r="F1012" s="891"/>
      <c r="G1012" s="891"/>
      <c r="H1012" s="1088"/>
      <c r="I1012" s="1088"/>
      <c r="J1012" s="1088"/>
      <c r="K1012" s="1088"/>
    </row>
    <row r="1013" spans="3:11" ht="12" customHeight="1">
      <c r="C1013" s="891"/>
      <c r="D1013" s="891"/>
      <c r="E1013" s="891"/>
      <c r="F1013" s="891"/>
      <c r="G1013" s="891"/>
      <c r="H1013" s="1088"/>
      <c r="I1013" s="1088"/>
      <c r="J1013" s="1088"/>
      <c r="K1013" s="1088"/>
    </row>
    <row r="1014" spans="3:11" ht="12" customHeight="1">
      <c r="C1014" s="891"/>
      <c r="D1014" s="891"/>
      <c r="E1014" s="891"/>
      <c r="F1014" s="891"/>
      <c r="G1014" s="891"/>
      <c r="H1014" s="1088"/>
      <c r="I1014" s="1088"/>
      <c r="J1014" s="1088"/>
      <c r="K1014" s="1088"/>
    </row>
    <row r="1015" spans="3:11" ht="12" customHeight="1">
      <c r="C1015" s="891"/>
      <c r="D1015" s="891"/>
      <c r="E1015" s="891"/>
      <c r="F1015" s="891"/>
      <c r="G1015" s="891"/>
      <c r="H1015" s="1088"/>
      <c r="I1015" s="1088"/>
      <c r="J1015" s="1088"/>
      <c r="K1015" s="1088"/>
    </row>
    <row r="1016" spans="3:11" ht="12" customHeight="1">
      <c r="C1016" s="891"/>
      <c r="D1016" s="891"/>
      <c r="E1016" s="891"/>
      <c r="F1016" s="891"/>
      <c r="G1016" s="891"/>
      <c r="H1016" s="1088"/>
      <c r="I1016" s="1088"/>
      <c r="J1016" s="1088"/>
      <c r="K1016" s="1088"/>
    </row>
    <row r="1017" spans="3:11" ht="12" customHeight="1">
      <c r="C1017" s="891"/>
      <c r="D1017" s="891"/>
      <c r="E1017" s="891"/>
      <c r="F1017" s="891"/>
      <c r="G1017" s="891"/>
      <c r="H1017" s="1088"/>
      <c r="I1017" s="1088"/>
      <c r="J1017" s="1088"/>
      <c r="K1017" s="1088"/>
    </row>
    <row r="1018" spans="3:11" ht="12" customHeight="1">
      <c r="C1018" s="891"/>
      <c r="D1018" s="891"/>
      <c r="E1018" s="891"/>
      <c r="F1018" s="891"/>
      <c r="G1018" s="891"/>
      <c r="H1018" s="1088"/>
      <c r="I1018" s="1088"/>
      <c r="J1018" s="1088"/>
      <c r="K1018" s="1088"/>
    </row>
    <row r="1019" spans="3:11" ht="12" customHeight="1">
      <c r="C1019" s="891"/>
      <c r="D1019" s="891"/>
      <c r="E1019" s="891"/>
      <c r="F1019" s="891"/>
      <c r="G1019" s="891"/>
      <c r="H1019" s="1088"/>
      <c r="I1019" s="1088"/>
      <c r="J1019" s="1088"/>
      <c r="K1019" s="1088"/>
    </row>
    <row r="1020" spans="3:11" ht="12" customHeight="1">
      <c r="C1020" s="891"/>
      <c r="D1020" s="891"/>
      <c r="E1020" s="891"/>
      <c r="F1020" s="891"/>
      <c r="G1020" s="891"/>
      <c r="H1020" s="1088"/>
      <c r="I1020" s="1088"/>
      <c r="J1020" s="1088"/>
      <c r="K1020" s="1088"/>
    </row>
    <row r="1021" spans="3:11" ht="12" customHeight="1">
      <c r="C1021" s="891"/>
      <c r="D1021" s="891"/>
      <c r="E1021" s="891"/>
      <c r="F1021" s="891"/>
      <c r="G1021" s="891"/>
      <c r="H1021" s="1088"/>
      <c r="I1021" s="1088"/>
      <c r="J1021" s="1088"/>
      <c r="K1021" s="1088"/>
    </row>
    <row r="1022" spans="3:11" ht="12" customHeight="1">
      <c r="C1022" s="891"/>
      <c r="D1022" s="891"/>
      <c r="E1022" s="891"/>
      <c r="F1022" s="891"/>
      <c r="G1022" s="891"/>
      <c r="H1022" s="1088"/>
      <c r="I1022" s="1088"/>
      <c r="J1022" s="1088"/>
      <c r="K1022" s="1088"/>
    </row>
    <row r="1023" spans="3:11" ht="12" customHeight="1">
      <c r="C1023" s="891"/>
      <c r="D1023" s="891"/>
      <c r="E1023" s="891"/>
      <c r="F1023" s="891"/>
      <c r="G1023" s="891"/>
      <c r="H1023" s="1088"/>
      <c r="I1023" s="1088"/>
      <c r="J1023" s="1088"/>
      <c r="K1023" s="1088"/>
    </row>
    <row r="1024" spans="3:11" ht="12" customHeight="1">
      <c r="C1024" s="891"/>
      <c r="D1024" s="891"/>
      <c r="E1024" s="891"/>
      <c r="F1024" s="891"/>
      <c r="G1024" s="891"/>
      <c r="H1024" s="1088"/>
      <c r="I1024" s="1088"/>
      <c r="J1024" s="1088"/>
      <c r="K1024" s="1088"/>
    </row>
    <row r="1025" spans="3:11" ht="12" customHeight="1">
      <c r="C1025" s="891"/>
      <c r="D1025" s="891"/>
      <c r="E1025" s="891"/>
      <c r="F1025" s="891"/>
      <c r="G1025" s="891"/>
      <c r="H1025" s="1088"/>
      <c r="I1025" s="1088"/>
      <c r="J1025" s="1088"/>
      <c r="K1025" s="1088"/>
    </row>
    <row r="1026" spans="3:11" ht="12" customHeight="1">
      <c r="C1026" s="891"/>
      <c r="D1026" s="891"/>
      <c r="E1026" s="891"/>
      <c r="F1026" s="891"/>
      <c r="G1026" s="891"/>
      <c r="H1026" s="1088"/>
      <c r="I1026" s="1088"/>
      <c r="J1026" s="1088"/>
      <c r="K1026" s="1088"/>
    </row>
    <row r="1027" spans="3:11" ht="12" customHeight="1">
      <c r="C1027" s="891"/>
      <c r="D1027" s="891"/>
      <c r="E1027" s="891"/>
      <c r="F1027" s="891"/>
      <c r="G1027" s="891"/>
      <c r="H1027" s="1088"/>
      <c r="I1027" s="1088"/>
      <c r="J1027" s="1088"/>
      <c r="K1027" s="1088"/>
    </row>
    <row r="1028" spans="3:11" ht="12" customHeight="1">
      <c r="C1028" s="891"/>
      <c r="D1028" s="891"/>
      <c r="E1028" s="891"/>
      <c r="F1028" s="891"/>
      <c r="G1028" s="891"/>
      <c r="H1028" s="1088"/>
      <c r="I1028" s="1088"/>
      <c r="J1028" s="1088"/>
      <c r="K1028" s="1088"/>
    </row>
    <row r="1029" spans="3:11" ht="12" customHeight="1">
      <c r="C1029" s="891"/>
      <c r="D1029" s="891"/>
      <c r="E1029" s="891"/>
      <c r="F1029" s="891"/>
      <c r="G1029" s="891"/>
      <c r="H1029" s="1088"/>
      <c r="I1029" s="1088"/>
      <c r="J1029" s="1088"/>
      <c r="K1029" s="1088"/>
    </row>
    <row r="1030" spans="3:11" ht="12" customHeight="1">
      <c r="C1030" s="891"/>
      <c r="D1030" s="891"/>
      <c r="E1030" s="891"/>
      <c r="F1030" s="891"/>
      <c r="G1030" s="891"/>
      <c r="H1030" s="1088"/>
      <c r="I1030" s="1088"/>
      <c r="J1030" s="1088"/>
      <c r="K1030" s="1088"/>
    </row>
    <row r="1031" spans="3:11" ht="12" customHeight="1">
      <c r="C1031" s="891"/>
      <c r="D1031" s="891"/>
      <c r="E1031" s="891"/>
      <c r="F1031" s="891"/>
      <c r="G1031" s="891"/>
      <c r="H1031" s="1088"/>
      <c r="I1031" s="1088"/>
      <c r="J1031" s="1088"/>
      <c r="K1031" s="1088"/>
    </row>
    <row r="1032" spans="3:11" ht="12" customHeight="1">
      <c r="C1032" s="891"/>
      <c r="D1032" s="891"/>
      <c r="E1032" s="891"/>
      <c r="F1032" s="891"/>
      <c r="G1032" s="891"/>
      <c r="H1032" s="1088"/>
      <c r="I1032" s="1088"/>
      <c r="J1032" s="1088"/>
      <c r="K1032" s="1088"/>
    </row>
    <row r="1033" spans="3:11" ht="12" customHeight="1">
      <c r="C1033" s="891"/>
      <c r="D1033" s="891"/>
      <c r="E1033" s="891"/>
      <c r="F1033" s="891"/>
      <c r="G1033" s="891"/>
      <c r="H1033" s="1088"/>
      <c r="I1033" s="1088"/>
      <c r="J1033" s="1088"/>
      <c r="K1033" s="1088"/>
    </row>
    <row r="1034" spans="3:11" ht="12" customHeight="1">
      <c r="C1034" s="891"/>
      <c r="D1034" s="891"/>
      <c r="E1034" s="891"/>
      <c r="F1034" s="891"/>
      <c r="G1034" s="891"/>
      <c r="H1034" s="1088"/>
      <c r="I1034" s="1088"/>
      <c r="J1034" s="1088"/>
      <c r="K1034" s="1088"/>
    </row>
    <row r="1035" spans="3:11" ht="12" customHeight="1">
      <c r="C1035" s="891"/>
      <c r="D1035" s="891"/>
      <c r="E1035" s="891"/>
      <c r="F1035" s="891"/>
      <c r="G1035" s="891"/>
      <c r="H1035" s="1088"/>
      <c r="I1035" s="1088"/>
      <c r="J1035" s="1088"/>
      <c r="K1035" s="1088"/>
    </row>
    <row r="1036" spans="3:11" ht="12" customHeight="1">
      <c r="C1036" s="891"/>
      <c r="D1036" s="891"/>
      <c r="E1036" s="891"/>
      <c r="F1036" s="891"/>
      <c r="G1036" s="891"/>
      <c r="H1036" s="1088"/>
      <c r="I1036" s="1088"/>
      <c r="J1036" s="1088"/>
      <c r="K1036" s="1088"/>
    </row>
    <row r="1037" spans="3:11" ht="12" customHeight="1">
      <c r="C1037" s="891"/>
      <c r="D1037" s="891"/>
      <c r="E1037" s="891"/>
      <c r="F1037" s="891"/>
      <c r="G1037" s="891"/>
      <c r="H1037" s="1088"/>
      <c r="I1037" s="1088"/>
      <c r="J1037" s="1088"/>
      <c r="K1037" s="1088"/>
    </row>
    <row r="1038" spans="3:11" ht="12" customHeight="1">
      <c r="C1038" s="891"/>
      <c r="D1038" s="891"/>
      <c r="E1038" s="891"/>
      <c r="F1038" s="891"/>
      <c r="G1038" s="891"/>
      <c r="H1038" s="1088"/>
      <c r="I1038" s="1088"/>
      <c r="J1038" s="1088"/>
      <c r="K1038" s="1088"/>
    </row>
    <row r="1039" spans="3:11" ht="12" customHeight="1">
      <c r="C1039" s="891"/>
      <c r="D1039" s="891"/>
      <c r="E1039" s="891"/>
      <c r="F1039" s="891"/>
      <c r="G1039" s="891"/>
      <c r="H1039" s="1088"/>
      <c r="I1039" s="1088"/>
      <c r="J1039" s="1088"/>
      <c r="K1039" s="1088"/>
    </row>
    <row r="1040" spans="3:11" ht="12" customHeight="1">
      <c r="C1040" s="891"/>
      <c r="D1040" s="891"/>
      <c r="E1040" s="891"/>
      <c r="F1040" s="891"/>
      <c r="G1040" s="891"/>
      <c r="H1040" s="1088"/>
      <c r="I1040" s="1088"/>
      <c r="J1040" s="1088"/>
      <c r="K1040" s="1088"/>
    </row>
    <row r="1041" spans="3:11" ht="12" customHeight="1">
      <c r="C1041" s="891"/>
      <c r="D1041" s="891"/>
      <c r="E1041" s="891"/>
      <c r="F1041" s="891"/>
      <c r="G1041" s="891"/>
      <c r="H1041" s="1088"/>
      <c r="I1041" s="1088"/>
      <c r="J1041" s="1088"/>
      <c r="K1041" s="1088"/>
    </row>
    <row r="1042" spans="3:11" ht="12" customHeight="1">
      <c r="C1042" s="891"/>
      <c r="D1042" s="891"/>
      <c r="E1042" s="891"/>
      <c r="F1042" s="891"/>
      <c r="G1042" s="891"/>
      <c r="H1042" s="1088"/>
      <c r="I1042" s="1088"/>
      <c r="J1042" s="1088"/>
      <c r="K1042" s="1088"/>
    </row>
    <row r="1043" spans="3:11" ht="12" customHeight="1">
      <c r="C1043" s="891"/>
      <c r="D1043" s="891"/>
      <c r="E1043" s="891"/>
      <c r="F1043" s="891"/>
      <c r="G1043" s="891"/>
      <c r="H1043" s="1088"/>
      <c r="I1043" s="1088"/>
      <c r="J1043" s="1088"/>
      <c r="K1043" s="1088"/>
    </row>
    <row r="1044" spans="3:11" ht="12" customHeight="1">
      <c r="C1044" s="891"/>
      <c r="D1044" s="891"/>
      <c r="E1044" s="891"/>
      <c r="F1044" s="891"/>
      <c r="G1044" s="891"/>
      <c r="H1044" s="1088"/>
      <c r="I1044" s="1088"/>
      <c r="J1044" s="1088"/>
      <c r="K1044" s="1088"/>
    </row>
    <row r="1045" spans="3:11" ht="12" customHeight="1">
      <c r="C1045" s="891"/>
      <c r="D1045" s="891"/>
      <c r="E1045" s="891"/>
      <c r="F1045" s="891"/>
      <c r="G1045" s="891"/>
      <c r="H1045" s="1088"/>
      <c r="I1045" s="1088"/>
      <c r="J1045" s="1088"/>
      <c r="K1045" s="1088"/>
    </row>
    <row r="1046" spans="3:11" ht="12" customHeight="1">
      <c r="C1046" s="891"/>
      <c r="D1046" s="891"/>
      <c r="E1046" s="891"/>
      <c r="F1046" s="891"/>
      <c r="G1046" s="891"/>
      <c r="H1046" s="1088"/>
      <c r="I1046" s="1088"/>
      <c r="J1046" s="1088"/>
      <c r="K1046" s="1088"/>
    </row>
    <row r="1047" spans="3:11" ht="12" customHeight="1">
      <c r="C1047" s="891"/>
      <c r="D1047" s="891"/>
      <c r="E1047" s="891"/>
      <c r="F1047" s="891"/>
      <c r="G1047" s="891"/>
      <c r="H1047" s="1088"/>
      <c r="I1047" s="1088"/>
      <c r="J1047" s="1088"/>
      <c r="K1047" s="1088"/>
    </row>
    <row r="1048" spans="3:11" ht="12" customHeight="1">
      <c r="C1048" s="891"/>
      <c r="D1048" s="891"/>
      <c r="E1048" s="891"/>
      <c r="F1048" s="891"/>
      <c r="G1048" s="891"/>
      <c r="H1048" s="1088"/>
      <c r="I1048" s="1088"/>
      <c r="J1048" s="1088"/>
      <c r="K1048" s="1088"/>
    </row>
    <row r="1049" spans="3:11" ht="12" customHeight="1">
      <c r="C1049" s="891"/>
      <c r="D1049" s="891"/>
      <c r="E1049" s="891"/>
      <c r="F1049" s="891"/>
      <c r="G1049" s="891"/>
      <c r="H1049" s="1088"/>
      <c r="I1049" s="1088"/>
      <c r="J1049" s="1088"/>
      <c r="K1049" s="1088"/>
    </row>
    <row r="1050" spans="3:11" ht="12" customHeight="1">
      <c r="C1050" s="891"/>
      <c r="D1050" s="891"/>
      <c r="E1050" s="891"/>
      <c r="F1050" s="891"/>
      <c r="G1050" s="891"/>
      <c r="H1050" s="1088"/>
      <c r="I1050" s="1088"/>
      <c r="J1050" s="1088"/>
      <c r="K1050" s="1088"/>
    </row>
    <row r="1051" spans="3:11" ht="12" customHeight="1">
      <c r="C1051" s="891"/>
      <c r="D1051" s="891"/>
      <c r="E1051" s="891"/>
      <c r="F1051" s="891"/>
      <c r="G1051" s="891"/>
      <c r="H1051" s="1088"/>
      <c r="I1051" s="1088"/>
      <c r="J1051" s="1088"/>
      <c r="K1051" s="1088"/>
    </row>
    <row r="1052" spans="3:11" ht="12" customHeight="1">
      <c r="C1052" s="891"/>
      <c r="D1052" s="891"/>
      <c r="E1052" s="891"/>
      <c r="F1052" s="891"/>
      <c r="G1052" s="891"/>
      <c r="H1052" s="1088"/>
      <c r="I1052" s="1088"/>
      <c r="J1052" s="1088"/>
      <c r="K1052" s="1088"/>
    </row>
    <row r="1053" spans="3:11" ht="12" customHeight="1">
      <c r="C1053" s="891"/>
      <c r="D1053" s="891"/>
      <c r="E1053" s="891"/>
      <c r="F1053" s="891"/>
      <c r="G1053" s="891"/>
      <c r="H1053" s="1088"/>
      <c r="I1053" s="1088"/>
      <c r="J1053" s="1088"/>
      <c r="K1053" s="1088"/>
    </row>
    <row r="1054" spans="3:11" ht="12" customHeight="1">
      <c r="C1054" s="891"/>
      <c r="D1054" s="891"/>
      <c r="E1054" s="891"/>
      <c r="F1054" s="891"/>
      <c r="G1054" s="891"/>
      <c r="H1054" s="1088"/>
      <c r="I1054" s="1088"/>
      <c r="J1054" s="1088"/>
      <c r="K1054" s="1088"/>
    </row>
    <row r="1055" spans="3:11" ht="12" customHeight="1">
      <c r="C1055" s="891"/>
      <c r="D1055" s="891"/>
      <c r="E1055" s="891"/>
      <c r="F1055" s="891"/>
      <c r="G1055" s="891"/>
      <c r="H1055" s="1088"/>
      <c r="I1055" s="1088"/>
      <c r="J1055" s="1088"/>
      <c r="K1055" s="1088"/>
    </row>
    <row r="1056" spans="3:11" ht="12" customHeight="1">
      <c r="C1056" s="891"/>
      <c r="D1056" s="891"/>
      <c r="E1056" s="891"/>
      <c r="F1056" s="891"/>
      <c r="G1056" s="891"/>
      <c r="H1056" s="1088"/>
      <c r="I1056" s="1088"/>
      <c r="J1056" s="1088"/>
      <c r="K1056" s="1088"/>
    </row>
    <row r="1057" spans="3:11" ht="12" customHeight="1">
      <c r="C1057" s="891"/>
      <c r="D1057" s="891"/>
      <c r="E1057" s="891"/>
      <c r="F1057" s="891"/>
      <c r="G1057" s="891"/>
      <c r="H1057" s="1088"/>
      <c r="I1057" s="1088"/>
      <c r="J1057" s="1088"/>
      <c r="K1057" s="1088"/>
    </row>
    <row r="1058" spans="3:11" ht="12" customHeight="1">
      <c r="C1058" s="891"/>
      <c r="D1058" s="891"/>
      <c r="E1058" s="891"/>
      <c r="F1058" s="891"/>
      <c r="G1058" s="891"/>
      <c r="H1058" s="1088"/>
      <c r="I1058" s="1088"/>
      <c r="J1058" s="1088"/>
      <c r="K1058" s="1088"/>
    </row>
    <row r="1059" spans="3:11" ht="12" customHeight="1">
      <c r="C1059" s="891"/>
      <c r="D1059" s="891"/>
      <c r="E1059" s="891"/>
      <c r="F1059" s="891"/>
      <c r="G1059" s="891"/>
      <c r="H1059" s="1088"/>
      <c r="I1059" s="1088"/>
      <c r="J1059" s="1088"/>
      <c r="K1059" s="1088"/>
    </row>
    <row r="1060" spans="3:11" ht="12" customHeight="1">
      <c r="C1060" s="891"/>
      <c r="D1060" s="891"/>
      <c r="E1060" s="891"/>
      <c r="F1060" s="891"/>
      <c r="G1060" s="891"/>
      <c r="H1060" s="1088"/>
      <c r="I1060" s="1088"/>
      <c r="J1060" s="1088"/>
      <c r="K1060" s="1088"/>
    </row>
    <row r="1061" spans="3:11" ht="12" customHeight="1">
      <c r="C1061" s="891"/>
      <c r="D1061" s="891"/>
      <c r="E1061" s="891"/>
      <c r="F1061" s="891"/>
      <c r="G1061" s="891"/>
      <c r="H1061" s="1088"/>
      <c r="I1061" s="1088"/>
      <c r="J1061" s="1088"/>
      <c r="K1061" s="1088"/>
    </row>
    <row r="1062" spans="3:11" ht="12" customHeight="1">
      <c r="C1062" s="891"/>
      <c r="D1062" s="891"/>
      <c r="E1062" s="891"/>
      <c r="F1062" s="891"/>
      <c r="G1062" s="891"/>
      <c r="H1062" s="1088"/>
      <c r="I1062" s="1088"/>
      <c r="J1062" s="1088"/>
      <c r="K1062" s="1088"/>
    </row>
    <row r="1063" spans="3:11" ht="12" customHeight="1">
      <c r="C1063" s="891"/>
      <c r="D1063" s="891"/>
      <c r="E1063" s="891"/>
      <c r="F1063" s="891"/>
      <c r="G1063" s="891"/>
      <c r="H1063" s="1088"/>
      <c r="I1063" s="1088"/>
      <c r="J1063" s="1088"/>
      <c r="K1063" s="1088"/>
    </row>
    <row r="1064" spans="3:11" ht="12" customHeight="1">
      <c r="C1064" s="891"/>
      <c r="D1064" s="891"/>
      <c r="E1064" s="891"/>
      <c r="F1064" s="891"/>
      <c r="G1064" s="891"/>
      <c r="H1064" s="1088"/>
      <c r="I1064" s="1088"/>
      <c r="J1064" s="1088"/>
      <c r="K1064" s="1088"/>
    </row>
    <row r="1065" spans="3:11" ht="12" customHeight="1">
      <c r="C1065" s="891"/>
      <c r="D1065" s="891"/>
      <c r="E1065" s="891"/>
      <c r="F1065" s="891"/>
      <c r="G1065" s="891"/>
      <c r="H1065" s="1088"/>
      <c r="I1065" s="1088"/>
      <c r="J1065" s="1088"/>
      <c r="K1065" s="1088"/>
    </row>
    <row r="1066" spans="3:11" ht="12" customHeight="1">
      <c r="C1066" s="891"/>
      <c r="D1066" s="891"/>
      <c r="E1066" s="891"/>
      <c r="F1066" s="891"/>
      <c r="G1066" s="891"/>
      <c r="H1066" s="1088"/>
      <c r="I1066" s="1088"/>
      <c r="J1066" s="1088"/>
      <c r="K1066" s="1088"/>
    </row>
    <row r="1067" spans="3:11" ht="12" customHeight="1">
      <c r="C1067" s="891"/>
      <c r="D1067" s="891"/>
      <c r="E1067" s="891"/>
      <c r="F1067" s="891"/>
      <c r="G1067" s="891"/>
      <c r="H1067" s="1088"/>
      <c r="I1067" s="1088"/>
      <c r="J1067" s="1088"/>
      <c r="K1067" s="1088"/>
    </row>
    <row r="1068" spans="3:11" ht="12" customHeight="1">
      <c r="C1068" s="891"/>
      <c r="D1068" s="891"/>
      <c r="E1068" s="891"/>
      <c r="F1068" s="891"/>
      <c r="G1068" s="891"/>
      <c r="H1068" s="1088"/>
      <c r="I1068" s="1088"/>
      <c r="J1068" s="1088"/>
      <c r="K1068" s="1088"/>
    </row>
    <row r="1069" spans="3:11" ht="12" customHeight="1">
      <c r="C1069" s="891"/>
      <c r="D1069" s="891"/>
      <c r="E1069" s="891"/>
      <c r="F1069" s="891"/>
      <c r="G1069" s="891"/>
      <c r="H1069" s="1088"/>
      <c r="I1069" s="1088"/>
      <c r="J1069" s="1088"/>
      <c r="K1069" s="1088"/>
    </row>
    <row r="1070" spans="3:11" ht="12" customHeight="1">
      <c r="C1070" s="891"/>
      <c r="D1070" s="891"/>
      <c r="E1070" s="891"/>
      <c r="F1070" s="891"/>
      <c r="G1070" s="891"/>
      <c r="H1070" s="1088"/>
      <c r="I1070" s="1088"/>
      <c r="J1070" s="1088"/>
      <c r="K1070" s="1088"/>
    </row>
    <row r="1071" spans="3:11" ht="12" customHeight="1">
      <c r="C1071" s="891"/>
      <c r="D1071" s="891"/>
      <c r="E1071" s="891"/>
      <c r="F1071" s="891"/>
      <c r="G1071" s="891"/>
      <c r="H1071" s="1088"/>
      <c r="I1071" s="1088"/>
      <c r="J1071" s="1088"/>
      <c r="K1071" s="1088"/>
    </row>
    <row r="1072" spans="3:11" ht="12" customHeight="1">
      <c r="C1072" s="891"/>
      <c r="D1072" s="891"/>
      <c r="E1072" s="891"/>
      <c r="F1072" s="891"/>
      <c r="G1072" s="891"/>
      <c r="H1072" s="1088"/>
      <c r="I1072" s="1088"/>
      <c r="J1072" s="1088"/>
      <c r="K1072" s="1088"/>
    </row>
    <row r="1073" spans="3:11" ht="12" customHeight="1">
      <c r="C1073" s="891"/>
      <c r="D1073" s="891"/>
      <c r="E1073" s="891"/>
      <c r="F1073" s="891"/>
      <c r="G1073" s="891"/>
      <c r="H1073" s="1088"/>
      <c r="I1073" s="1088"/>
      <c r="J1073" s="1088"/>
      <c r="K1073" s="1088"/>
    </row>
    <row r="1074" spans="3:11" ht="12" customHeight="1">
      <c r="C1074" s="891"/>
      <c r="D1074" s="891"/>
      <c r="E1074" s="891"/>
      <c r="F1074" s="891"/>
      <c r="G1074" s="891"/>
      <c r="H1074" s="1088"/>
      <c r="I1074" s="1088"/>
      <c r="J1074" s="1088"/>
      <c r="K1074" s="1088"/>
    </row>
    <row r="1075" spans="3:11" ht="12" customHeight="1">
      <c r="C1075" s="891"/>
      <c r="D1075" s="891"/>
      <c r="E1075" s="891"/>
      <c r="F1075" s="891"/>
      <c r="G1075" s="891"/>
      <c r="H1075" s="1088"/>
      <c r="I1075" s="1088"/>
      <c r="J1075" s="1088"/>
      <c r="K1075" s="1088"/>
    </row>
    <row r="1076" spans="3:11" ht="12" customHeight="1">
      <c r="C1076" s="891"/>
      <c r="D1076" s="891"/>
      <c r="E1076" s="891"/>
      <c r="F1076" s="891"/>
      <c r="G1076" s="891"/>
      <c r="H1076" s="1088"/>
      <c r="I1076" s="1088"/>
      <c r="J1076" s="1088"/>
      <c r="K1076" s="1088"/>
    </row>
    <row r="1077" spans="3:11" ht="12" customHeight="1">
      <c r="C1077" s="891"/>
      <c r="D1077" s="891"/>
      <c r="E1077" s="891"/>
      <c r="F1077" s="891"/>
      <c r="G1077" s="891"/>
      <c r="H1077" s="1088"/>
      <c r="I1077" s="1088"/>
      <c r="J1077" s="1088"/>
      <c r="K1077" s="1088"/>
    </row>
    <row r="1078" spans="3:11" ht="12" customHeight="1">
      <c r="C1078" s="891"/>
      <c r="D1078" s="891"/>
      <c r="E1078" s="891"/>
      <c r="F1078" s="891"/>
      <c r="G1078" s="891"/>
      <c r="H1078" s="1088"/>
      <c r="I1078" s="1088"/>
      <c r="J1078" s="1088"/>
      <c r="K1078" s="1088"/>
    </row>
    <row r="1079" spans="3:11" ht="12" customHeight="1">
      <c r="C1079" s="891"/>
      <c r="D1079" s="891"/>
      <c r="E1079" s="891"/>
      <c r="F1079" s="891"/>
      <c r="G1079" s="891"/>
      <c r="H1079" s="1088"/>
      <c r="I1079" s="1088"/>
      <c r="J1079" s="1088"/>
      <c r="K1079" s="1088"/>
    </row>
    <row r="1080" spans="3:11" ht="12" customHeight="1">
      <c r="C1080" s="891"/>
      <c r="D1080" s="891"/>
      <c r="E1080" s="891"/>
      <c r="F1080" s="891"/>
      <c r="G1080" s="891"/>
      <c r="H1080" s="1088"/>
      <c r="I1080" s="1088"/>
      <c r="J1080" s="1088"/>
      <c r="K1080" s="1088"/>
    </row>
    <row r="1081" spans="3:11" ht="12" customHeight="1">
      <c r="C1081" s="891"/>
      <c r="D1081" s="891"/>
      <c r="E1081" s="891"/>
      <c r="F1081" s="891"/>
      <c r="G1081" s="891"/>
      <c r="H1081" s="1088"/>
      <c r="I1081" s="1088"/>
      <c r="J1081" s="1088"/>
      <c r="K1081" s="1088"/>
    </row>
    <row r="1082" spans="3:11" ht="12" customHeight="1">
      <c r="C1082" s="891"/>
      <c r="D1082" s="891"/>
      <c r="E1082" s="891"/>
      <c r="F1082" s="891"/>
      <c r="G1082" s="891"/>
      <c r="H1082" s="1088"/>
      <c r="I1082" s="1088"/>
      <c r="J1082" s="1088"/>
      <c r="K1082" s="1088"/>
    </row>
    <row r="1083" spans="3:11" ht="12" customHeight="1">
      <c r="C1083" s="891"/>
      <c r="D1083" s="891"/>
      <c r="E1083" s="891"/>
      <c r="F1083" s="891"/>
      <c r="G1083" s="891"/>
      <c r="H1083" s="1088"/>
      <c r="I1083" s="1088"/>
      <c r="J1083" s="1088"/>
      <c r="K1083" s="1088"/>
    </row>
    <row r="1084" spans="3:11" ht="12" customHeight="1">
      <c r="C1084" s="891"/>
      <c r="D1084" s="891"/>
      <c r="E1084" s="891"/>
      <c r="F1084" s="891"/>
      <c r="G1084" s="891"/>
      <c r="H1084" s="1088"/>
      <c r="I1084" s="1088"/>
      <c r="J1084" s="1088"/>
      <c r="K1084" s="1088"/>
    </row>
    <row r="1085" spans="3:11" ht="12" customHeight="1">
      <c r="C1085" s="891"/>
      <c r="D1085" s="891"/>
      <c r="E1085" s="891"/>
      <c r="F1085" s="891"/>
      <c r="G1085" s="891"/>
      <c r="H1085" s="1088"/>
      <c r="I1085" s="1088"/>
      <c r="J1085" s="1088"/>
      <c r="K1085" s="1088"/>
    </row>
    <row r="1086" spans="3:11" ht="12" customHeight="1">
      <c r="C1086" s="891"/>
      <c r="D1086" s="891"/>
      <c r="E1086" s="891"/>
      <c r="F1086" s="891"/>
      <c r="G1086" s="891"/>
      <c r="H1086" s="1088"/>
      <c r="I1086" s="1088"/>
      <c r="J1086" s="1088"/>
      <c r="K1086" s="1088"/>
    </row>
    <row r="1087" spans="3:11" ht="12" customHeight="1">
      <c r="C1087" s="891"/>
      <c r="D1087" s="891"/>
      <c r="E1087" s="891"/>
      <c r="F1087" s="891"/>
      <c r="G1087" s="891"/>
      <c r="H1087" s="1088"/>
      <c r="I1087" s="1088"/>
      <c r="J1087" s="1088"/>
      <c r="K1087" s="1088"/>
    </row>
    <row r="1088" spans="3:11" ht="12" customHeight="1">
      <c r="C1088" s="891"/>
      <c r="D1088" s="891"/>
      <c r="E1088" s="891"/>
      <c r="F1088" s="891"/>
      <c r="G1088" s="891"/>
      <c r="H1088" s="1088"/>
      <c r="I1088" s="1088"/>
      <c r="J1088" s="1088"/>
      <c r="K1088" s="1088"/>
    </row>
    <row r="1089" spans="3:11" ht="12" customHeight="1">
      <c r="C1089" s="891"/>
      <c r="D1089" s="891"/>
      <c r="E1089" s="891"/>
      <c r="F1089" s="891"/>
      <c r="G1089" s="891"/>
      <c r="H1089" s="1088"/>
      <c r="I1089" s="1088"/>
      <c r="J1089" s="1088"/>
      <c r="K1089" s="1088"/>
    </row>
    <row r="1090" spans="3:11" ht="12" customHeight="1">
      <c r="C1090" s="891"/>
      <c r="D1090" s="891"/>
      <c r="E1090" s="891"/>
      <c r="F1090" s="891"/>
      <c r="G1090" s="891"/>
      <c r="H1090" s="1088"/>
      <c r="I1090" s="1088"/>
      <c r="J1090" s="1088"/>
      <c r="K1090" s="1088"/>
    </row>
    <row r="1091" spans="3:11" ht="12" customHeight="1">
      <c r="C1091" s="891"/>
      <c r="D1091" s="891"/>
      <c r="E1091" s="891"/>
      <c r="F1091" s="891"/>
      <c r="G1091" s="891"/>
      <c r="H1091" s="1088"/>
      <c r="I1091" s="1088"/>
      <c r="J1091" s="1088"/>
      <c r="K1091" s="1088"/>
    </row>
    <row r="1092" spans="3:11" ht="12" customHeight="1">
      <c r="C1092" s="891"/>
      <c r="D1092" s="891"/>
      <c r="E1092" s="891"/>
      <c r="F1092" s="891"/>
      <c r="G1092" s="891"/>
      <c r="H1092" s="1088"/>
      <c r="I1092" s="1088"/>
      <c r="J1092" s="1088"/>
      <c r="K1092" s="1088"/>
    </row>
    <row r="1093" spans="3:11" ht="12" customHeight="1">
      <c r="C1093" s="891"/>
      <c r="D1093" s="891"/>
      <c r="E1093" s="891"/>
      <c r="F1093" s="891"/>
      <c r="G1093" s="891"/>
      <c r="H1093" s="1088"/>
      <c r="I1093" s="1088"/>
      <c r="J1093" s="1088"/>
      <c r="K1093" s="1088"/>
    </row>
    <row r="1094" spans="3:11" ht="12" customHeight="1">
      <c r="C1094" s="891"/>
      <c r="D1094" s="891"/>
      <c r="E1094" s="891"/>
      <c r="F1094" s="891"/>
      <c r="G1094" s="891"/>
      <c r="H1094" s="1088"/>
      <c r="I1094" s="1088"/>
      <c r="J1094" s="1088"/>
      <c r="K1094" s="1088"/>
    </row>
    <row r="1095" spans="3:11" ht="12" customHeight="1">
      <c r="C1095" s="891"/>
      <c r="D1095" s="891"/>
      <c r="E1095" s="891"/>
      <c r="F1095" s="891"/>
      <c r="G1095" s="891"/>
      <c r="H1095" s="1088"/>
      <c r="I1095" s="1088"/>
      <c r="J1095" s="1088"/>
      <c r="K1095" s="1088"/>
    </row>
    <row r="1096" spans="3:11" ht="12" customHeight="1">
      <c r="C1096" s="891"/>
      <c r="D1096" s="891"/>
      <c r="E1096" s="891"/>
      <c r="F1096" s="891"/>
      <c r="G1096" s="891"/>
      <c r="H1096" s="1088"/>
      <c r="I1096" s="1088"/>
      <c r="J1096" s="1088"/>
      <c r="K1096" s="1088"/>
    </row>
    <row r="1097" spans="3:11" ht="12" customHeight="1">
      <c r="C1097" s="891"/>
      <c r="D1097" s="891"/>
      <c r="E1097" s="891"/>
      <c r="F1097" s="891"/>
      <c r="G1097" s="891"/>
      <c r="H1097" s="1088"/>
      <c r="I1097" s="1088"/>
      <c r="J1097" s="1088"/>
      <c r="K1097" s="1088"/>
    </row>
    <row r="1098" spans="3:11" ht="12" customHeight="1">
      <c r="C1098" s="891"/>
      <c r="D1098" s="891"/>
      <c r="E1098" s="891"/>
      <c r="F1098" s="891"/>
      <c r="G1098" s="891"/>
      <c r="H1098" s="1088"/>
      <c r="I1098" s="1088"/>
      <c r="J1098" s="1088"/>
      <c r="K1098" s="1088"/>
    </row>
    <row r="1099" spans="3:11" ht="12" customHeight="1">
      <c r="C1099" s="891"/>
      <c r="D1099" s="891"/>
      <c r="E1099" s="891"/>
      <c r="F1099" s="891"/>
      <c r="G1099" s="891"/>
      <c r="H1099" s="1088"/>
      <c r="I1099" s="1088"/>
      <c r="J1099" s="1088"/>
      <c r="K1099" s="1088"/>
    </row>
    <row r="1100" spans="3:11" ht="12" customHeight="1">
      <c r="C1100" s="891"/>
      <c r="D1100" s="891"/>
      <c r="E1100" s="891"/>
      <c r="F1100" s="891"/>
      <c r="G1100" s="891"/>
      <c r="H1100" s="1088"/>
      <c r="I1100" s="1088"/>
      <c r="J1100" s="1088"/>
      <c r="K1100" s="1088"/>
    </row>
    <row r="1101" spans="3:11" ht="12" customHeight="1">
      <c r="C1101" s="891"/>
      <c r="D1101" s="891"/>
      <c r="E1101" s="891"/>
      <c r="F1101" s="891"/>
      <c r="G1101" s="891"/>
      <c r="H1101" s="1088"/>
      <c r="I1101" s="1088"/>
      <c r="J1101" s="1088"/>
      <c r="K1101" s="1088"/>
    </row>
    <row r="1102" spans="3:11" ht="12" customHeight="1">
      <c r="C1102" s="891"/>
      <c r="D1102" s="891"/>
      <c r="E1102" s="891"/>
      <c r="F1102" s="891"/>
      <c r="G1102" s="891"/>
      <c r="H1102" s="1088"/>
      <c r="I1102" s="1088"/>
      <c r="J1102" s="1088"/>
      <c r="K1102" s="1088"/>
    </row>
    <row r="1103" spans="3:11" ht="12" customHeight="1">
      <c r="C1103" s="891"/>
      <c r="D1103" s="891"/>
      <c r="E1103" s="891"/>
      <c r="F1103" s="891"/>
      <c r="G1103" s="891"/>
      <c r="H1103" s="1088"/>
      <c r="I1103" s="1088"/>
      <c r="J1103" s="1088"/>
      <c r="K1103" s="1088"/>
    </row>
    <row r="1104" spans="3:11" ht="12" customHeight="1">
      <c r="C1104" s="891"/>
      <c r="D1104" s="891"/>
      <c r="E1104" s="891"/>
      <c r="F1104" s="891"/>
      <c r="G1104" s="891"/>
      <c r="H1104" s="1088"/>
      <c r="I1104" s="1088"/>
      <c r="J1104" s="1088"/>
      <c r="K1104" s="1088"/>
    </row>
    <row r="1105" spans="3:11" ht="12" customHeight="1">
      <c r="C1105" s="891"/>
      <c r="D1105" s="891"/>
      <c r="E1105" s="891"/>
      <c r="F1105" s="891"/>
      <c r="G1105" s="891"/>
      <c r="H1105" s="1088"/>
      <c r="I1105" s="1088"/>
      <c r="J1105" s="1088"/>
      <c r="K1105" s="1088"/>
    </row>
    <row r="1106" spans="3:11" ht="12" customHeight="1">
      <c r="C1106" s="891"/>
      <c r="D1106" s="891"/>
      <c r="E1106" s="891"/>
      <c r="F1106" s="891"/>
      <c r="G1106" s="891"/>
      <c r="H1106" s="1088"/>
      <c r="I1106" s="1088"/>
      <c r="J1106" s="1088"/>
      <c r="K1106" s="1088"/>
    </row>
    <row r="1107" spans="3:11" ht="12" customHeight="1">
      <c r="C1107" s="891"/>
      <c r="D1107" s="891"/>
      <c r="E1107" s="891"/>
      <c r="F1107" s="891"/>
      <c r="G1107" s="891"/>
      <c r="H1107" s="1088"/>
      <c r="I1107" s="1088"/>
      <c r="J1107" s="1088"/>
      <c r="K1107" s="1088"/>
    </row>
    <row r="1108" spans="3:11" ht="12" customHeight="1">
      <c r="C1108" s="891"/>
      <c r="D1108" s="891"/>
      <c r="E1108" s="891"/>
      <c r="F1108" s="891"/>
      <c r="G1108" s="891"/>
      <c r="H1108" s="1088"/>
      <c r="I1108" s="1088"/>
      <c r="J1108" s="1088"/>
      <c r="K1108" s="1088"/>
    </row>
    <row r="1109" spans="3:11" ht="12" customHeight="1">
      <c r="C1109" s="891"/>
      <c r="D1109" s="891"/>
      <c r="E1109" s="891"/>
      <c r="F1109" s="891"/>
      <c r="G1109" s="891"/>
      <c r="H1109" s="1088"/>
      <c r="I1109" s="1088"/>
      <c r="J1109" s="1088"/>
      <c r="K1109" s="1088"/>
    </row>
    <row r="1110" spans="3:11" ht="12" customHeight="1">
      <c r="C1110" s="891"/>
      <c r="D1110" s="891"/>
      <c r="E1110" s="891"/>
      <c r="F1110" s="891"/>
      <c r="G1110" s="891"/>
      <c r="H1110" s="1088"/>
      <c r="I1110" s="1088"/>
      <c r="J1110" s="1088"/>
      <c r="K1110" s="1088"/>
    </row>
    <row r="1111" spans="3:11" ht="12" customHeight="1">
      <c r="C1111" s="891"/>
      <c r="D1111" s="891"/>
      <c r="E1111" s="891"/>
      <c r="F1111" s="891"/>
      <c r="G1111" s="891"/>
      <c r="H1111" s="1088"/>
      <c r="I1111" s="1088"/>
      <c r="J1111" s="1088"/>
      <c r="K1111" s="1088"/>
    </row>
    <row r="1112" spans="3:11" ht="12" customHeight="1">
      <c r="C1112" s="891"/>
      <c r="D1112" s="891"/>
      <c r="E1112" s="891"/>
      <c r="F1112" s="891"/>
      <c r="G1112" s="891"/>
      <c r="H1112" s="1088"/>
      <c r="I1112" s="1088"/>
      <c r="J1112" s="1088"/>
      <c r="K1112" s="1088"/>
    </row>
    <row r="1113" spans="3:11" ht="12" customHeight="1">
      <c r="C1113" s="891"/>
      <c r="D1113" s="891"/>
      <c r="E1113" s="891"/>
      <c r="F1113" s="891"/>
      <c r="G1113" s="891"/>
      <c r="H1113" s="1088"/>
      <c r="I1113" s="1088"/>
      <c r="J1113" s="1088"/>
      <c r="K1113" s="1088"/>
    </row>
    <row r="1114" spans="3:11" ht="12" customHeight="1">
      <c r="C1114" s="891"/>
      <c r="D1114" s="891"/>
      <c r="E1114" s="891"/>
      <c r="F1114" s="891"/>
      <c r="G1114" s="891"/>
      <c r="H1114" s="1088"/>
      <c r="I1114" s="1088"/>
      <c r="J1114" s="1088"/>
      <c r="K1114" s="1088"/>
    </row>
    <row r="1115" spans="3:11" ht="12" customHeight="1">
      <c r="C1115" s="891"/>
      <c r="D1115" s="891"/>
      <c r="E1115" s="891"/>
      <c r="F1115" s="891"/>
      <c r="G1115" s="891"/>
      <c r="H1115" s="1088"/>
      <c r="I1115" s="1088"/>
      <c r="J1115" s="1088"/>
      <c r="K1115" s="1088"/>
    </row>
    <row r="1116" spans="3:11" ht="12" customHeight="1">
      <c r="C1116" s="891"/>
      <c r="D1116" s="891"/>
      <c r="E1116" s="891"/>
      <c r="F1116" s="891"/>
      <c r="G1116" s="891"/>
      <c r="H1116" s="1088"/>
      <c r="I1116" s="1088"/>
      <c r="J1116" s="1088"/>
      <c r="K1116" s="1088"/>
    </row>
    <row r="1117" spans="3:11" ht="12" customHeight="1">
      <c r="C1117" s="891"/>
      <c r="D1117" s="891"/>
      <c r="E1117" s="891"/>
      <c r="F1117" s="891"/>
      <c r="G1117" s="891"/>
      <c r="H1117" s="1088"/>
      <c r="I1117" s="1088"/>
      <c r="J1117" s="1088"/>
      <c r="K1117" s="1088"/>
    </row>
    <row r="1118" spans="3:11" ht="12" customHeight="1">
      <c r="C1118" s="891"/>
      <c r="D1118" s="891"/>
      <c r="E1118" s="891"/>
      <c r="F1118" s="891"/>
      <c r="G1118" s="891"/>
      <c r="H1118" s="1088"/>
      <c r="I1118" s="1088"/>
      <c r="J1118" s="1088"/>
      <c r="K1118" s="1088"/>
    </row>
    <row r="1119" spans="3:11" ht="12" customHeight="1">
      <c r="C1119" s="891"/>
      <c r="D1119" s="891"/>
      <c r="E1119" s="891"/>
      <c r="F1119" s="891"/>
      <c r="G1119" s="891"/>
      <c r="H1119" s="1088"/>
      <c r="I1119" s="1088"/>
      <c r="J1119" s="1088"/>
      <c r="K1119" s="1088"/>
    </row>
    <row r="1120" spans="3:11" ht="12" customHeight="1">
      <c r="C1120" s="891"/>
      <c r="D1120" s="891"/>
      <c r="E1120" s="891"/>
      <c r="F1120" s="891"/>
      <c r="G1120" s="891"/>
      <c r="H1120" s="1088"/>
      <c r="I1120" s="1088"/>
      <c r="J1120" s="1088"/>
      <c r="K1120" s="1088"/>
    </row>
    <row r="1121" spans="3:11" ht="12" customHeight="1">
      <c r="C1121" s="891"/>
      <c r="D1121" s="891"/>
      <c r="E1121" s="891"/>
      <c r="F1121" s="891"/>
      <c r="G1121" s="891"/>
      <c r="H1121" s="1088"/>
      <c r="I1121" s="1088"/>
      <c r="J1121" s="1088"/>
      <c r="K1121" s="1088"/>
    </row>
    <row r="1122" spans="3:11" ht="12" customHeight="1">
      <c r="C1122" s="891"/>
      <c r="D1122" s="891"/>
      <c r="E1122" s="891"/>
      <c r="F1122" s="891"/>
      <c r="G1122" s="891"/>
      <c r="H1122" s="1088"/>
      <c r="I1122" s="1088"/>
      <c r="J1122" s="1088"/>
      <c r="K1122" s="1088"/>
    </row>
    <row r="1123" spans="3:11" ht="12" customHeight="1">
      <c r="C1123" s="891"/>
      <c r="D1123" s="891"/>
      <c r="E1123" s="891"/>
      <c r="F1123" s="891"/>
      <c r="G1123" s="891"/>
      <c r="H1123" s="1088"/>
      <c r="I1123" s="1088"/>
      <c r="J1123" s="1088"/>
      <c r="K1123" s="1088"/>
    </row>
    <row r="1124" spans="3:11" ht="12" customHeight="1">
      <c r="C1124" s="891"/>
      <c r="D1124" s="891"/>
      <c r="E1124" s="891"/>
      <c r="F1124" s="891"/>
      <c r="G1124" s="891"/>
      <c r="H1124" s="1088"/>
      <c r="I1124" s="1088"/>
      <c r="J1124" s="1088"/>
      <c r="K1124" s="1088"/>
    </row>
    <row r="1125" spans="3:11" ht="12" customHeight="1">
      <c r="C1125" s="891"/>
      <c r="D1125" s="891"/>
      <c r="E1125" s="891"/>
      <c r="F1125" s="891"/>
      <c r="G1125" s="891"/>
      <c r="H1125" s="1088"/>
      <c r="I1125" s="1088"/>
      <c r="J1125" s="1088"/>
      <c r="K1125" s="1088"/>
    </row>
    <row r="1126" spans="3:11" ht="12" customHeight="1">
      <c r="C1126" s="891"/>
      <c r="D1126" s="891"/>
      <c r="E1126" s="891"/>
      <c r="F1126" s="891"/>
      <c r="G1126" s="891"/>
      <c r="H1126" s="1088"/>
      <c r="I1126" s="1088"/>
      <c r="J1126" s="1088"/>
      <c r="K1126" s="1088"/>
    </row>
    <row r="1127" spans="3:11" ht="12" customHeight="1">
      <c r="C1127" s="891"/>
      <c r="D1127" s="891"/>
      <c r="E1127" s="891"/>
      <c r="F1127" s="891"/>
      <c r="G1127" s="891"/>
      <c r="H1127" s="1088"/>
      <c r="I1127" s="1088"/>
      <c r="J1127" s="1088"/>
      <c r="K1127" s="1088"/>
    </row>
    <row r="1128" spans="3:11" ht="12" customHeight="1">
      <c r="C1128" s="891"/>
      <c r="D1128" s="891"/>
      <c r="E1128" s="891"/>
      <c r="F1128" s="891"/>
      <c r="G1128" s="891"/>
      <c r="H1128" s="1088"/>
      <c r="I1128" s="1088"/>
      <c r="J1128" s="1088"/>
      <c r="K1128" s="1088"/>
    </row>
    <row r="1129" spans="3:11" ht="12" customHeight="1">
      <c r="C1129" s="891"/>
      <c r="D1129" s="891"/>
      <c r="E1129" s="891"/>
      <c r="F1129" s="891"/>
      <c r="G1129" s="891"/>
      <c r="H1129" s="1088"/>
      <c r="I1129" s="1088"/>
      <c r="J1129" s="1088"/>
      <c r="K1129" s="1088"/>
    </row>
    <row r="1130" spans="3:11" ht="12" customHeight="1">
      <c r="C1130" s="891"/>
      <c r="D1130" s="891"/>
      <c r="E1130" s="891"/>
      <c r="F1130" s="891"/>
      <c r="G1130" s="891"/>
      <c r="H1130" s="1088"/>
      <c r="I1130" s="1088"/>
      <c r="J1130" s="1088"/>
      <c r="K1130" s="1088"/>
    </row>
    <row r="1131" spans="3:11" ht="12" customHeight="1">
      <c r="C1131" s="891"/>
      <c r="D1131" s="891"/>
      <c r="E1131" s="891"/>
      <c r="F1131" s="891"/>
      <c r="G1131" s="891"/>
      <c r="H1131" s="1088"/>
      <c r="I1131" s="1088"/>
      <c r="J1131" s="1088"/>
      <c r="K1131" s="1088"/>
    </row>
    <row r="1132" spans="3:11" ht="12" customHeight="1">
      <c r="C1132" s="891"/>
      <c r="D1132" s="891"/>
      <c r="E1132" s="891"/>
      <c r="F1132" s="891"/>
      <c r="G1132" s="891"/>
      <c r="H1132" s="1088"/>
      <c r="I1132" s="1088"/>
      <c r="J1132" s="1088"/>
      <c r="K1132" s="1088"/>
    </row>
    <row r="1133" spans="3:11" ht="12" customHeight="1">
      <c r="C1133" s="891"/>
      <c r="D1133" s="891"/>
      <c r="E1133" s="891"/>
      <c r="F1133" s="891"/>
      <c r="G1133" s="891"/>
      <c r="H1133" s="1088"/>
      <c r="I1133" s="1088"/>
      <c r="J1133" s="1088"/>
      <c r="K1133" s="1088"/>
    </row>
    <row r="1134" spans="3:11" ht="12" customHeight="1">
      <c r="C1134" s="891"/>
      <c r="D1134" s="891"/>
      <c r="E1134" s="891"/>
      <c r="F1134" s="891"/>
      <c r="G1134" s="891"/>
      <c r="H1134" s="1088"/>
      <c r="I1134" s="1088"/>
      <c r="J1134" s="1088"/>
      <c r="K1134" s="1088"/>
    </row>
    <row r="1135" spans="3:11" ht="12" customHeight="1">
      <c r="C1135" s="891"/>
      <c r="D1135" s="891"/>
      <c r="E1135" s="891"/>
      <c r="F1135" s="891"/>
      <c r="G1135" s="891"/>
      <c r="H1135" s="1088"/>
      <c r="I1135" s="1088"/>
      <c r="J1135" s="1088"/>
      <c r="K1135" s="1088"/>
    </row>
    <row r="1136" spans="3:11" ht="12" customHeight="1">
      <c r="C1136" s="891"/>
      <c r="D1136" s="891"/>
      <c r="E1136" s="891"/>
      <c r="F1136" s="891"/>
      <c r="G1136" s="891"/>
      <c r="H1136" s="1088"/>
      <c r="I1136" s="1088"/>
      <c r="J1136" s="1088"/>
      <c r="K1136" s="1088"/>
    </row>
    <row r="1137" spans="3:11" ht="12" customHeight="1">
      <c r="C1137" s="891"/>
      <c r="D1137" s="891"/>
      <c r="E1137" s="891"/>
      <c r="F1137" s="891"/>
      <c r="G1137" s="891"/>
      <c r="H1137" s="1088"/>
      <c r="I1137" s="1088"/>
      <c r="J1137" s="1088"/>
      <c r="K1137" s="1088"/>
    </row>
    <row r="1138" spans="3:11" ht="12" customHeight="1">
      <c r="C1138" s="891"/>
      <c r="D1138" s="891"/>
      <c r="E1138" s="891"/>
      <c r="F1138" s="891"/>
      <c r="G1138" s="891"/>
      <c r="H1138" s="1088"/>
      <c r="I1138" s="1088"/>
      <c r="J1138" s="1088"/>
      <c r="K1138" s="1088"/>
    </row>
    <row r="1139" spans="3:11" ht="12" customHeight="1">
      <c r="C1139" s="891"/>
      <c r="D1139" s="891"/>
      <c r="E1139" s="891"/>
      <c r="F1139" s="891"/>
      <c r="G1139" s="891"/>
      <c r="H1139" s="1088"/>
      <c r="I1139" s="1088"/>
      <c r="J1139" s="1088"/>
      <c r="K1139" s="1088"/>
    </row>
    <row r="1140" spans="3:11" ht="12" customHeight="1">
      <c r="C1140" s="891"/>
      <c r="D1140" s="891"/>
      <c r="E1140" s="891"/>
      <c r="F1140" s="891"/>
      <c r="G1140" s="891"/>
      <c r="H1140" s="1088"/>
      <c r="I1140" s="1088"/>
      <c r="J1140" s="1088"/>
      <c r="K1140" s="1088"/>
    </row>
    <row r="1141" spans="3:11" ht="12" customHeight="1">
      <c r="C1141" s="891"/>
      <c r="D1141" s="891"/>
      <c r="E1141" s="891"/>
      <c r="F1141" s="891"/>
      <c r="G1141" s="891"/>
      <c r="H1141" s="1088"/>
      <c r="I1141" s="1088"/>
      <c r="J1141" s="1088"/>
      <c r="K1141" s="1088"/>
    </row>
    <row r="1142" spans="3:11" ht="12" customHeight="1">
      <c r="C1142" s="891"/>
      <c r="D1142" s="891"/>
      <c r="E1142" s="891"/>
      <c r="F1142" s="891"/>
      <c r="G1142" s="891"/>
      <c r="H1142" s="1088"/>
      <c r="I1142" s="1088"/>
      <c r="J1142" s="1088"/>
      <c r="K1142" s="1088"/>
    </row>
    <row r="1143" spans="3:11" ht="12" customHeight="1">
      <c r="C1143" s="891"/>
      <c r="D1143" s="891"/>
      <c r="E1143" s="891"/>
      <c r="F1143" s="891"/>
      <c r="G1143" s="891"/>
      <c r="H1143" s="1088"/>
      <c r="I1143" s="1088"/>
      <c r="J1143" s="1088"/>
      <c r="K1143" s="1088"/>
    </row>
    <row r="1144" spans="3:11" ht="12" customHeight="1">
      <c r="C1144" s="891"/>
      <c r="D1144" s="891"/>
      <c r="E1144" s="891"/>
      <c r="F1144" s="891"/>
      <c r="G1144" s="891"/>
      <c r="H1144" s="1088"/>
      <c r="I1144" s="1088"/>
      <c r="J1144" s="1088"/>
      <c r="K1144" s="1088"/>
    </row>
    <row r="1145" spans="3:11" ht="12" customHeight="1">
      <c r="C1145" s="891"/>
      <c r="D1145" s="891"/>
      <c r="E1145" s="891"/>
      <c r="F1145" s="891"/>
      <c r="G1145" s="891"/>
      <c r="H1145" s="1088"/>
      <c r="I1145" s="1088"/>
      <c r="J1145" s="1088"/>
      <c r="K1145" s="1088"/>
    </row>
    <row r="1146" spans="3:11" ht="12" customHeight="1">
      <c r="C1146" s="891"/>
      <c r="D1146" s="891"/>
      <c r="E1146" s="891"/>
      <c r="F1146" s="891"/>
      <c r="G1146" s="891"/>
      <c r="H1146" s="1088"/>
      <c r="I1146" s="1088"/>
      <c r="J1146" s="1088"/>
      <c r="K1146" s="1088"/>
    </row>
    <row r="1147" spans="3:11" ht="12" customHeight="1">
      <c r="C1147" s="891"/>
      <c r="D1147" s="891"/>
      <c r="E1147" s="891"/>
      <c r="F1147" s="891"/>
      <c r="G1147" s="891"/>
      <c r="H1147" s="1088"/>
      <c r="I1147" s="1088"/>
      <c r="J1147" s="1088"/>
      <c r="K1147" s="1088"/>
    </row>
    <row r="1148" spans="3:11" ht="12" customHeight="1">
      <c r="C1148" s="891"/>
      <c r="D1148" s="891"/>
      <c r="E1148" s="891"/>
      <c r="F1148" s="891"/>
      <c r="G1148" s="891"/>
      <c r="H1148" s="1088"/>
      <c r="I1148" s="1088"/>
      <c r="J1148" s="1088"/>
      <c r="K1148" s="1088"/>
    </row>
    <row r="1149" spans="3:11" ht="12" customHeight="1">
      <c r="C1149" s="891"/>
      <c r="D1149" s="891"/>
      <c r="E1149" s="891"/>
      <c r="F1149" s="891"/>
      <c r="G1149" s="891"/>
      <c r="H1149" s="1088"/>
      <c r="I1149" s="1088"/>
      <c r="J1149" s="1088"/>
      <c r="K1149" s="1088"/>
    </row>
    <row r="1150" spans="3:11" ht="12" customHeight="1">
      <c r="C1150" s="891"/>
      <c r="D1150" s="891"/>
      <c r="E1150" s="891"/>
      <c r="F1150" s="891"/>
      <c r="G1150" s="891"/>
      <c r="H1150" s="1088"/>
      <c r="I1150" s="1088"/>
      <c r="J1150" s="1088"/>
      <c r="K1150" s="1088"/>
    </row>
    <row r="1151" spans="3:11" ht="12" customHeight="1">
      <c r="C1151" s="891"/>
      <c r="D1151" s="891"/>
      <c r="E1151" s="891"/>
      <c r="F1151" s="891"/>
      <c r="G1151" s="891"/>
      <c r="H1151" s="1088"/>
      <c r="I1151" s="1088"/>
      <c r="J1151" s="1088"/>
      <c r="K1151" s="1088"/>
    </row>
    <row r="1152" spans="3:11" ht="12" customHeight="1">
      <c r="C1152" s="891"/>
      <c r="D1152" s="891"/>
      <c r="E1152" s="891"/>
      <c r="F1152" s="891"/>
      <c r="G1152" s="891"/>
      <c r="H1152" s="1088"/>
      <c r="I1152" s="1088"/>
      <c r="J1152" s="1088"/>
      <c r="K1152" s="1088"/>
    </row>
    <row r="1153" spans="3:11" ht="12" customHeight="1">
      <c r="C1153" s="891"/>
      <c r="D1153" s="891"/>
      <c r="E1153" s="891"/>
      <c r="F1153" s="891"/>
      <c r="G1153" s="891"/>
      <c r="H1153" s="1088"/>
      <c r="I1153" s="1088"/>
      <c r="J1153" s="1088"/>
      <c r="K1153" s="1088"/>
    </row>
    <row r="1154" spans="3:11" ht="12" customHeight="1">
      <c r="C1154" s="891"/>
      <c r="D1154" s="891"/>
      <c r="E1154" s="891"/>
      <c r="F1154" s="891"/>
      <c r="G1154" s="891"/>
      <c r="H1154" s="1088"/>
      <c r="I1154" s="1088"/>
      <c r="J1154" s="1088"/>
      <c r="K1154" s="1088"/>
    </row>
    <row r="1155" spans="3:11" ht="12" customHeight="1">
      <c r="C1155" s="891"/>
      <c r="D1155" s="891"/>
      <c r="E1155" s="891"/>
      <c r="F1155" s="891"/>
      <c r="G1155" s="891"/>
      <c r="H1155" s="1088"/>
      <c r="I1155" s="1088"/>
      <c r="J1155" s="1088"/>
      <c r="K1155" s="1088"/>
    </row>
    <row r="1156" spans="3:11" ht="12" customHeight="1">
      <c r="C1156" s="891"/>
      <c r="D1156" s="891"/>
      <c r="E1156" s="891"/>
      <c r="F1156" s="891"/>
      <c r="G1156" s="891"/>
      <c r="H1156" s="1088"/>
      <c r="I1156" s="1088"/>
      <c r="J1156" s="1088"/>
      <c r="K1156" s="1088"/>
    </row>
    <row r="1157" spans="3:11" ht="12" customHeight="1">
      <c r="C1157" s="891"/>
      <c r="D1157" s="891"/>
      <c r="E1157" s="891"/>
      <c r="F1157" s="891"/>
      <c r="G1157" s="891"/>
      <c r="H1157" s="1088"/>
      <c r="I1157" s="1088"/>
      <c r="J1157" s="1088"/>
      <c r="K1157" s="1088"/>
    </row>
    <row r="1158" spans="3:11" ht="12" customHeight="1">
      <c r="C1158" s="891"/>
      <c r="D1158" s="891"/>
      <c r="E1158" s="891"/>
      <c r="F1158" s="891"/>
      <c r="G1158" s="891"/>
      <c r="H1158" s="1088"/>
      <c r="I1158" s="1088"/>
      <c r="J1158" s="1088"/>
      <c r="K1158" s="1088"/>
    </row>
    <row r="1159" spans="3:11" ht="12" customHeight="1">
      <c r="C1159" s="891"/>
      <c r="D1159" s="891"/>
      <c r="E1159" s="891"/>
      <c r="F1159" s="891"/>
      <c r="G1159" s="891"/>
      <c r="H1159" s="1088"/>
      <c r="I1159" s="1088"/>
      <c r="J1159" s="1088"/>
      <c r="K1159" s="1088"/>
    </row>
    <row r="1160" spans="3:11" ht="12" customHeight="1">
      <c r="C1160" s="891"/>
      <c r="D1160" s="891"/>
      <c r="E1160" s="891"/>
      <c r="F1160" s="891"/>
      <c r="G1160" s="891"/>
      <c r="H1160" s="1088"/>
      <c r="I1160" s="1088"/>
      <c r="J1160" s="1088"/>
      <c r="K1160" s="1088"/>
    </row>
    <row r="1161" spans="3:11" ht="12" customHeight="1">
      <c r="C1161" s="891"/>
      <c r="D1161" s="891"/>
      <c r="E1161" s="891"/>
      <c r="F1161" s="891"/>
      <c r="G1161" s="891"/>
      <c r="H1161" s="1088"/>
      <c r="I1161" s="1088"/>
      <c r="J1161" s="1088"/>
      <c r="K1161" s="1088"/>
    </row>
    <row r="1162" spans="3:11" ht="12" customHeight="1">
      <c r="C1162" s="891"/>
      <c r="D1162" s="891"/>
      <c r="E1162" s="891"/>
      <c r="F1162" s="891"/>
      <c r="G1162" s="891"/>
      <c r="H1162" s="1088"/>
      <c r="I1162" s="1088"/>
      <c r="J1162" s="1088"/>
      <c r="K1162" s="1088"/>
    </row>
    <row r="1163" spans="3:11" ht="12" customHeight="1">
      <c r="C1163" s="891"/>
      <c r="D1163" s="891"/>
      <c r="E1163" s="891"/>
      <c r="F1163" s="891"/>
      <c r="G1163" s="891"/>
      <c r="H1163" s="1088"/>
      <c r="I1163" s="1088"/>
      <c r="J1163" s="1088"/>
      <c r="K1163" s="1088"/>
    </row>
    <row r="1164" spans="3:11" ht="12" customHeight="1">
      <c r="C1164" s="891"/>
      <c r="D1164" s="891"/>
      <c r="E1164" s="891"/>
      <c r="F1164" s="891"/>
      <c r="G1164" s="891"/>
      <c r="H1164" s="1088"/>
      <c r="I1164" s="1088"/>
      <c r="J1164" s="1088"/>
      <c r="K1164" s="1088"/>
    </row>
    <row r="1165" spans="3:11" ht="12" customHeight="1">
      <c r="C1165" s="891"/>
      <c r="D1165" s="891"/>
      <c r="E1165" s="891"/>
      <c r="F1165" s="891"/>
      <c r="G1165" s="891"/>
      <c r="H1165" s="1088"/>
      <c r="I1165" s="1088"/>
      <c r="J1165" s="1088"/>
      <c r="K1165" s="1088"/>
    </row>
    <row r="1166" spans="3:11" ht="12" customHeight="1">
      <c r="C1166" s="891"/>
      <c r="D1166" s="891"/>
      <c r="E1166" s="891"/>
      <c r="F1166" s="891"/>
      <c r="G1166" s="891"/>
      <c r="H1166" s="1088"/>
      <c r="I1166" s="1088"/>
      <c r="J1166" s="1088"/>
      <c r="K1166" s="1088"/>
    </row>
    <row r="1167" spans="3:11" ht="12" customHeight="1">
      <c r="C1167" s="891"/>
      <c r="D1167" s="891"/>
      <c r="E1167" s="891"/>
      <c r="F1167" s="891"/>
      <c r="G1167" s="891"/>
      <c r="H1167" s="1088"/>
      <c r="I1167" s="1088"/>
      <c r="J1167" s="1088"/>
      <c r="K1167" s="1088"/>
    </row>
    <row r="1168" spans="3:11" ht="12" customHeight="1">
      <c r="C1168" s="891"/>
      <c r="D1168" s="891"/>
      <c r="E1168" s="891"/>
      <c r="F1168" s="891"/>
      <c r="G1168" s="891"/>
      <c r="H1168" s="1088"/>
      <c r="I1168" s="1088"/>
      <c r="J1168" s="1088"/>
      <c r="K1168" s="1088"/>
    </row>
    <row r="1169" spans="3:11" ht="12" customHeight="1">
      <c r="C1169" s="891"/>
      <c r="D1169" s="891"/>
      <c r="E1169" s="891"/>
      <c r="F1169" s="891"/>
      <c r="G1169" s="891"/>
      <c r="H1169" s="1088"/>
      <c r="I1169" s="1088"/>
      <c r="J1169" s="1088"/>
      <c r="K1169" s="1088"/>
    </row>
    <row r="1170" spans="3:11" ht="12" customHeight="1">
      <c r="C1170" s="891"/>
      <c r="D1170" s="891"/>
      <c r="E1170" s="891"/>
      <c r="F1170" s="891"/>
      <c r="G1170" s="891"/>
      <c r="H1170" s="1088"/>
      <c r="I1170" s="1088"/>
      <c r="J1170" s="1088"/>
      <c r="K1170" s="1088"/>
    </row>
    <row r="1171" spans="3:11" ht="12" customHeight="1">
      <c r="C1171" s="891"/>
      <c r="D1171" s="891"/>
      <c r="E1171" s="891"/>
      <c r="F1171" s="891"/>
      <c r="G1171" s="891"/>
      <c r="H1171" s="1088"/>
      <c r="I1171" s="1088"/>
      <c r="J1171" s="1088"/>
      <c r="K1171" s="1088"/>
    </row>
    <row r="1172" spans="3:11" ht="12" customHeight="1">
      <c r="C1172" s="891"/>
      <c r="D1172" s="891"/>
      <c r="E1172" s="891"/>
      <c r="F1172" s="891"/>
      <c r="G1172" s="891"/>
      <c r="H1172" s="1088"/>
      <c r="I1172" s="1088"/>
      <c r="J1172" s="1088"/>
      <c r="K1172" s="1088"/>
    </row>
    <row r="1173" spans="3:11" ht="12" customHeight="1">
      <c r="C1173" s="891"/>
      <c r="D1173" s="891"/>
      <c r="E1173" s="891"/>
      <c r="F1173" s="891"/>
      <c r="G1173" s="891"/>
      <c r="H1173" s="1088"/>
      <c r="I1173" s="1088"/>
      <c r="J1173" s="1088"/>
      <c r="K1173" s="1088"/>
    </row>
    <row r="1174" spans="3:11" ht="12" customHeight="1">
      <c r="C1174" s="891"/>
      <c r="D1174" s="891"/>
      <c r="E1174" s="891"/>
      <c r="F1174" s="891"/>
      <c r="G1174" s="891"/>
      <c r="H1174" s="1088"/>
      <c r="I1174" s="1088"/>
      <c r="J1174" s="1088"/>
      <c r="K1174" s="1088"/>
    </row>
    <row r="1175" spans="3:11" ht="12" customHeight="1">
      <c r="C1175" s="891"/>
      <c r="D1175" s="891"/>
      <c r="E1175" s="891"/>
      <c r="F1175" s="891"/>
      <c r="G1175" s="891"/>
      <c r="H1175" s="1088"/>
      <c r="I1175" s="1088"/>
      <c r="J1175" s="1088"/>
      <c r="K1175" s="1088"/>
    </row>
    <row r="1176" spans="3:11" ht="12" customHeight="1">
      <c r="C1176" s="891"/>
      <c r="D1176" s="891"/>
      <c r="E1176" s="891"/>
      <c r="F1176" s="891"/>
      <c r="G1176" s="891"/>
      <c r="H1176" s="1088"/>
      <c r="I1176" s="1088"/>
      <c r="J1176" s="1088"/>
      <c r="K1176" s="1088"/>
    </row>
    <row r="1177" spans="3:11" ht="12" customHeight="1">
      <c r="C1177" s="891"/>
      <c r="D1177" s="891"/>
      <c r="E1177" s="891"/>
      <c r="F1177" s="891"/>
      <c r="G1177" s="891"/>
      <c r="H1177" s="1088"/>
      <c r="I1177" s="1088"/>
      <c r="J1177" s="1088"/>
      <c r="K1177" s="1088"/>
    </row>
    <row r="1178" spans="3:11" ht="12" customHeight="1">
      <c r="C1178" s="891"/>
      <c r="D1178" s="891"/>
      <c r="E1178" s="891"/>
      <c r="F1178" s="891"/>
      <c r="G1178" s="891"/>
      <c r="H1178" s="1088"/>
      <c r="I1178" s="1088"/>
      <c r="J1178" s="1088"/>
      <c r="K1178" s="1088"/>
    </row>
    <row r="1179" spans="3:11" ht="12" customHeight="1">
      <c r="C1179" s="891"/>
      <c r="D1179" s="891"/>
      <c r="E1179" s="891"/>
      <c r="F1179" s="891"/>
      <c r="G1179" s="891"/>
      <c r="H1179" s="1088"/>
      <c r="I1179" s="1088"/>
      <c r="J1179" s="1088"/>
      <c r="K1179" s="1088"/>
    </row>
    <row r="1180" spans="3:11" ht="12" customHeight="1">
      <c r="C1180" s="891"/>
      <c r="D1180" s="891"/>
      <c r="E1180" s="891"/>
      <c r="F1180" s="891"/>
      <c r="G1180" s="891"/>
      <c r="H1180" s="1088"/>
      <c r="I1180" s="1088"/>
      <c r="J1180" s="1088"/>
      <c r="K1180" s="1088"/>
    </row>
    <row r="1181" spans="3:11" ht="12" customHeight="1">
      <c r="C1181" s="891"/>
      <c r="D1181" s="891"/>
      <c r="E1181" s="891"/>
      <c r="F1181" s="891"/>
      <c r="G1181" s="891"/>
      <c r="H1181" s="1088"/>
      <c r="I1181" s="1088"/>
      <c r="J1181" s="1088"/>
      <c r="K1181" s="1088"/>
    </row>
    <row r="1182" spans="3:11" ht="12" customHeight="1">
      <c r="C1182" s="891"/>
      <c r="D1182" s="891"/>
      <c r="E1182" s="891"/>
      <c r="F1182" s="891"/>
      <c r="G1182" s="891"/>
      <c r="H1182" s="1088"/>
      <c r="I1182" s="1088"/>
      <c r="J1182" s="1088"/>
      <c r="K1182" s="1088"/>
    </row>
    <row r="1183" spans="3:11" ht="12" customHeight="1">
      <c r="C1183" s="891"/>
      <c r="D1183" s="891"/>
      <c r="E1183" s="891"/>
      <c r="F1183" s="891"/>
      <c r="G1183" s="891"/>
      <c r="H1183" s="1088"/>
      <c r="I1183" s="1088"/>
      <c r="J1183" s="1088"/>
      <c r="K1183" s="1088"/>
    </row>
    <row r="1184" spans="3:11" ht="12" customHeight="1">
      <c r="C1184" s="891"/>
      <c r="D1184" s="891"/>
      <c r="E1184" s="891"/>
      <c r="F1184" s="891"/>
      <c r="G1184" s="891"/>
      <c r="H1184" s="1088"/>
      <c r="I1184" s="1088"/>
      <c r="J1184" s="1088"/>
      <c r="K1184" s="1088"/>
    </row>
    <row r="1185" spans="3:11" ht="12" customHeight="1">
      <c r="C1185" s="891"/>
      <c r="D1185" s="891"/>
      <c r="E1185" s="891"/>
      <c r="F1185" s="891"/>
      <c r="G1185" s="891"/>
      <c r="H1185" s="1088"/>
      <c r="I1185" s="1088"/>
      <c r="J1185" s="1088"/>
      <c r="K1185" s="1088"/>
    </row>
    <row r="1186" spans="3:11" ht="12" customHeight="1">
      <c r="C1186" s="891"/>
      <c r="D1186" s="891"/>
      <c r="E1186" s="891"/>
      <c r="F1186" s="891"/>
      <c r="G1186" s="891"/>
      <c r="H1186" s="1088"/>
      <c r="I1186" s="1088"/>
      <c r="J1186" s="1088"/>
      <c r="K1186" s="1088"/>
    </row>
    <row r="1187" spans="3:11" ht="12" customHeight="1">
      <c r="C1187" s="891"/>
      <c r="D1187" s="891"/>
      <c r="E1187" s="891"/>
      <c r="F1187" s="891"/>
      <c r="G1187" s="891"/>
      <c r="H1187" s="1088"/>
      <c r="I1187" s="1088"/>
      <c r="J1187" s="1088"/>
      <c r="K1187" s="1088"/>
    </row>
    <row r="1188" spans="3:11" ht="12" customHeight="1">
      <c r="C1188" s="891"/>
      <c r="D1188" s="891"/>
      <c r="E1188" s="891"/>
      <c r="F1188" s="891"/>
      <c r="G1188" s="891"/>
      <c r="H1188" s="1088"/>
      <c r="I1188" s="1088"/>
      <c r="J1188" s="1088"/>
      <c r="K1188" s="1088"/>
    </row>
    <row r="1189" spans="3:11" ht="12" customHeight="1">
      <c r="C1189" s="891"/>
      <c r="D1189" s="891"/>
      <c r="E1189" s="891"/>
      <c r="F1189" s="891"/>
      <c r="G1189" s="891"/>
      <c r="H1189" s="1088"/>
      <c r="I1189" s="1088"/>
      <c r="J1189" s="1088"/>
      <c r="K1189" s="1088"/>
    </row>
    <row r="1190" spans="3:11" ht="12" customHeight="1">
      <c r="C1190" s="891"/>
      <c r="D1190" s="891"/>
      <c r="E1190" s="891"/>
      <c r="F1190" s="891"/>
      <c r="G1190" s="891"/>
      <c r="H1190" s="1088"/>
      <c r="I1190" s="1088"/>
      <c r="J1190" s="1088"/>
      <c r="K1190" s="1088"/>
    </row>
    <row r="1191" spans="3:11" ht="12" customHeight="1">
      <c r="C1191" s="891"/>
      <c r="D1191" s="891"/>
      <c r="E1191" s="891"/>
      <c r="F1191" s="891"/>
      <c r="G1191" s="891"/>
      <c r="H1191" s="1088"/>
      <c r="I1191" s="1088"/>
      <c r="J1191" s="1088"/>
      <c r="K1191" s="1088"/>
    </row>
    <row r="1192" spans="3:11" ht="12" customHeight="1">
      <c r="C1192" s="891"/>
      <c r="D1192" s="891"/>
      <c r="E1192" s="891"/>
      <c r="F1192" s="891"/>
      <c r="G1192" s="891"/>
      <c r="H1192" s="1088"/>
      <c r="I1192" s="1088"/>
      <c r="J1192" s="1088"/>
      <c r="K1192" s="1088"/>
    </row>
    <row r="1193" spans="3:11" ht="12" customHeight="1">
      <c r="C1193" s="891"/>
      <c r="D1193" s="891"/>
      <c r="E1193" s="891"/>
      <c r="F1193" s="891"/>
      <c r="G1193" s="891"/>
      <c r="H1193" s="1088"/>
      <c r="I1193" s="1088"/>
      <c r="J1193" s="1088"/>
      <c r="K1193" s="1088"/>
    </row>
    <row r="1194" spans="3:11" ht="12" customHeight="1">
      <c r="C1194" s="891"/>
      <c r="D1194" s="891"/>
      <c r="E1194" s="891"/>
      <c r="F1194" s="891"/>
      <c r="G1194" s="891"/>
      <c r="H1194" s="1088"/>
      <c r="I1194" s="1088"/>
      <c r="J1194" s="1088"/>
      <c r="K1194" s="1088"/>
    </row>
    <row r="1195" spans="3:11" ht="12" customHeight="1">
      <c r="C1195" s="891"/>
      <c r="D1195" s="891"/>
      <c r="E1195" s="891"/>
      <c r="F1195" s="891"/>
      <c r="G1195" s="891"/>
      <c r="H1195" s="1088"/>
      <c r="I1195" s="1088"/>
      <c r="J1195" s="1088"/>
      <c r="K1195" s="1088"/>
    </row>
    <row r="1196" spans="3:11" ht="12" customHeight="1">
      <c r="C1196" s="891"/>
      <c r="D1196" s="891"/>
      <c r="E1196" s="891"/>
      <c r="F1196" s="891"/>
      <c r="G1196" s="891"/>
      <c r="H1196" s="1088"/>
      <c r="I1196" s="1088"/>
      <c r="J1196" s="1088"/>
      <c r="K1196" s="1088"/>
    </row>
    <row r="1197" spans="3:11" ht="12" customHeight="1">
      <c r="C1197" s="891"/>
      <c r="D1197" s="891"/>
      <c r="E1197" s="891"/>
      <c r="F1197" s="891"/>
      <c r="G1197" s="891"/>
      <c r="H1197" s="1088"/>
      <c r="I1197" s="1088"/>
      <c r="J1197" s="1088"/>
      <c r="K1197" s="1088"/>
    </row>
    <row r="1198" spans="3:11" ht="12" customHeight="1">
      <c r="C1198" s="891"/>
      <c r="D1198" s="891"/>
      <c r="E1198" s="891"/>
      <c r="F1198" s="891"/>
      <c r="G1198" s="891"/>
      <c r="H1198" s="1088"/>
      <c r="I1198" s="1088"/>
      <c r="J1198" s="1088"/>
      <c r="K1198" s="1088"/>
    </row>
    <row r="1199" spans="3:11" ht="12" customHeight="1">
      <c r="C1199" s="891"/>
      <c r="D1199" s="891"/>
      <c r="E1199" s="891"/>
      <c r="F1199" s="891"/>
      <c r="G1199" s="891"/>
      <c r="H1199" s="1088"/>
      <c r="I1199" s="1088"/>
      <c r="J1199" s="1088"/>
      <c r="K1199" s="1088"/>
    </row>
    <row r="1200" spans="3:11" ht="12" customHeight="1">
      <c r="C1200" s="891"/>
      <c r="D1200" s="891"/>
      <c r="E1200" s="891"/>
      <c r="F1200" s="891"/>
      <c r="G1200" s="891"/>
      <c r="H1200" s="1088"/>
      <c r="I1200" s="1088"/>
      <c r="J1200" s="1088"/>
      <c r="K1200" s="1088"/>
    </row>
    <row r="1201" spans="3:11" ht="12" customHeight="1">
      <c r="C1201" s="891"/>
      <c r="D1201" s="891"/>
      <c r="E1201" s="891"/>
      <c r="F1201" s="891"/>
      <c r="G1201" s="891"/>
      <c r="H1201" s="1088"/>
      <c r="I1201" s="1088"/>
      <c r="J1201" s="1088"/>
      <c r="K1201" s="1088"/>
    </row>
    <row r="1202" spans="3:11" ht="12" customHeight="1">
      <c r="C1202" s="891"/>
      <c r="D1202" s="891"/>
      <c r="E1202" s="891"/>
      <c r="F1202" s="891"/>
      <c r="G1202" s="891"/>
      <c r="H1202" s="1088"/>
      <c r="I1202" s="1088"/>
      <c r="J1202" s="1088"/>
      <c r="K1202" s="1088"/>
    </row>
    <row r="1203" spans="3:11" ht="12" customHeight="1">
      <c r="C1203" s="891"/>
      <c r="D1203" s="891"/>
      <c r="E1203" s="891"/>
      <c r="F1203" s="891"/>
      <c r="G1203" s="891"/>
      <c r="H1203" s="1088"/>
      <c r="I1203" s="1088"/>
      <c r="J1203" s="1088"/>
      <c r="K1203" s="1088"/>
    </row>
    <row r="1204" spans="3:11" ht="12" customHeight="1">
      <c r="C1204" s="891"/>
      <c r="D1204" s="891"/>
      <c r="E1204" s="891"/>
      <c r="F1204" s="891"/>
      <c r="G1204" s="891"/>
      <c r="H1204" s="1088"/>
      <c r="I1204" s="1088"/>
      <c r="J1204" s="1088"/>
      <c r="K1204" s="1088"/>
    </row>
    <row r="1205" spans="3:11" ht="12" customHeight="1">
      <c r="C1205" s="891"/>
      <c r="D1205" s="891"/>
      <c r="E1205" s="891"/>
      <c r="F1205" s="891"/>
      <c r="G1205" s="891"/>
      <c r="H1205" s="1088"/>
      <c r="I1205" s="1088"/>
      <c r="J1205" s="1088"/>
      <c r="K1205" s="1088"/>
    </row>
    <row r="1206" spans="3:11" ht="12" customHeight="1">
      <c r="C1206" s="891"/>
      <c r="D1206" s="891"/>
      <c r="E1206" s="891"/>
      <c r="F1206" s="891"/>
      <c r="G1206" s="891"/>
      <c r="H1206" s="1088"/>
      <c r="I1206" s="1088"/>
      <c r="J1206" s="1088"/>
      <c r="K1206" s="1088"/>
    </row>
    <row r="1207" spans="3:11" ht="12" customHeight="1">
      <c r="C1207" s="891"/>
      <c r="D1207" s="891"/>
      <c r="E1207" s="891"/>
      <c r="F1207" s="891"/>
      <c r="G1207" s="891"/>
      <c r="H1207" s="1088"/>
      <c r="I1207" s="1088"/>
      <c r="J1207" s="1088"/>
      <c r="K1207" s="1088"/>
    </row>
    <row r="1208" spans="3:11" ht="12" customHeight="1">
      <c r="C1208" s="891"/>
      <c r="D1208" s="891"/>
      <c r="E1208" s="891"/>
      <c r="F1208" s="891"/>
      <c r="G1208" s="891"/>
      <c r="H1208" s="1088"/>
      <c r="I1208" s="1088"/>
      <c r="J1208" s="1088"/>
      <c r="K1208" s="1088"/>
    </row>
    <row r="1209" spans="3:11" ht="12" customHeight="1">
      <c r="C1209" s="891"/>
      <c r="D1209" s="891"/>
      <c r="E1209" s="891"/>
      <c r="F1209" s="891"/>
      <c r="G1209" s="891"/>
      <c r="H1209" s="1088"/>
      <c r="I1209" s="1088"/>
      <c r="J1209" s="1088"/>
      <c r="K1209" s="1088"/>
    </row>
    <row r="1210" spans="3:11" ht="12" customHeight="1">
      <c r="C1210" s="891"/>
      <c r="D1210" s="891"/>
      <c r="E1210" s="891"/>
      <c r="F1210" s="891"/>
      <c r="G1210" s="891"/>
      <c r="H1210" s="1088"/>
      <c r="I1210" s="1088"/>
      <c r="J1210" s="1088"/>
      <c r="K1210" s="1088"/>
    </row>
    <row r="1211" spans="3:11" ht="12" customHeight="1">
      <c r="C1211" s="891"/>
      <c r="D1211" s="891"/>
      <c r="E1211" s="891"/>
      <c r="F1211" s="891"/>
      <c r="G1211" s="891"/>
      <c r="H1211" s="1088"/>
      <c r="I1211" s="1088"/>
      <c r="J1211" s="1088"/>
      <c r="K1211" s="1088"/>
    </row>
    <row r="1212" spans="3:11" ht="12" customHeight="1">
      <c r="C1212" s="891"/>
      <c r="D1212" s="891"/>
      <c r="E1212" s="891"/>
      <c r="F1212" s="891"/>
      <c r="G1212" s="891"/>
      <c r="H1212" s="1088"/>
      <c r="I1212" s="1088"/>
      <c r="J1212" s="1088"/>
      <c r="K1212" s="1088"/>
    </row>
    <row r="1213" spans="3:11" ht="12" customHeight="1">
      <c r="C1213" s="891"/>
      <c r="D1213" s="891"/>
      <c r="E1213" s="891"/>
      <c r="F1213" s="891"/>
      <c r="G1213" s="891"/>
      <c r="H1213" s="1088"/>
      <c r="I1213" s="1088"/>
      <c r="J1213" s="1088"/>
      <c r="K1213" s="1088"/>
    </row>
    <row r="1214" spans="3:11" ht="12" customHeight="1">
      <c r="C1214" s="891"/>
      <c r="D1214" s="891"/>
      <c r="E1214" s="891"/>
      <c r="F1214" s="891"/>
      <c r="G1214" s="891"/>
      <c r="H1214" s="1088"/>
      <c r="I1214" s="1088"/>
      <c r="J1214" s="1088"/>
      <c r="K1214" s="1088"/>
    </row>
    <row r="1215" spans="3:11" ht="12" customHeight="1">
      <c r="C1215" s="891"/>
      <c r="D1215" s="891"/>
      <c r="E1215" s="891"/>
      <c r="F1215" s="891"/>
      <c r="G1215" s="891"/>
      <c r="H1215" s="1088"/>
      <c r="I1215" s="1088"/>
      <c r="J1215" s="1088"/>
      <c r="K1215" s="1088"/>
    </row>
    <row r="1216" spans="3:11" ht="12" customHeight="1">
      <c r="C1216" s="891"/>
      <c r="D1216" s="891"/>
      <c r="E1216" s="891"/>
      <c r="F1216" s="891"/>
      <c r="G1216" s="891"/>
      <c r="H1216" s="1088"/>
      <c r="I1216" s="1088"/>
      <c r="J1216" s="1088"/>
      <c r="K1216" s="1088"/>
    </row>
    <row r="1217" spans="3:11" ht="12" customHeight="1">
      <c r="C1217" s="891"/>
      <c r="D1217" s="891"/>
      <c r="E1217" s="891"/>
      <c r="F1217" s="891"/>
      <c r="G1217" s="891"/>
      <c r="H1217" s="1088"/>
      <c r="I1217" s="1088"/>
      <c r="J1217" s="1088"/>
      <c r="K1217" s="1088"/>
    </row>
    <row r="1218" spans="3:11" ht="12" customHeight="1">
      <c r="C1218" s="891"/>
      <c r="D1218" s="891"/>
      <c r="E1218" s="891"/>
      <c r="F1218" s="891"/>
      <c r="G1218" s="891"/>
      <c r="H1218" s="1088"/>
      <c r="I1218" s="1088"/>
      <c r="J1218" s="1088"/>
      <c r="K1218" s="1088"/>
    </row>
    <row r="1219" spans="3:11" ht="12" customHeight="1">
      <c r="C1219" s="891"/>
      <c r="D1219" s="891"/>
      <c r="E1219" s="891"/>
      <c r="F1219" s="891"/>
      <c r="G1219" s="891"/>
      <c r="H1219" s="1088"/>
      <c r="I1219" s="1088"/>
      <c r="J1219" s="1088"/>
      <c r="K1219" s="1088"/>
    </row>
    <row r="1220" spans="3:11" ht="12" customHeight="1">
      <c r="C1220" s="891"/>
      <c r="D1220" s="891"/>
      <c r="E1220" s="891"/>
      <c r="F1220" s="891"/>
      <c r="G1220" s="891"/>
      <c r="H1220" s="1088"/>
      <c r="I1220" s="1088"/>
      <c r="J1220" s="1088"/>
      <c r="K1220" s="1088"/>
    </row>
    <row r="1221" spans="3:11" ht="12" customHeight="1">
      <c r="C1221" s="891"/>
      <c r="D1221" s="891"/>
      <c r="E1221" s="891"/>
      <c r="F1221" s="891"/>
      <c r="G1221" s="891"/>
      <c r="H1221" s="1088"/>
      <c r="I1221" s="1088"/>
      <c r="J1221" s="1088"/>
      <c r="K1221" s="1088"/>
    </row>
    <row r="1222" spans="3:11" ht="12" customHeight="1">
      <c r="C1222" s="891"/>
      <c r="D1222" s="891"/>
      <c r="E1222" s="891"/>
      <c r="F1222" s="891"/>
      <c r="G1222" s="891"/>
      <c r="H1222" s="1088"/>
      <c r="I1222" s="1088"/>
      <c r="J1222" s="1088"/>
      <c r="K1222" s="1088"/>
    </row>
    <row r="1223" spans="3:11" ht="12" customHeight="1">
      <c r="C1223" s="891"/>
      <c r="D1223" s="891"/>
      <c r="E1223" s="891"/>
      <c r="F1223" s="891"/>
      <c r="G1223" s="891"/>
      <c r="H1223" s="1088"/>
      <c r="I1223" s="1088"/>
      <c r="J1223" s="1088"/>
      <c r="K1223" s="1088"/>
    </row>
    <row r="1224" spans="3:11" ht="12" customHeight="1">
      <c r="C1224" s="891"/>
      <c r="D1224" s="891"/>
      <c r="E1224" s="891"/>
      <c r="F1224" s="891"/>
      <c r="G1224" s="891"/>
      <c r="H1224" s="1088"/>
      <c r="I1224" s="1088"/>
      <c r="J1224" s="1088"/>
      <c r="K1224" s="1088"/>
    </row>
    <row r="1225" spans="3:11" ht="12" customHeight="1">
      <c r="C1225" s="891"/>
      <c r="D1225" s="891"/>
      <c r="E1225" s="891"/>
      <c r="F1225" s="891"/>
      <c r="G1225" s="891"/>
      <c r="H1225" s="1088"/>
      <c r="I1225" s="1088"/>
      <c r="J1225" s="1088"/>
      <c r="K1225" s="1088"/>
    </row>
    <row r="1226" spans="3:11" ht="12" customHeight="1">
      <c r="C1226" s="891"/>
      <c r="D1226" s="891"/>
      <c r="E1226" s="891"/>
      <c r="F1226" s="891"/>
      <c r="G1226" s="891"/>
      <c r="H1226" s="1088"/>
      <c r="I1226" s="1088"/>
      <c r="J1226" s="1088"/>
      <c r="K1226" s="1088"/>
    </row>
    <row r="1227" spans="3:11" ht="12" customHeight="1">
      <c r="C1227" s="891"/>
      <c r="D1227" s="891"/>
      <c r="E1227" s="891"/>
      <c r="F1227" s="891"/>
      <c r="G1227" s="891"/>
      <c r="H1227" s="1088"/>
      <c r="I1227" s="1088"/>
      <c r="J1227" s="1088"/>
      <c r="K1227" s="1088"/>
    </row>
    <row r="1228" spans="3:11" ht="12" customHeight="1">
      <c r="C1228" s="891"/>
      <c r="D1228" s="891"/>
      <c r="E1228" s="891"/>
      <c r="F1228" s="891"/>
      <c r="G1228" s="891"/>
      <c r="H1228" s="1088"/>
      <c r="I1228" s="1088"/>
      <c r="J1228" s="1088"/>
      <c r="K1228" s="1088"/>
    </row>
    <row r="1229" spans="3:11" ht="12" customHeight="1">
      <c r="C1229" s="891"/>
      <c r="D1229" s="891"/>
      <c r="E1229" s="891"/>
      <c r="F1229" s="891"/>
      <c r="G1229" s="891"/>
      <c r="H1229" s="1088"/>
      <c r="I1229" s="1088"/>
      <c r="J1229" s="1088"/>
      <c r="K1229" s="1088"/>
    </row>
    <row r="1230" spans="3:11" ht="12" customHeight="1">
      <c r="C1230" s="891"/>
      <c r="D1230" s="891"/>
      <c r="E1230" s="891"/>
      <c r="F1230" s="891"/>
      <c r="G1230" s="891"/>
      <c r="H1230" s="1088"/>
      <c r="I1230" s="1088"/>
      <c r="J1230" s="1088"/>
      <c r="K1230" s="1088"/>
    </row>
    <row r="1231" spans="3:11" ht="12" customHeight="1">
      <c r="C1231" s="891"/>
      <c r="D1231" s="891"/>
      <c r="E1231" s="891"/>
      <c r="F1231" s="891"/>
      <c r="G1231" s="891"/>
      <c r="H1231" s="1088"/>
      <c r="I1231" s="1088"/>
      <c r="J1231" s="1088"/>
      <c r="K1231" s="1088"/>
    </row>
    <row r="1232" spans="3:11" ht="12" customHeight="1">
      <c r="C1232" s="891"/>
      <c r="D1232" s="891"/>
      <c r="E1232" s="891"/>
      <c r="F1232" s="891"/>
      <c r="G1232" s="891"/>
      <c r="H1232" s="1088"/>
      <c r="I1232" s="1088"/>
      <c r="J1232" s="1088"/>
      <c r="K1232" s="1088"/>
    </row>
    <row r="1233" spans="3:11" ht="12" customHeight="1">
      <c r="C1233" s="891"/>
      <c r="D1233" s="891"/>
      <c r="E1233" s="891"/>
      <c r="F1233" s="891"/>
      <c r="G1233" s="891"/>
      <c r="H1233" s="1088"/>
      <c r="I1233" s="1088"/>
      <c r="J1233" s="1088"/>
      <c r="K1233" s="1088"/>
    </row>
    <row r="1234" spans="3:11" ht="12" customHeight="1">
      <c r="C1234" s="891"/>
      <c r="D1234" s="891"/>
      <c r="E1234" s="891"/>
      <c r="F1234" s="891"/>
      <c r="G1234" s="891"/>
      <c r="H1234" s="1088"/>
      <c r="I1234" s="1088"/>
      <c r="J1234" s="1088"/>
      <c r="K1234" s="1088"/>
    </row>
    <row r="1235" spans="3:11" ht="12" customHeight="1">
      <c r="C1235" s="891"/>
      <c r="D1235" s="891"/>
      <c r="E1235" s="891"/>
      <c r="F1235" s="891"/>
      <c r="G1235" s="891"/>
      <c r="H1235" s="1088"/>
      <c r="I1235" s="1088"/>
      <c r="J1235" s="1088"/>
      <c r="K1235" s="1088"/>
    </row>
    <row r="1236" spans="3:11" ht="12" customHeight="1">
      <c r="C1236" s="891"/>
      <c r="D1236" s="891"/>
      <c r="E1236" s="891"/>
      <c r="F1236" s="891"/>
      <c r="G1236" s="891"/>
      <c r="H1236" s="1088"/>
      <c r="I1236" s="1088"/>
      <c r="J1236" s="1088"/>
      <c r="K1236" s="1088"/>
    </row>
    <row r="1237" spans="3:11" ht="12" customHeight="1">
      <c r="C1237" s="891"/>
      <c r="D1237" s="891"/>
      <c r="E1237" s="891"/>
      <c r="F1237" s="891"/>
      <c r="G1237" s="891"/>
      <c r="H1237" s="1088"/>
      <c r="I1237" s="1088"/>
      <c r="J1237" s="1088"/>
      <c r="K1237" s="1088"/>
    </row>
    <row r="1238" spans="3:11" ht="12" customHeight="1">
      <c r="C1238" s="891"/>
      <c r="D1238" s="891"/>
      <c r="E1238" s="891"/>
      <c r="F1238" s="891"/>
      <c r="G1238" s="891"/>
      <c r="H1238" s="1088"/>
      <c r="I1238" s="1088"/>
      <c r="J1238" s="1088"/>
      <c r="K1238" s="1088"/>
    </row>
    <row r="1239" spans="3:11" ht="12" customHeight="1">
      <c r="C1239" s="891"/>
      <c r="D1239" s="891"/>
      <c r="E1239" s="891"/>
      <c r="F1239" s="891"/>
      <c r="G1239" s="891"/>
      <c r="H1239" s="1088"/>
      <c r="I1239" s="1088"/>
      <c r="J1239" s="1088"/>
      <c r="K1239" s="1088"/>
    </row>
    <row r="1240" spans="3:11" ht="12" customHeight="1">
      <c r="C1240" s="891"/>
      <c r="D1240" s="891"/>
      <c r="E1240" s="891"/>
      <c r="F1240" s="891"/>
      <c r="G1240" s="891"/>
      <c r="H1240" s="1088"/>
      <c r="I1240" s="1088"/>
      <c r="J1240" s="1088"/>
      <c r="K1240" s="1088"/>
    </row>
    <row r="1241" spans="3:11" ht="12" customHeight="1">
      <c r="C1241" s="891"/>
      <c r="D1241" s="891"/>
      <c r="E1241" s="891"/>
      <c r="F1241" s="891"/>
      <c r="G1241" s="891"/>
      <c r="H1241" s="1088"/>
      <c r="I1241" s="1088"/>
      <c r="J1241" s="1088"/>
      <c r="K1241" s="1088"/>
    </row>
    <row r="1242" spans="3:11" ht="12" customHeight="1">
      <c r="C1242" s="891"/>
      <c r="D1242" s="891"/>
      <c r="E1242" s="891"/>
      <c r="F1242" s="891"/>
      <c r="G1242" s="891"/>
      <c r="H1242" s="1088"/>
      <c r="I1242" s="1088"/>
      <c r="J1242" s="1088"/>
      <c r="K1242" s="1088"/>
    </row>
    <row r="1243" spans="3:11" ht="12" customHeight="1">
      <c r="C1243" s="891"/>
      <c r="D1243" s="891"/>
      <c r="E1243" s="891"/>
      <c r="F1243" s="891"/>
      <c r="G1243" s="891"/>
      <c r="H1243" s="1088"/>
      <c r="I1243" s="1088"/>
      <c r="J1243" s="1088"/>
      <c r="K1243" s="1088"/>
    </row>
    <row r="1244" spans="3:11" ht="12" customHeight="1">
      <c r="C1244" s="891"/>
      <c r="D1244" s="891"/>
      <c r="E1244" s="891"/>
      <c r="F1244" s="891"/>
      <c r="G1244" s="891"/>
      <c r="H1244" s="1088"/>
      <c r="I1244" s="1088"/>
      <c r="J1244" s="1088"/>
      <c r="K1244" s="1088"/>
    </row>
    <row r="1245" spans="3:11" ht="12" customHeight="1">
      <c r="C1245" s="891"/>
      <c r="D1245" s="891"/>
      <c r="E1245" s="891"/>
      <c r="F1245" s="891"/>
      <c r="G1245" s="891"/>
      <c r="H1245" s="1088"/>
      <c r="I1245" s="1088"/>
      <c r="J1245" s="1088"/>
      <c r="K1245" s="1088"/>
    </row>
    <row r="1246" spans="3:11" ht="12" customHeight="1">
      <c r="C1246" s="891"/>
      <c r="D1246" s="891"/>
      <c r="E1246" s="891"/>
      <c r="F1246" s="891"/>
      <c r="G1246" s="891"/>
      <c r="H1246" s="1088"/>
      <c r="I1246" s="1088"/>
      <c r="J1246" s="1088"/>
      <c r="K1246" s="1088"/>
    </row>
    <row r="1247" spans="3:11" ht="12" customHeight="1">
      <c r="C1247" s="891"/>
      <c r="D1247" s="891"/>
      <c r="E1247" s="891"/>
      <c r="F1247" s="891"/>
      <c r="G1247" s="891"/>
      <c r="H1247" s="1088"/>
      <c r="I1247" s="1088"/>
      <c r="J1247" s="1088"/>
      <c r="K1247" s="1088"/>
    </row>
    <row r="1248" spans="3:11" ht="12" customHeight="1">
      <c r="C1248" s="891"/>
      <c r="D1248" s="891"/>
      <c r="E1248" s="891"/>
      <c r="F1248" s="891"/>
      <c r="G1248" s="891"/>
      <c r="H1248" s="1088"/>
      <c r="I1248" s="1088"/>
      <c r="J1248" s="1088"/>
      <c r="K1248" s="1088"/>
    </row>
    <row r="1249" spans="3:11" ht="12" customHeight="1">
      <c r="C1249" s="891"/>
      <c r="D1249" s="891"/>
      <c r="E1249" s="891"/>
      <c r="F1249" s="891"/>
      <c r="G1249" s="891"/>
      <c r="H1249" s="1088"/>
      <c r="I1249" s="1088"/>
      <c r="J1249" s="1088"/>
      <c r="K1249" s="1088"/>
    </row>
    <row r="1250" spans="3:11" ht="12" customHeight="1">
      <c r="C1250" s="891"/>
      <c r="D1250" s="891"/>
      <c r="E1250" s="891"/>
      <c r="F1250" s="891"/>
      <c r="G1250" s="891"/>
      <c r="H1250" s="1088"/>
      <c r="I1250" s="1088"/>
      <c r="J1250" s="1088"/>
      <c r="K1250" s="1088"/>
    </row>
    <row r="1251" spans="3:11" ht="12" customHeight="1">
      <c r="C1251" s="891"/>
      <c r="D1251" s="891"/>
      <c r="E1251" s="891"/>
      <c r="F1251" s="891"/>
      <c r="G1251" s="891"/>
      <c r="H1251" s="1088"/>
      <c r="I1251" s="1088"/>
      <c r="J1251" s="1088"/>
      <c r="K1251" s="1088"/>
    </row>
    <row r="1252" spans="3:11" ht="12" customHeight="1">
      <c r="C1252" s="891"/>
      <c r="D1252" s="891"/>
      <c r="E1252" s="891"/>
      <c r="F1252" s="891"/>
      <c r="G1252" s="891"/>
      <c r="H1252" s="1088"/>
      <c r="I1252" s="1088"/>
      <c r="J1252" s="1088"/>
      <c r="K1252" s="1088"/>
    </row>
    <row r="1253" spans="3:11" ht="12" customHeight="1">
      <c r="C1253" s="891"/>
      <c r="D1253" s="891"/>
      <c r="E1253" s="891"/>
      <c r="F1253" s="891"/>
      <c r="G1253" s="891"/>
      <c r="H1253" s="1088"/>
      <c r="I1253" s="1088"/>
      <c r="J1253" s="1088"/>
      <c r="K1253" s="1088"/>
    </row>
    <row r="1254" spans="3:11" ht="12" customHeight="1">
      <c r="C1254" s="891"/>
      <c r="D1254" s="891"/>
      <c r="E1254" s="891"/>
      <c r="F1254" s="891"/>
      <c r="G1254" s="891"/>
      <c r="H1254" s="1088"/>
      <c r="I1254" s="1088"/>
      <c r="J1254" s="1088"/>
      <c r="K1254" s="1088"/>
    </row>
    <row r="1255" spans="3:11" ht="12" customHeight="1">
      <c r="C1255" s="891"/>
      <c r="D1255" s="891"/>
      <c r="E1255" s="891"/>
      <c r="F1255" s="891"/>
      <c r="G1255" s="891"/>
      <c r="H1255" s="1088"/>
      <c r="I1255" s="1088"/>
      <c r="J1255" s="1088"/>
      <c r="K1255" s="1088"/>
    </row>
    <row r="1256" spans="3:11" ht="12" customHeight="1">
      <c r="C1256" s="891"/>
      <c r="D1256" s="891"/>
      <c r="E1256" s="891"/>
      <c r="F1256" s="891"/>
      <c r="G1256" s="891"/>
      <c r="H1256" s="1088"/>
      <c r="I1256" s="1088"/>
      <c r="J1256" s="1088"/>
      <c r="K1256" s="1088"/>
    </row>
    <row r="1257" spans="3:11" ht="12" customHeight="1">
      <c r="C1257" s="891"/>
      <c r="D1257" s="891"/>
      <c r="E1257" s="891"/>
      <c r="F1257" s="891"/>
      <c r="G1257" s="891"/>
      <c r="H1257" s="1088"/>
      <c r="I1257" s="1088"/>
      <c r="J1257" s="1088"/>
      <c r="K1257" s="1088"/>
    </row>
    <row r="1258" spans="3:11" ht="12" customHeight="1">
      <c r="C1258" s="891"/>
      <c r="D1258" s="891"/>
      <c r="E1258" s="891"/>
      <c r="F1258" s="891"/>
      <c r="G1258" s="891"/>
      <c r="H1258" s="1088"/>
      <c r="I1258" s="1088"/>
      <c r="J1258" s="1088"/>
      <c r="K1258" s="1088"/>
    </row>
    <row r="1259" spans="3:11" ht="12" customHeight="1">
      <c r="C1259" s="891"/>
      <c r="D1259" s="891"/>
      <c r="E1259" s="891"/>
      <c r="F1259" s="891"/>
      <c r="G1259" s="891"/>
      <c r="H1259" s="1088"/>
      <c r="I1259" s="1088"/>
      <c r="J1259" s="1088"/>
      <c r="K1259" s="1088"/>
    </row>
    <row r="1260" spans="3:11" ht="12" customHeight="1">
      <c r="C1260" s="891"/>
      <c r="D1260" s="891"/>
      <c r="E1260" s="891"/>
      <c r="F1260" s="891"/>
      <c r="G1260" s="891"/>
      <c r="H1260" s="1088"/>
      <c r="I1260" s="1088"/>
      <c r="J1260" s="1088"/>
      <c r="K1260" s="1088"/>
    </row>
    <row r="1261" spans="3:11" ht="12" customHeight="1">
      <c r="C1261" s="891"/>
      <c r="D1261" s="891"/>
      <c r="E1261" s="891"/>
      <c r="F1261" s="891"/>
      <c r="G1261" s="891"/>
      <c r="H1261" s="1088"/>
      <c r="I1261" s="1088"/>
      <c r="J1261" s="1088"/>
      <c r="K1261" s="1088"/>
    </row>
    <row r="1262" spans="3:11" ht="12" customHeight="1">
      <c r="C1262" s="891"/>
      <c r="D1262" s="891"/>
      <c r="E1262" s="891"/>
      <c r="F1262" s="891"/>
      <c r="G1262" s="891"/>
      <c r="H1262" s="1088"/>
      <c r="I1262" s="1088"/>
      <c r="J1262" s="1088"/>
      <c r="K1262" s="1088"/>
    </row>
    <row r="1263" spans="3:11" ht="12" customHeight="1">
      <c r="C1263" s="891"/>
      <c r="D1263" s="891"/>
      <c r="E1263" s="891"/>
      <c r="F1263" s="891"/>
      <c r="G1263" s="891"/>
      <c r="H1263" s="1088"/>
      <c r="I1263" s="1088"/>
      <c r="J1263" s="1088"/>
      <c r="K1263" s="1088"/>
    </row>
    <row r="1264" spans="3:11" ht="12" customHeight="1">
      <c r="C1264" s="891"/>
      <c r="D1264" s="891"/>
      <c r="E1264" s="891"/>
      <c r="F1264" s="891"/>
      <c r="G1264" s="891"/>
      <c r="H1264" s="1088"/>
      <c r="I1264" s="1088"/>
      <c r="J1264" s="1088"/>
      <c r="K1264" s="1088"/>
    </row>
    <row r="1265" spans="3:11" ht="12" customHeight="1">
      <c r="C1265" s="891"/>
      <c r="D1265" s="891"/>
      <c r="E1265" s="891"/>
      <c r="F1265" s="891"/>
      <c r="G1265" s="891"/>
      <c r="H1265" s="1088"/>
      <c r="I1265" s="1088"/>
      <c r="J1265" s="1088"/>
      <c r="K1265" s="1088"/>
    </row>
    <row r="1266" spans="3:11" ht="12" customHeight="1">
      <c r="C1266" s="891"/>
      <c r="D1266" s="891"/>
      <c r="E1266" s="891"/>
      <c r="F1266" s="891"/>
      <c r="G1266" s="891"/>
      <c r="H1266" s="1088"/>
      <c r="I1266" s="1088"/>
      <c r="J1266" s="1088"/>
      <c r="K1266" s="1088"/>
    </row>
    <row r="1267" spans="3:11" ht="12" customHeight="1">
      <c r="C1267" s="891"/>
      <c r="D1267" s="891"/>
      <c r="E1267" s="891"/>
      <c r="F1267" s="891"/>
      <c r="G1267" s="891"/>
      <c r="H1267" s="1088"/>
      <c r="I1267" s="1088"/>
      <c r="J1267" s="1088"/>
      <c r="K1267" s="1088"/>
    </row>
    <row r="1268" spans="3:11" ht="12" customHeight="1">
      <c r="C1268" s="891"/>
      <c r="D1268" s="891"/>
      <c r="E1268" s="891"/>
      <c r="F1268" s="891"/>
      <c r="G1268" s="891"/>
      <c r="H1268" s="1088"/>
      <c r="I1268" s="1088"/>
      <c r="J1268" s="1088"/>
      <c r="K1268" s="1088"/>
    </row>
    <row r="1269" spans="3:11" ht="12" customHeight="1">
      <c r="C1269" s="891"/>
      <c r="D1269" s="891"/>
      <c r="E1269" s="891"/>
      <c r="F1269" s="891"/>
      <c r="G1269" s="891"/>
      <c r="H1269" s="1088"/>
      <c r="I1269" s="1088"/>
      <c r="J1269" s="1088"/>
      <c r="K1269" s="1088"/>
    </row>
    <row r="1270" spans="3:11" ht="12" customHeight="1">
      <c r="C1270" s="891"/>
      <c r="D1270" s="891"/>
      <c r="E1270" s="891"/>
      <c r="F1270" s="891"/>
      <c r="G1270" s="891"/>
      <c r="H1270" s="1088"/>
      <c r="I1270" s="1088"/>
      <c r="J1270" s="1088"/>
      <c r="K1270" s="1088"/>
    </row>
    <row r="1271" spans="3:11" ht="12" customHeight="1">
      <c r="C1271" s="891"/>
      <c r="D1271" s="891"/>
      <c r="E1271" s="891"/>
      <c r="F1271" s="891"/>
      <c r="G1271" s="891"/>
      <c r="H1271" s="1088"/>
      <c r="I1271" s="1088"/>
      <c r="J1271" s="1088"/>
      <c r="K1271" s="1088"/>
    </row>
    <row r="1272" spans="3:11" ht="12" customHeight="1">
      <c r="C1272" s="891"/>
      <c r="D1272" s="891"/>
      <c r="E1272" s="891"/>
      <c r="F1272" s="891"/>
      <c r="G1272" s="891"/>
      <c r="H1272" s="1088"/>
      <c r="I1272" s="1088"/>
      <c r="J1272" s="1088"/>
      <c r="K1272" s="1088"/>
    </row>
    <row r="1273" spans="3:11" ht="12" customHeight="1">
      <c r="C1273" s="891"/>
      <c r="D1273" s="891"/>
      <c r="E1273" s="891"/>
      <c r="F1273" s="891"/>
      <c r="G1273" s="891"/>
      <c r="H1273" s="1088"/>
      <c r="I1273" s="1088"/>
      <c r="J1273" s="1088"/>
      <c r="K1273" s="1088"/>
    </row>
    <row r="1274" spans="3:11" ht="12" customHeight="1">
      <c r="C1274" s="891"/>
      <c r="D1274" s="891"/>
      <c r="E1274" s="891"/>
      <c r="F1274" s="891"/>
      <c r="G1274" s="891"/>
      <c r="H1274" s="1088"/>
      <c r="I1274" s="1088"/>
      <c r="J1274" s="1088"/>
      <c r="K1274" s="1088"/>
    </row>
    <row r="1275" spans="3:11" ht="12" customHeight="1">
      <c r="C1275" s="891"/>
      <c r="D1275" s="891"/>
      <c r="E1275" s="891"/>
      <c r="F1275" s="891"/>
      <c r="G1275" s="891"/>
      <c r="H1275" s="1088"/>
      <c r="I1275" s="1088"/>
      <c r="J1275" s="1088"/>
      <c r="K1275" s="1088"/>
    </row>
    <row r="1276" spans="3:11" ht="12" customHeight="1">
      <c r="C1276" s="891"/>
      <c r="D1276" s="891"/>
      <c r="E1276" s="891"/>
      <c r="F1276" s="891"/>
      <c r="G1276" s="891"/>
      <c r="H1276" s="1088"/>
      <c r="I1276" s="1088"/>
      <c r="J1276" s="1088"/>
      <c r="K1276" s="1088"/>
    </row>
    <row r="1277" spans="3:11" ht="12" customHeight="1">
      <c r="C1277" s="891"/>
      <c r="D1277" s="891"/>
      <c r="E1277" s="891"/>
      <c r="F1277" s="891"/>
      <c r="G1277" s="891"/>
      <c r="H1277" s="1088"/>
      <c r="I1277" s="1088"/>
      <c r="J1277" s="1088"/>
      <c r="K1277" s="1088"/>
    </row>
    <row r="1278" spans="3:11" ht="12" customHeight="1">
      <c r="C1278" s="891"/>
      <c r="D1278" s="891"/>
      <c r="E1278" s="891"/>
      <c r="F1278" s="891"/>
      <c r="G1278" s="891"/>
      <c r="H1278" s="1088"/>
      <c r="I1278" s="1088"/>
      <c r="J1278" s="1088"/>
      <c r="K1278" s="1088"/>
    </row>
    <row r="1279" spans="3:11" ht="12" customHeight="1">
      <c r="C1279" s="891"/>
      <c r="D1279" s="891"/>
      <c r="E1279" s="891"/>
      <c r="F1279" s="891"/>
      <c r="G1279" s="891"/>
      <c r="H1279" s="1088"/>
      <c r="I1279" s="1088"/>
      <c r="J1279" s="1088"/>
      <c r="K1279" s="1088"/>
    </row>
    <row r="1280" spans="3:11" ht="12" customHeight="1">
      <c r="C1280" s="891"/>
      <c r="D1280" s="891"/>
      <c r="E1280" s="891"/>
      <c r="F1280" s="891"/>
      <c r="G1280" s="891"/>
      <c r="H1280" s="1088"/>
      <c r="I1280" s="1088"/>
      <c r="J1280" s="1088"/>
      <c r="K1280" s="1088"/>
    </row>
    <row r="1281" spans="3:11" ht="12" customHeight="1">
      <c r="C1281" s="891"/>
      <c r="D1281" s="891"/>
      <c r="E1281" s="891"/>
      <c r="F1281" s="891"/>
      <c r="G1281" s="891"/>
      <c r="H1281" s="1088"/>
      <c r="I1281" s="1088"/>
      <c r="J1281" s="1088"/>
      <c r="K1281" s="1088"/>
    </row>
    <row r="1282" spans="3:11" ht="12" customHeight="1">
      <c r="C1282" s="891"/>
      <c r="D1282" s="891"/>
      <c r="E1282" s="891"/>
      <c r="F1282" s="891"/>
      <c r="G1282" s="891"/>
      <c r="H1282" s="1088"/>
      <c r="I1282" s="1088"/>
      <c r="J1282" s="1088"/>
      <c r="K1282" s="1088"/>
    </row>
    <row r="1283" spans="3:11" ht="12" customHeight="1">
      <c r="C1283" s="891"/>
      <c r="D1283" s="891"/>
      <c r="E1283" s="891"/>
      <c r="F1283" s="891"/>
      <c r="G1283" s="891"/>
      <c r="H1283" s="1088"/>
      <c r="I1283" s="1088"/>
      <c r="J1283" s="1088"/>
      <c r="K1283" s="1088"/>
    </row>
    <row r="1284" spans="3:11" ht="12" customHeight="1">
      <c r="C1284" s="891"/>
      <c r="D1284" s="891"/>
      <c r="E1284" s="891"/>
      <c r="F1284" s="891"/>
      <c r="G1284" s="891"/>
      <c r="H1284" s="1088"/>
      <c r="I1284" s="1088"/>
      <c r="J1284" s="1088"/>
      <c r="K1284" s="1088"/>
    </row>
    <row r="1285" spans="3:11" ht="12" customHeight="1">
      <c r="C1285" s="891"/>
      <c r="D1285" s="891"/>
      <c r="E1285" s="891"/>
      <c r="F1285" s="891"/>
      <c r="G1285" s="891"/>
      <c r="H1285" s="1088"/>
      <c r="I1285" s="1088"/>
      <c r="J1285" s="1088"/>
      <c r="K1285" s="1088"/>
    </row>
    <row r="1286" spans="3:11" ht="12" customHeight="1">
      <c r="C1286" s="891"/>
      <c r="D1286" s="891"/>
      <c r="E1286" s="891"/>
      <c r="F1286" s="891"/>
      <c r="G1286" s="891"/>
      <c r="H1286" s="1088"/>
      <c r="I1286" s="1088"/>
      <c r="J1286" s="1088"/>
      <c r="K1286" s="1088"/>
    </row>
    <row r="1287" spans="3:11" ht="12" customHeight="1">
      <c r="C1287" s="891"/>
      <c r="D1287" s="891"/>
      <c r="E1287" s="891"/>
      <c r="F1287" s="891"/>
      <c r="G1287" s="891"/>
      <c r="H1287" s="1088"/>
      <c r="I1287" s="1088"/>
      <c r="J1287" s="1088"/>
      <c r="K1287" s="1088"/>
    </row>
    <row r="1288" spans="3:11" ht="12" customHeight="1">
      <c r="C1288" s="891"/>
      <c r="D1288" s="891"/>
      <c r="E1288" s="891"/>
      <c r="F1288" s="891"/>
      <c r="G1288" s="891"/>
      <c r="H1288" s="1088"/>
      <c r="I1288" s="1088"/>
      <c r="J1288" s="1088"/>
      <c r="K1288" s="1088"/>
    </row>
    <row r="1289" spans="3:11" ht="12" customHeight="1">
      <c r="C1289" s="891"/>
      <c r="D1289" s="891"/>
      <c r="E1289" s="891"/>
      <c r="F1289" s="891"/>
      <c r="G1289" s="891"/>
      <c r="H1289" s="1088"/>
      <c r="I1289" s="1088"/>
      <c r="J1289" s="1088"/>
      <c r="K1289" s="1088"/>
    </row>
    <row r="1290" spans="3:11" ht="12" customHeight="1">
      <c r="C1290" s="891"/>
      <c r="D1290" s="891"/>
      <c r="E1290" s="891"/>
      <c r="F1290" s="891"/>
      <c r="G1290" s="891"/>
      <c r="H1290" s="1088"/>
      <c r="I1290" s="1088"/>
      <c r="J1290" s="1088"/>
      <c r="K1290" s="1088"/>
    </row>
    <row r="1291" spans="3:11" ht="12" customHeight="1">
      <c r="C1291" s="891"/>
      <c r="D1291" s="891"/>
      <c r="E1291" s="891"/>
      <c r="F1291" s="891"/>
      <c r="G1291" s="891"/>
      <c r="H1291" s="1088"/>
      <c r="I1291" s="1088"/>
      <c r="J1291" s="1088"/>
      <c r="K1291" s="1088"/>
    </row>
    <row r="1292" spans="3:11" ht="12" customHeight="1">
      <c r="C1292" s="891"/>
      <c r="D1292" s="891"/>
      <c r="E1292" s="891"/>
      <c r="F1292" s="891"/>
      <c r="G1292" s="891"/>
      <c r="H1292" s="1088"/>
      <c r="I1292" s="1088"/>
      <c r="J1292" s="1088"/>
      <c r="K1292" s="1088"/>
    </row>
    <row r="1293" spans="3:11" ht="12" customHeight="1">
      <c r="C1293" s="891"/>
      <c r="D1293" s="891"/>
      <c r="E1293" s="891"/>
      <c r="F1293" s="891"/>
      <c r="G1293" s="891"/>
      <c r="H1293" s="1088"/>
      <c r="I1293" s="1088"/>
      <c r="J1293" s="1088"/>
      <c r="K1293" s="1088"/>
    </row>
    <row r="1294" spans="3:11" ht="12" customHeight="1">
      <c r="C1294" s="891"/>
      <c r="D1294" s="891"/>
      <c r="E1294" s="891"/>
      <c r="F1294" s="891"/>
      <c r="G1294" s="891"/>
      <c r="H1294" s="1088"/>
      <c r="I1294" s="1088"/>
      <c r="J1294" s="1088"/>
      <c r="K1294" s="1088"/>
    </row>
    <row r="1295" spans="3:11" ht="12" customHeight="1">
      <c r="C1295" s="891"/>
      <c r="D1295" s="891"/>
      <c r="E1295" s="891"/>
      <c r="F1295" s="891"/>
      <c r="G1295" s="891"/>
      <c r="H1295" s="1088"/>
      <c r="I1295" s="1088"/>
      <c r="J1295" s="1088"/>
      <c r="K1295" s="1088"/>
    </row>
    <row r="1296" spans="3:11" ht="12" customHeight="1">
      <c r="C1296" s="891"/>
      <c r="D1296" s="891"/>
      <c r="E1296" s="891"/>
      <c r="F1296" s="891"/>
      <c r="G1296" s="891"/>
      <c r="H1296" s="1088"/>
      <c r="I1296" s="1088"/>
      <c r="J1296" s="1088"/>
      <c r="K1296" s="1088"/>
    </row>
    <row r="1297" spans="3:11" ht="12" customHeight="1">
      <c r="C1297" s="891"/>
      <c r="D1297" s="891"/>
      <c r="E1297" s="891"/>
      <c r="F1297" s="891"/>
      <c r="G1297" s="891"/>
      <c r="H1297" s="1088"/>
      <c r="I1297" s="1088"/>
      <c r="J1297" s="1088"/>
      <c r="K1297" s="1088"/>
    </row>
    <row r="1298" spans="3:11" ht="12" customHeight="1">
      <c r="C1298" s="891"/>
      <c r="D1298" s="891"/>
      <c r="E1298" s="891"/>
      <c r="F1298" s="891"/>
      <c r="G1298" s="891"/>
      <c r="H1298" s="1088"/>
      <c r="I1298" s="1088"/>
      <c r="J1298" s="1088"/>
      <c r="K1298" s="1088"/>
    </row>
    <row r="1299" spans="3:11" ht="12" customHeight="1">
      <c r="C1299" s="891"/>
      <c r="D1299" s="891"/>
      <c r="E1299" s="891"/>
      <c r="F1299" s="891"/>
      <c r="G1299" s="891"/>
      <c r="H1299" s="1088"/>
      <c r="I1299" s="1088"/>
      <c r="J1299" s="1088"/>
      <c r="K1299" s="1088"/>
    </row>
    <row r="1300" spans="3:11" ht="12" customHeight="1">
      <c r="C1300" s="891"/>
      <c r="D1300" s="891"/>
      <c r="E1300" s="891"/>
      <c r="F1300" s="891"/>
      <c r="G1300" s="891"/>
      <c r="H1300" s="1088"/>
      <c r="I1300" s="1088"/>
      <c r="J1300" s="1088"/>
      <c r="K1300" s="1088"/>
    </row>
    <row r="1301" spans="3:11" ht="12" customHeight="1">
      <c r="C1301" s="891"/>
      <c r="D1301" s="891"/>
      <c r="E1301" s="891"/>
      <c r="F1301" s="891"/>
      <c r="G1301" s="891"/>
      <c r="H1301" s="1088"/>
      <c r="I1301" s="1088"/>
      <c r="J1301" s="1088"/>
      <c r="K1301" s="1088"/>
    </row>
    <row r="1302" spans="3:11" ht="12" customHeight="1">
      <c r="C1302" s="891"/>
      <c r="D1302" s="891"/>
      <c r="E1302" s="891"/>
      <c r="F1302" s="891"/>
      <c r="G1302" s="891"/>
      <c r="H1302" s="1088"/>
      <c r="I1302" s="1088"/>
      <c r="J1302" s="1088"/>
      <c r="K1302" s="1088"/>
    </row>
    <row r="1303" spans="3:11" ht="12" customHeight="1">
      <c r="C1303" s="891"/>
      <c r="D1303" s="891"/>
      <c r="E1303" s="891"/>
      <c r="F1303" s="891"/>
      <c r="G1303" s="891"/>
      <c r="H1303" s="1088"/>
      <c r="I1303" s="1088"/>
      <c r="J1303" s="1088"/>
      <c r="K1303" s="1088"/>
    </row>
    <row r="1304" spans="3:11" ht="12" customHeight="1">
      <c r="C1304" s="891"/>
      <c r="D1304" s="891"/>
      <c r="E1304" s="891"/>
      <c r="F1304" s="891"/>
      <c r="G1304" s="891"/>
      <c r="H1304" s="1088"/>
      <c r="I1304" s="1088"/>
      <c r="J1304" s="1088"/>
      <c r="K1304" s="1088"/>
    </row>
    <row r="1305" spans="3:11" ht="12" customHeight="1">
      <c r="C1305" s="891"/>
      <c r="D1305" s="891"/>
      <c r="E1305" s="891"/>
      <c r="F1305" s="891"/>
      <c r="G1305" s="891"/>
      <c r="H1305" s="1088"/>
      <c r="I1305" s="1088"/>
      <c r="J1305" s="1088"/>
      <c r="K1305" s="1088"/>
    </row>
    <row r="1306" spans="3:11" ht="12" customHeight="1">
      <c r="C1306" s="891"/>
      <c r="D1306" s="891"/>
      <c r="E1306" s="891"/>
      <c r="F1306" s="891"/>
      <c r="G1306" s="891"/>
      <c r="H1306" s="1088"/>
      <c r="I1306" s="1088"/>
      <c r="J1306" s="1088"/>
      <c r="K1306" s="1088"/>
    </row>
    <row r="1307" spans="3:11" ht="12" customHeight="1">
      <c r="C1307" s="891"/>
      <c r="D1307" s="891"/>
      <c r="E1307" s="891"/>
      <c r="F1307" s="891"/>
      <c r="G1307" s="891"/>
      <c r="H1307" s="1088"/>
      <c r="I1307" s="1088"/>
      <c r="J1307" s="1088"/>
      <c r="K1307" s="1088"/>
    </row>
    <row r="1308" spans="3:11" ht="12" customHeight="1">
      <c r="C1308" s="891"/>
      <c r="D1308" s="891"/>
      <c r="E1308" s="891"/>
      <c r="F1308" s="891"/>
      <c r="G1308" s="891"/>
      <c r="H1308" s="1088"/>
      <c r="I1308" s="1088"/>
      <c r="J1308" s="1088"/>
      <c r="K1308" s="1088"/>
    </row>
    <row r="1309" spans="3:11" ht="12" customHeight="1">
      <c r="C1309" s="891"/>
      <c r="D1309" s="891"/>
      <c r="E1309" s="891"/>
      <c r="F1309" s="891"/>
      <c r="G1309" s="891"/>
      <c r="H1309" s="1088"/>
      <c r="I1309" s="1088"/>
      <c r="J1309" s="1088"/>
      <c r="K1309" s="1088"/>
    </row>
    <row r="1310" spans="3:11" ht="12" customHeight="1">
      <c r="C1310" s="891"/>
      <c r="D1310" s="891"/>
      <c r="E1310" s="891"/>
      <c r="F1310" s="891"/>
      <c r="G1310" s="891"/>
      <c r="H1310" s="1088"/>
      <c r="I1310" s="1088"/>
      <c r="J1310" s="1088"/>
      <c r="K1310" s="1088"/>
    </row>
    <row r="1311" spans="3:11" ht="12" customHeight="1">
      <c r="C1311" s="891"/>
      <c r="D1311" s="891"/>
      <c r="E1311" s="891"/>
      <c r="F1311" s="891"/>
      <c r="G1311" s="891"/>
      <c r="H1311" s="1088"/>
      <c r="I1311" s="1088"/>
      <c r="J1311" s="1088"/>
      <c r="K1311" s="1088"/>
    </row>
    <row r="1312" spans="3:11" ht="12" customHeight="1">
      <c r="C1312" s="891"/>
      <c r="D1312" s="891"/>
      <c r="E1312" s="891"/>
      <c r="F1312" s="891"/>
      <c r="G1312" s="891"/>
      <c r="H1312" s="1088"/>
      <c r="I1312" s="1088"/>
      <c r="J1312" s="1088"/>
      <c r="K1312" s="1088"/>
    </row>
    <row r="1313" spans="3:11" ht="12" customHeight="1">
      <c r="C1313" s="891"/>
      <c r="D1313" s="891"/>
      <c r="E1313" s="891"/>
      <c r="F1313" s="891"/>
      <c r="G1313" s="891"/>
      <c r="H1313" s="1088"/>
      <c r="I1313" s="1088"/>
      <c r="J1313" s="1088"/>
      <c r="K1313" s="1088"/>
    </row>
    <row r="1314" spans="3:11" ht="12" customHeight="1">
      <c r="C1314" s="891"/>
      <c r="D1314" s="891"/>
      <c r="E1314" s="891"/>
      <c r="F1314" s="891"/>
      <c r="G1314" s="891"/>
      <c r="H1314" s="1088"/>
      <c r="I1314" s="1088"/>
      <c r="J1314" s="1088"/>
      <c r="K1314" s="1088"/>
    </row>
    <row r="1315" spans="3:11" ht="12" customHeight="1">
      <c r="C1315" s="891"/>
      <c r="D1315" s="891"/>
      <c r="E1315" s="891"/>
      <c r="F1315" s="891"/>
      <c r="G1315" s="891"/>
      <c r="H1315" s="1088"/>
      <c r="I1315" s="1088"/>
      <c r="J1315" s="1088"/>
      <c r="K1315" s="1088"/>
    </row>
    <row r="1316" spans="3:11" ht="12" customHeight="1">
      <c r="C1316" s="891"/>
      <c r="D1316" s="891"/>
      <c r="E1316" s="891"/>
      <c r="F1316" s="891"/>
      <c r="G1316" s="891"/>
      <c r="H1316" s="1088"/>
      <c r="I1316" s="1088"/>
      <c r="J1316" s="1088"/>
      <c r="K1316" s="1088"/>
    </row>
    <row r="1317" spans="3:11" ht="12" customHeight="1">
      <c r="C1317" s="891"/>
      <c r="D1317" s="891"/>
      <c r="E1317" s="891"/>
      <c r="F1317" s="891"/>
      <c r="G1317" s="891"/>
      <c r="H1317" s="1088"/>
      <c r="I1317" s="1088"/>
      <c r="J1317" s="1088"/>
      <c r="K1317" s="1088"/>
    </row>
    <row r="1318" spans="3:11" ht="12" customHeight="1">
      <c r="C1318" s="891"/>
      <c r="D1318" s="891"/>
      <c r="E1318" s="891"/>
      <c r="F1318" s="891"/>
      <c r="G1318" s="891"/>
      <c r="H1318" s="1088"/>
      <c r="I1318" s="1088"/>
      <c r="J1318" s="1088"/>
      <c r="K1318" s="1088"/>
    </row>
    <row r="1319" spans="3:11" ht="12" customHeight="1">
      <c r="C1319" s="891"/>
      <c r="D1319" s="891"/>
      <c r="E1319" s="891"/>
      <c r="F1319" s="891"/>
      <c r="G1319" s="891"/>
      <c r="H1319" s="1088"/>
      <c r="I1319" s="1088"/>
      <c r="J1319" s="1088"/>
      <c r="K1319" s="1088"/>
    </row>
    <row r="1320" spans="3:11" ht="12" customHeight="1">
      <c r="C1320" s="891"/>
      <c r="D1320" s="891"/>
      <c r="E1320" s="891"/>
      <c r="F1320" s="891"/>
      <c r="G1320" s="891"/>
      <c r="H1320" s="1088"/>
      <c r="I1320" s="1088"/>
      <c r="J1320" s="1088"/>
      <c r="K1320" s="1088"/>
    </row>
    <row r="1321" spans="3:11" ht="12" customHeight="1">
      <c r="C1321" s="891"/>
      <c r="D1321" s="891"/>
      <c r="E1321" s="891"/>
      <c r="F1321" s="891"/>
      <c r="G1321" s="891"/>
      <c r="H1321" s="1088"/>
      <c r="I1321" s="1088"/>
      <c r="J1321" s="1088"/>
      <c r="K1321" s="1088"/>
    </row>
    <row r="1322" spans="3:11" ht="12" customHeight="1">
      <c r="C1322" s="891"/>
      <c r="D1322" s="891"/>
      <c r="E1322" s="891"/>
      <c r="F1322" s="891"/>
      <c r="G1322" s="891"/>
      <c r="H1322" s="1088"/>
      <c r="I1322" s="1088"/>
      <c r="J1322" s="1088"/>
      <c r="K1322" s="1088"/>
    </row>
    <row r="1323" spans="3:11" ht="12" customHeight="1">
      <c r="C1323" s="891"/>
      <c r="D1323" s="891"/>
      <c r="E1323" s="891"/>
      <c r="F1323" s="891"/>
      <c r="G1323" s="891"/>
      <c r="H1323" s="1088"/>
      <c r="I1323" s="1088"/>
      <c r="J1323" s="1088"/>
      <c r="K1323" s="1088"/>
    </row>
    <row r="1324" spans="3:11" ht="12" customHeight="1">
      <c r="C1324" s="891"/>
      <c r="D1324" s="891"/>
      <c r="E1324" s="891"/>
      <c r="F1324" s="891"/>
      <c r="G1324" s="891"/>
      <c r="H1324" s="1088"/>
      <c r="I1324" s="1088"/>
      <c r="J1324" s="1088"/>
      <c r="K1324" s="1088"/>
    </row>
    <row r="1325" spans="3:11" ht="12" customHeight="1">
      <c r="C1325" s="891"/>
      <c r="D1325" s="891"/>
      <c r="E1325" s="891"/>
      <c r="F1325" s="891"/>
      <c r="G1325" s="891"/>
      <c r="H1325" s="1088"/>
      <c r="I1325" s="1088"/>
      <c r="J1325" s="1088"/>
      <c r="K1325" s="1088"/>
    </row>
    <row r="1326" spans="3:11" ht="12" customHeight="1">
      <c r="C1326" s="891"/>
      <c r="D1326" s="891"/>
      <c r="E1326" s="891"/>
      <c r="F1326" s="891"/>
      <c r="G1326" s="891"/>
      <c r="H1326" s="1088"/>
      <c r="I1326" s="1088"/>
      <c r="J1326" s="1088"/>
      <c r="K1326" s="1088"/>
    </row>
    <row r="1327" spans="3:11" ht="12" customHeight="1">
      <c r="C1327" s="891"/>
      <c r="D1327" s="891"/>
      <c r="E1327" s="891"/>
      <c r="F1327" s="891"/>
      <c r="G1327" s="891"/>
      <c r="H1327" s="1088"/>
      <c r="I1327" s="1088"/>
      <c r="J1327" s="1088"/>
      <c r="K1327" s="1088"/>
    </row>
    <row r="1328" spans="3:11" ht="12" customHeight="1">
      <c r="C1328" s="891"/>
      <c r="D1328" s="891"/>
      <c r="E1328" s="891"/>
      <c r="F1328" s="891"/>
      <c r="G1328" s="891"/>
      <c r="H1328" s="1088"/>
      <c r="I1328" s="1088"/>
      <c r="J1328" s="1088"/>
      <c r="K1328" s="1088"/>
    </row>
    <row r="1329" spans="3:11" ht="12" customHeight="1">
      <c r="C1329" s="891"/>
      <c r="D1329" s="891"/>
      <c r="E1329" s="891"/>
      <c r="F1329" s="891"/>
      <c r="G1329" s="891"/>
      <c r="H1329" s="1088"/>
      <c r="I1329" s="1088"/>
      <c r="J1329" s="1088"/>
      <c r="K1329" s="1088"/>
    </row>
    <row r="1330" spans="3:11" ht="12" customHeight="1">
      <c r="C1330" s="891"/>
      <c r="D1330" s="891"/>
      <c r="E1330" s="891"/>
      <c r="F1330" s="891"/>
      <c r="G1330" s="891"/>
      <c r="H1330" s="1088"/>
      <c r="I1330" s="1088"/>
      <c r="J1330" s="1088"/>
      <c r="K1330" s="1088"/>
    </row>
    <row r="1331" spans="3:11" ht="12" customHeight="1">
      <c r="C1331" s="891"/>
      <c r="D1331" s="891"/>
      <c r="E1331" s="891"/>
      <c r="F1331" s="891"/>
      <c r="G1331" s="891"/>
      <c r="H1331" s="1088"/>
      <c r="I1331" s="1088"/>
      <c r="J1331" s="1088"/>
      <c r="K1331" s="1088"/>
    </row>
    <row r="1332" spans="3:11" ht="12" customHeight="1">
      <c r="C1332" s="891"/>
      <c r="D1332" s="891"/>
      <c r="E1332" s="891"/>
      <c r="F1332" s="891"/>
      <c r="G1332" s="891"/>
      <c r="H1332" s="1088"/>
      <c r="I1332" s="1088"/>
      <c r="J1332" s="1088"/>
      <c r="K1332" s="1088"/>
    </row>
    <row r="1333" spans="3:11" ht="12" customHeight="1">
      <c r="C1333" s="891"/>
      <c r="D1333" s="891"/>
      <c r="E1333" s="891"/>
      <c r="F1333" s="891"/>
      <c r="G1333" s="891"/>
      <c r="H1333" s="1088"/>
      <c r="I1333" s="1088"/>
      <c r="J1333" s="1088"/>
      <c r="K1333" s="1088"/>
    </row>
    <row r="1334" spans="3:11" ht="12" customHeight="1">
      <c r="C1334" s="891"/>
      <c r="D1334" s="891"/>
      <c r="E1334" s="891"/>
      <c r="F1334" s="891"/>
      <c r="G1334" s="891"/>
      <c r="H1334" s="1088"/>
      <c r="I1334" s="1088"/>
      <c r="J1334" s="1088"/>
      <c r="K1334" s="1088"/>
    </row>
    <row r="1335" spans="3:11" ht="12" customHeight="1">
      <c r="C1335" s="891"/>
      <c r="D1335" s="891"/>
      <c r="E1335" s="891"/>
      <c r="F1335" s="891"/>
      <c r="G1335" s="891"/>
      <c r="H1335" s="1088"/>
      <c r="I1335" s="1088"/>
      <c r="J1335" s="1088"/>
      <c r="K1335" s="1088"/>
    </row>
    <row r="1336" spans="3:11" ht="12" customHeight="1">
      <c r="C1336" s="891"/>
      <c r="D1336" s="891"/>
      <c r="E1336" s="891"/>
      <c r="F1336" s="891"/>
      <c r="G1336" s="891"/>
      <c r="H1336" s="1088"/>
      <c r="I1336" s="1088"/>
      <c r="J1336" s="1088"/>
      <c r="K1336" s="1088"/>
    </row>
    <row r="1337" spans="3:11" ht="12" customHeight="1">
      <c r="C1337" s="891"/>
      <c r="D1337" s="891"/>
      <c r="E1337" s="891"/>
      <c r="F1337" s="891"/>
      <c r="G1337" s="891"/>
      <c r="H1337" s="1088"/>
      <c r="I1337" s="1088"/>
      <c r="J1337" s="1088"/>
      <c r="K1337" s="1088"/>
    </row>
    <row r="1338" spans="3:11" ht="12" customHeight="1">
      <c r="C1338" s="891"/>
      <c r="D1338" s="891"/>
      <c r="E1338" s="891"/>
      <c r="F1338" s="891"/>
      <c r="G1338" s="891"/>
      <c r="H1338" s="1088"/>
      <c r="I1338" s="1088"/>
      <c r="J1338" s="1088"/>
      <c r="K1338" s="1088"/>
    </row>
    <row r="1339" spans="3:11" ht="12" customHeight="1">
      <c r="C1339" s="891"/>
      <c r="D1339" s="891"/>
      <c r="E1339" s="891"/>
      <c r="F1339" s="891"/>
      <c r="G1339" s="891"/>
      <c r="H1339" s="1088"/>
      <c r="I1339" s="1088"/>
      <c r="J1339" s="1088"/>
      <c r="K1339" s="1088"/>
    </row>
    <row r="1340" spans="3:11" ht="12" customHeight="1">
      <c r="C1340" s="891"/>
      <c r="D1340" s="891"/>
      <c r="E1340" s="891"/>
      <c r="F1340" s="891"/>
      <c r="G1340" s="891"/>
      <c r="H1340" s="1088"/>
      <c r="I1340" s="1088"/>
      <c r="J1340" s="1088"/>
      <c r="K1340" s="1088"/>
    </row>
    <row r="1341" spans="3:11" ht="12" customHeight="1">
      <c r="C1341" s="891"/>
      <c r="D1341" s="891"/>
      <c r="E1341" s="891"/>
      <c r="F1341" s="891"/>
      <c r="G1341" s="891"/>
      <c r="H1341" s="1088"/>
      <c r="I1341" s="1088"/>
      <c r="J1341" s="1088"/>
      <c r="K1341" s="1088"/>
    </row>
    <row r="1342" spans="3:11" ht="12" customHeight="1">
      <c r="C1342" s="891"/>
      <c r="D1342" s="891"/>
      <c r="E1342" s="891"/>
      <c r="F1342" s="891"/>
      <c r="G1342" s="891"/>
      <c r="H1342" s="1088"/>
      <c r="I1342" s="1088"/>
      <c r="J1342" s="1088"/>
      <c r="K1342" s="1088"/>
    </row>
    <row r="1343" spans="3:11" ht="12" customHeight="1">
      <c r="C1343" s="891"/>
      <c r="D1343" s="891"/>
      <c r="E1343" s="891"/>
      <c r="F1343" s="891"/>
      <c r="G1343" s="891"/>
      <c r="H1343" s="1088"/>
      <c r="I1343" s="1088"/>
      <c r="J1343" s="1088"/>
      <c r="K1343" s="1088"/>
    </row>
    <row r="1344" spans="3:11" ht="12" customHeight="1">
      <c r="C1344" s="891"/>
      <c r="D1344" s="891"/>
      <c r="E1344" s="891"/>
      <c r="F1344" s="891"/>
      <c r="G1344" s="891"/>
      <c r="H1344" s="1088"/>
      <c r="I1344" s="1088"/>
      <c r="J1344" s="1088"/>
      <c r="K1344" s="1088"/>
    </row>
    <row r="1345" spans="3:11" ht="12" customHeight="1">
      <c r="C1345" s="891"/>
      <c r="D1345" s="891"/>
      <c r="E1345" s="891"/>
      <c r="F1345" s="891"/>
      <c r="G1345" s="891"/>
      <c r="H1345" s="1088"/>
      <c r="I1345" s="1088"/>
      <c r="J1345" s="1088"/>
      <c r="K1345" s="1088"/>
    </row>
    <row r="1346" spans="3:11" ht="12" customHeight="1">
      <c r="C1346" s="891"/>
      <c r="D1346" s="891"/>
      <c r="E1346" s="891"/>
      <c r="F1346" s="891"/>
      <c r="G1346" s="891"/>
      <c r="H1346" s="1088"/>
      <c r="I1346" s="1088"/>
      <c r="J1346" s="1088"/>
      <c r="K1346" s="1088"/>
    </row>
    <row r="1347" spans="3:11" ht="12" customHeight="1">
      <c r="C1347" s="891"/>
      <c r="D1347" s="891"/>
      <c r="E1347" s="891"/>
      <c r="F1347" s="891"/>
      <c r="G1347" s="891"/>
      <c r="H1347" s="1088"/>
      <c r="I1347" s="1088"/>
      <c r="J1347" s="1088"/>
      <c r="K1347" s="1088"/>
    </row>
    <row r="1348" spans="3:11" ht="12" customHeight="1">
      <c r="C1348" s="891"/>
      <c r="D1348" s="891"/>
      <c r="E1348" s="891"/>
      <c r="F1348" s="891"/>
      <c r="G1348" s="891"/>
      <c r="H1348" s="1088"/>
      <c r="I1348" s="1088"/>
      <c r="J1348" s="1088"/>
      <c r="K1348" s="1088"/>
    </row>
    <row r="1349" spans="3:11" ht="12" customHeight="1">
      <c r="C1349" s="891"/>
      <c r="D1349" s="891"/>
      <c r="E1349" s="891"/>
      <c r="F1349" s="891"/>
      <c r="G1349" s="891"/>
      <c r="H1349" s="1088"/>
      <c r="I1349" s="1088"/>
      <c r="J1349" s="1088"/>
      <c r="K1349" s="1088"/>
    </row>
    <row r="1350" spans="3:11" ht="12" customHeight="1">
      <c r="C1350" s="891"/>
      <c r="D1350" s="891"/>
      <c r="E1350" s="891"/>
      <c r="F1350" s="891"/>
      <c r="G1350" s="891"/>
      <c r="H1350" s="1088"/>
      <c r="I1350" s="1088"/>
      <c r="J1350" s="1088"/>
      <c r="K1350" s="1088"/>
    </row>
    <row r="1351" spans="3:11" ht="12" customHeight="1">
      <c r="C1351" s="891"/>
      <c r="D1351" s="891"/>
      <c r="E1351" s="891"/>
      <c r="F1351" s="891"/>
      <c r="G1351" s="891"/>
      <c r="H1351" s="1088"/>
      <c r="I1351" s="1088"/>
      <c r="J1351" s="1088"/>
      <c r="K1351" s="1088"/>
    </row>
    <row r="1352" spans="3:11" ht="12" customHeight="1">
      <c r="C1352" s="891"/>
      <c r="D1352" s="891"/>
      <c r="E1352" s="891"/>
      <c r="F1352" s="891"/>
      <c r="G1352" s="891"/>
      <c r="H1352" s="1088"/>
      <c r="I1352" s="1088"/>
      <c r="J1352" s="1088"/>
      <c r="K1352" s="1088"/>
    </row>
    <row r="1353" spans="3:11" ht="12" customHeight="1">
      <c r="C1353" s="891"/>
      <c r="D1353" s="891"/>
      <c r="E1353" s="891"/>
      <c r="F1353" s="891"/>
      <c r="G1353" s="891"/>
      <c r="H1353" s="1088"/>
      <c r="I1353" s="1088"/>
      <c r="J1353" s="1088"/>
      <c r="K1353" s="1088"/>
    </row>
    <row r="1354" spans="3:11" ht="12" customHeight="1">
      <c r="C1354" s="891"/>
      <c r="D1354" s="891"/>
      <c r="E1354" s="891"/>
      <c r="F1354" s="891"/>
      <c r="G1354" s="891"/>
      <c r="H1354" s="1088"/>
      <c r="I1354" s="1088"/>
      <c r="J1354" s="1088"/>
      <c r="K1354" s="1088"/>
    </row>
    <row r="1355" spans="3:11" ht="12" customHeight="1">
      <c r="C1355" s="891"/>
      <c r="D1355" s="891"/>
      <c r="E1355" s="891"/>
      <c r="F1355" s="891"/>
      <c r="G1355" s="891"/>
      <c r="H1355" s="1088"/>
      <c r="I1355" s="1088"/>
      <c r="J1355" s="1088"/>
      <c r="K1355" s="1088"/>
    </row>
    <row r="1356" spans="3:11" ht="12" customHeight="1">
      <c r="C1356" s="891"/>
      <c r="D1356" s="891"/>
      <c r="E1356" s="891"/>
      <c r="F1356" s="891"/>
      <c r="G1356" s="891"/>
      <c r="H1356" s="1088"/>
      <c r="I1356" s="1088"/>
      <c r="J1356" s="1088"/>
      <c r="K1356" s="1088"/>
    </row>
    <row r="1357" spans="3:11" ht="12" customHeight="1">
      <c r="C1357" s="891"/>
      <c r="D1357" s="891"/>
      <c r="E1357" s="891"/>
      <c r="F1357" s="891"/>
      <c r="G1357" s="891"/>
      <c r="H1357" s="1088"/>
      <c r="I1357" s="1088"/>
      <c r="J1357" s="1088"/>
      <c r="K1357" s="1088"/>
    </row>
    <row r="1358" spans="3:11" ht="12" customHeight="1">
      <c r="C1358" s="891"/>
      <c r="D1358" s="891"/>
      <c r="E1358" s="891"/>
      <c r="F1358" s="891"/>
      <c r="G1358" s="891"/>
      <c r="H1358" s="1088"/>
      <c r="I1358" s="1088"/>
      <c r="J1358" s="1088"/>
      <c r="K1358" s="1088"/>
    </row>
    <row r="1359" spans="3:11" ht="12" customHeight="1">
      <c r="C1359" s="891"/>
      <c r="D1359" s="891"/>
      <c r="E1359" s="891"/>
      <c r="F1359" s="891"/>
      <c r="G1359" s="891"/>
      <c r="H1359" s="1088"/>
      <c r="I1359" s="1088"/>
      <c r="J1359" s="1088"/>
      <c r="K1359" s="1088"/>
    </row>
    <row r="1360" spans="3:11" ht="12" customHeight="1">
      <c r="C1360" s="891"/>
      <c r="D1360" s="891"/>
      <c r="E1360" s="891"/>
      <c r="F1360" s="891"/>
      <c r="G1360" s="891"/>
      <c r="H1360" s="1088"/>
      <c r="I1360" s="1088"/>
      <c r="J1360" s="1088"/>
      <c r="K1360" s="1088"/>
    </row>
    <row r="1361" spans="3:11" ht="12" customHeight="1">
      <c r="C1361" s="891"/>
      <c r="D1361" s="891"/>
      <c r="E1361" s="891"/>
      <c r="F1361" s="891"/>
      <c r="G1361" s="891"/>
      <c r="H1361" s="1088"/>
      <c r="I1361" s="1088"/>
      <c r="J1361" s="1088"/>
      <c r="K1361" s="1088"/>
    </row>
    <row r="1362" spans="3:11" ht="12" customHeight="1">
      <c r="C1362" s="891"/>
      <c r="D1362" s="891"/>
      <c r="E1362" s="891"/>
      <c r="F1362" s="891"/>
      <c r="G1362" s="891"/>
      <c r="H1362" s="1088"/>
      <c r="I1362" s="1088"/>
      <c r="J1362" s="1088"/>
      <c r="K1362" s="1088"/>
    </row>
    <row r="1363" spans="3:11" ht="12" customHeight="1">
      <c r="C1363" s="891"/>
      <c r="D1363" s="891"/>
      <c r="E1363" s="891"/>
      <c r="F1363" s="891"/>
      <c r="G1363" s="891"/>
      <c r="H1363" s="1088"/>
      <c r="I1363" s="1088"/>
      <c r="J1363" s="1088"/>
      <c r="K1363" s="1088"/>
    </row>
    <row r="1364" spans="3:11" ht="12" customHeight="1">
      <c r="C1364" s="891"/>
      <c r="D1364" s="891"/>
      <c r="E1364" s="891"/>
      <c r="F1364" s="891"/>
      <c r="G1364" s="891"/>
      <c r="H1364" s="1088"/>
      <c r="I1364" s="1088"/>
      <c r="J1364" s="1088"/>
      <c r="K1364" s="1088"/>
    </row>
    <row r="1365" spans="3:11" ht="12" customHeight="1">
      <c r="C1365" s="891"/>
      <c r="D1365" s="891"/>
      <c r="E1365" s="891"/>
      <c r="F1365" s="891"/>
      <c r="G1365" s="891"/>
      <c r="H1365" s="1088"/>
      <c r="I1365" s="1088"/>
      <c r="J1365" s="1088"/>
      <c r="K1365" s="1088"/>
    </row>
    <row r="1366" spans="3:11" ht="12" customHeight="1">
      <c r="C1366" s="891"/>
      <c r="D1366" s="891"/>
      <c r="E1366" s="891"/>
      <c r="F1366" s="891"/>
      <c r="G1366" s="891"/>
      <c r="H1366" s="1088"/>
      <c r="I1366" s="1088"/>
      <c r="J1366" s="1088"/>
      <c r="K1366" s="1088"/>
    </row>
    <row r="1367" spans="3:11" ht="12" customHeight="1">
      <c r="C1367" s="891"/>
      <c r="D1367" s="891"/>
      <c r="E1367" s="891"/>
      <c r="F1367" s="891"/>
      <c r="G1367" s="891"/>
      <c r="H1367" s="1088"/>
      <c r="I1367" s="1088"/>
      <c r="J1367" s="1088"/>
      <c r="K1367" s="1088"/>
    </row>
    <row r="1368" spans="3:11" ht="12" customHeight="1">
      <c r="C1368" s="891"/>
      <c r="D1368" s="891"/>
      <c r="E1368" s="891"/>
      <c r="F1368" s="891"/>
      <c r="G1368" s="891"/>
      <c r="H1368" s="1088"/>
      <c r="I1368" s="1088"/>
      <c r="J1368" s="1088"/>
      <c r="K1368" s="1088"/>
    </row>
    <row r="1369" spans="3:11" ht="12" customHeight="1">
      <c r="C1369" s="891"/>
      <c r="D1369" s="891"/>
      <c r="E1369" s="891"/>
      <c r="F1369" s="891"/>
      <c r="G1369" s="891"/>
      <c r="H1369" s="1088"/>
      <c r="I1369" s="1088"/>
      <c r="J1369" s="1088"/>
      <c r="K1369" s="1088"/>
    </row>
    <row r="1370" spans="3:11" ht="12" customHeight="1">
      <c r="C1370" s="891"/>
      <c r="D1370" s="891"/>
      <c r="E1370" s="891"/>
      <c r="F1370" s="891"/>
      <c r="G1370" s="891"/>
      <c r="H1370" s="1088"/>
      <c r="I1370" s="1088"/>
      <c r="J1370" s="1088"/>
      <c r="K1370" s="1088"/>
    </row>
    <row r="1371" spans="3:11" ht="12" customHeight="1">
      <c r="C1371" s="891"/>
      <c r="D1371" s="891"/>
      <c r="E1371" s="891"/>
      <c r="F1371" s="891"/>
      <c r="G1371" s="891"/>
      <c r="H1371" s="1088"/>
      <c r="I1371" s="1088"/>
      <c r="J1371" s="1088"/>
      <c r="K1371" s="1088"/>
    </row>
    <row r="1372" spans="3:11" ht="12" customHeight="1">
      <c r="C1372" s="891"/>
      <c r="D1372" s="891"/>
      <c r="E1372" s="891"/>
      <c r="F1372" s="891"/>
      <c r="G1372" s="891"/>
      <c r="H1372" s="1088"/>
      <c r="I1372" s="1088"/>
      <c r="J1372" s="1088"/>
      <c r="K1372" s="1088"/>
    </row>
    <row r="1373" spans="3:11" ht="12" customHeight="1">
      <c r="C1373" s="891"/>
      <c r="D1373" s="891"/>
      <c r="E1373" s="891"/>
      <c r="F1373" s="891"/>
      <c r="G1373" s="891"/>
      <c r="H1373" s="1088"/>
      <c r="I1373" s="1088"/>
      <c r="J1373" s="1088"/>
      <c r="K1373" s="1088"/>
    </row>
    <row r="1374" spans="3:11" ht="12" customHeight="1">
      <c r="C1374" s="891"/>
      <c r="D1374" s="891"/>
      <c r="E1374" s="891"/>
      <c r="F1374" s="891"/>
      <c r="G1374" s="891"/>
      <c r="H1374" s="1088"/>
      <c r="I1374" s="1088"/>
      <c r="J1374" s="1088"/>
      <c r="K1374" s="1088"/>
    </row>
    <row r="1375" spans="3:11" ht="12" customHeight="1">
      <c r="C1375" s="891"/>
      <c r="D1375" s="891"/>
      <c r="E1375" s="891"/>
      <c r="F1375" s="891"/>
      <c r="G1375" s="891"/>
      <c r="H1375" s="1088"/>
      <c r="I1375" s="1088"/>
      <c r="J1375" s="1088"/>
      <c r="K1375" s="1088"/>
    </row>
    <row r="1376" spans="3:11" ht="12" customHeight="1">
      <c r="C1376" s="891"/>
      <c r="D1376" s="891"/>
      <c r="E1376" s="891"/>
      <c r="F1376" s="891"/>
      <c r="G1376" s="891"/>
      <c r="H1376" s="1088"/>
      <c r="I1376" s="1088"/>
      <c r="J1376" s="1088"/>
      <c r="K1376" s="1088"/>
    </row>
    <row r="1377" spans="3:11" ht="12" customHeight="1">
      <c r="C1377" s="891"/>
      <c r="D1377" s="891"/>
      <c r="E1377" s="891"/>
      <c r="F1377" s="891"/>
      <c r="G1377" s="891"/>
      <c r="H1377" s="1088"/>
      <c r="I1377" s="1088"/>
      <c r="J1377" s="1088"/>
      <c r="K1377" s="1088"/>
    </row>
    <row r="1378" spans="3:11" ht="12" customHeight="1">
      <c r="C1378" s="891"/>
      <c r="D1378" s="891"/>
      <c r="E1378" s="891"/>
      <c r="F1378" s="891"/>
      <c r="G1378" s="891"/>
      <c r="H1378" s="1088"/>
      <c r="I1378" s="1088"/>
      <c r="J1378" s="1088"/>
      <c r="K1378" s="1088"/>
    </row>
    <row r="1379" spans="3:11" ht="12" customHeight="1">
      <c r="C1379" s="891"/>
      <c r="D1379" s="891"/>
      <c r="E1379" s="891"/>
      <c r="F1379" s="891"/>
      <c r="G1379" s="891"/>
      <c r="H1379" s="1088"/>
      <c r="I1379" s="1088"/>
      <c r="J1379" s="1088"/>
      <c r="K1379" s="1088"/>
    </row>
    <row r="1380" spans="3:11" ht="12" customHeight="1">
      <c r="C1380" s="891"/>
      <c r="D1380" s="891"/>
      <c r="E1380" s="891"/>
      <c r="F1380" s="891"/>
      <c r="G1380" s="891"/>
      <c r="H1380" s="1088"/>
      <c r="I1380" s="1088"/>
      <c r="J1380" s="1088"/>
      <c r="K1380" s="1088"/>
    </row>
    <row r="1381" spans="3:11" ht="12" customHeight="1">
      <c r="C1381" s="891"/>
      <c r="D1381" s="891"/>
      <c r="E1381" s="891"/>
      <c r="F1381" s="891"/>
      <c r="G1381" s="891"/>
      <c r="H1381" s="1088"/>
      <c r="I1381" s="1088"/>
      <c r="J1381" s="1088"/>
      <c r="K1381" s="1088"/>
    </row>
    <row r="1382" spans="3:11" ht="12" customHeight="1">
      <c r="C1382" s="891"/>
      <c r="D1382" s="891"/>
      <c r="E1382" s="891"/>
      <c r="F1382" s="891"/>
      <c r="G1382" s="891"/>
      <c r="H1382" s="1088"/>
      <c r="I1382" s="1088"/>
      <c r="J1382" s="1088"/>
      <c r="K1382" s="1088"/>
    </row>
    <row r="1383" spans="3:11" ht="12" customHeight="1">
      <c r="C1383" s="891"/>
      <c r="D1383" s="891"/>
      <c r="E1383" s="891"/>
      <c r="F1383" s="891"/>
      <c r="G1383" s="891"/>
      <c r="H1383" s="1088"/>
      <c r="I1383" s="1088"/>
      <c r="J1383" s="1088"/>
      <c r="K1383" s="1088"/>
    </row>
    <row r="1384" spans="3:11" ht="12" customHeight="1">
      <c r="C1384" s="891"/>
      <c r="D1384" s="891"/>
      <c r="E1384" s="891"/>
      <c r="F1384" s="891"/>
      <c r="G1384" s="891"/>
      <c r="H1384" s="1088"/>
      <c r="I1384" s="1088"/>
      <c r="J1384" s="1088"/>
      <c r="K1384" s="1088"/>
    </row>
    <row r="1385" spans="3:11" ht="12" customHeight="1">
      <c r="C1385" s="891"/>
      <c r="D1385" s="891"/>
      <c r="E1385" s="891"/>
      <c r="F1385" s="891"/>
      <c r="G1385" s="891"/>
      <c r="H1385" s="1088"/>
      <c r="I1385" s="1088"/>
      <c r="J1385" s="1088"/>
      <c r="K1385" s="1088"/>
    </row>
    <row r="1386" spans="3:11" ht="12" customHeight="1">
      <c r="C1386" s="891"/>
      <c r="D1386" s="891"/>
      <c r="E1386" s="891"/>
      <c r="F1386" s="891"/>
      <c r="G1386" s="891"/>
      <c r="H1386" s="1088"/>
      <c r="I1386" s="1088"/>
      <c r="J1386" s="1088"/>
      <c r="K1386" s="1088"/>
    </row>
    <row r="1387" spans="3:11" ht="12" customHeight="1">
      <c r="C1387" s="891"/>
      <c r="D1387" s="891"/>
      <c r="E1387" s="891"/>
      <c r="F1387" s="891"/>
      <c r="G1387" s="891"/>
      <c r="H1387" s="1088"/>
      <c r="I1387" s="1088"/>
      <c r="J1387" s="1088"/>
      <c r="K1387" s="1088"/>
    </row>
    <row r="1388" spans="3:11" ht="12" customHeight="1">
      <c r="C1388" s="891"/>
      <c r="D1388" s="891"/>
      <c r="E1388" s="891"/>
      <c r="F1388" s="891"/>
      <c r="G1388" s="891"/>
      <c r="H1388" s="1088"/>
      <c r="I1388" s="1088"/>
      <c r="J1388" s="1088"/>
      <c r="K1388" s="1088"/>
    </row>
    <row r="1389" spans="3:11" ht="12" customHeight="1">
      <c r="C1389" s="891"/>
      <c r="D1389" s="891"/>
      <c r="E1389" s="891"/>
      <c r="F1389" s="891"/>
      <c r="G1389" s="891"/>
      <c r="H1389" s="1088"/>
      <c r="I1389" s="1088"/>
      <c r="J1389" s="1088"/>
      <c r="K1389" s="1088"/>
    </row>
    <row r="1390" spans="3:11" ht="12" customHeight="1">
      <c r="C1390" s="891"/>
      <c r="D1390" s="891"/>
      <c r="E1390" s="891"/>
      <c r="F1390" s="891"/>
      <c r="G1390" s="891"/>
      <c r="H1390" s="1088"/>
      <c r="I1390" s="1088"/>
      <c r="J1390" s="1088"/>
      <c r="K1390" s="1088"/>
    </row>
    <row r="1391" spans="3:11" ht="12" customHeight="1">
      <c r="C1391" s="891"/>
      <c r="D1391" s="891"/>
      <c r="E1391" s="891"/>
      <c r="F1391" s="891"/>
      <c r="G1391" s="891"/>
      <c r="H1391" s="1088"/>
      <c r="I1391" s="1088"/>
      <c r="J1391" s="1088"/>
      <c r="K1391" s="1088"/>
    </row>
    <row r="1392" spans="3:11" ht="12" customHeight="1">
      <c r="C1392" s="891"/>
      <c r="D1392" s="891"/>
      <c r="E1392" s="891"/>
      <c r="F1392" s="891"/>
      <c r="G1392" s="891"/>
      <c r="H1392" s="1088"/>
      <c r="I1392" s="1088"/>
      <c r="J1392" s="1088"/>
      <c r="K1392" s="1088"/>
    </row>
    <row r="1393" spans="3:11" ht="12" customHeight="1">
      <c r="C1393" s="891"/>
      <c r="D1393" s="891"/>
      <c r="E1393" s="891"/>
      <c r="F1393" s="891"/>
      <c r="G1393" s="891"/>
      <c r="H1393" s="1088"/>
      <c r="I1393" s="1088"/>
      <c r="J1393" s="1088"/>
      <c r="K1393" s="1088"/>
    </row>
    <row r="1394" spans="3:11" ht="12" customHeight="1">
      <c r="C1394" s="891"/>
      <c r="D1394" s="891"/>
      <c r="E1394" s="891"/>
      <c r="F1394" s="891"/>
      <c r="G1394" s="891"/>
      <c r="H1394" s="1088"/>
      <c r="I1394" s="1088"/>
      <c r="J1394" s="1088"/>
      <c r="K1394" s="1088"/>
    </row>
    <row r="1395" spans="3:11" ht="12" customHeight="1">
      <c r="C1395" s="891"/>
      <c r="D1395" s="891"/>
      <c r="E1395" s="891"/>
      <c r="F1395" s="891"/>
      <c r="G1395" s="891"/>
      <c r="H1395" s="1088"/>
      <c r="I1395" s="1088"/>
      <c r="J1395" s="1088"/>
      <c r="K1395" s="1088"/>
    </row>
    <row r="1396" spans="3:11" ht="12" customHeight="1">
      <c r="C1396" s="891"/>
      <c r="D1396" s="891"/>
      <c r="E1396" s="891"/>
      <c r="F1396" s="891"/>
      <c r="G1396" s="891"/>
      <c r="H1396" s="1088"/>
      <c r="I1396" s="1088"/>
      <c r="J1396" s="1088"/>
      <c r="K1396" s="1088"/>
    </row>
    <row r="1397" spans="3:11" ht="12" customHeight="1">
      <c r="C1397" s="891"/>
      <c r="D1397" s="891"/>
      <c r="E1397" s="891"/>
      <c r="F1397" s="891"/>
      <c r="G1397" s="891"/>
      <c r="H1397" s="1088"/>
      <c r="I1397" s="1088"/>
      <c r="J1397" s="1088"/>
      <c r="K1397" s="1088"/>
    </row>
    <row r="1398" spans="3:11" ht="12" customHeight="1">
      <c r="C1398" s="891"/>
      <c r="D1398" s="891"/>
      <c r="E1398" s="891"/>
      <c r="F1398" s="891"/>
      <c r="G1398" s="891"/>
      <c r="H1398" s="1088"/>
      <c r="I1398" s="1088"/>
      <c r="J1398" s="1088"/>
      <c r="K1398" s="1088"/>
    </row>
    <row r="1399" spans="3:11" ht="12" customHeight="1">
      <c r="C1399" s="891"/>
      <c r="D1399" s="891"/>
      <c r="E1399" s="891"/>
      <c r="F1399" s="891"/>
      <c r="G1399" s="891"/>
      <c r="H1399" s="1088"/>
      <c r="I1399" s="1088"/>
      <c r="J1399" s="1088"/>
      <c r="K1399" s="1088"/>
    </row>
    <row r="1400" spans="3:11" ht="12" customHeight="1">
      <c r="C1400" s="891"/>
      <c r="D1400" s="891"/>
      <c r="E1400" s="891"/>
      <c r="F1400" s="891"/>
      <c r="G1400" s="891"/>
      <c r="H1400" s="1088"/>
      <c r="I1400" s="1088"/>
      <c r="J1400" s="1088"/>
      <c r="K1400" s="1088"/>
    </row>
    <row r="1401" spans="3:11" ht="12" customHeight="1">
      <c r="C1401" s="891"/>
      <c r="D1401" s="891"/>
      <c r="E1401" s="891"/>
      <c r="F1401" s="891"/>
      <c r="G1401" s="891"/>
      <c r="H1401" s="1088"/>
      <c r="I1401" s="1088"/>
      <c r="J1401" s="1088"/>
      <c r="K1401" s="1088"/>
    </row>
    <row r="1402" spans="3:11" ht="12" customHeight="1">
      <c r="C1402" s="891"/>
      <c r="D1402" s="891"/>
      <c r="E1402" s="891"/>
      <c r="F1402" s="891"/>
      <c r="G1402" s="891"/>
      <c r="H1402" s="1088"/>
      <c r="I1402" s="1088"/>
      <c r="J1402" s="1088"/>
      <c r="K1402" s="1088"/>
    </row>
    <row r="1403" spans="3:11" ht="12" customHeight="1">
      <c r="C1403" s="891"/>
      <c r="D1403" s="891"/>
      <c r="E1403" s="891"/>
      <c r="F1403" s="891"/>
      <c r="G1403" s="891"/>
      <c r="H1403" s="1088"/>
      <c r="I1403" s="1088"/>
      <c r="J1403" s="1088"/>
      <c r="K1403" s="1088"/>
    </row>
    <row r="1404" spans="3:11" ht="12" customHeight="1">
      <c r="C1404" s="891"/>
      <c r="D1404" s="891"/>
      <c r="E1404" s="891"/>
      <c r="F1404" s="891"/>
      <c r="G1404" s="891"/>
      <c r="H1404" s="1088"/>
      <c r="I1404" s="1088"/>
      <c r="J1404" s="1088"/>
      <c r="K1404" s="1088"/>
    </row>
    <row r="1405" spans="3:11" ht="12" customHeight="1">
      <c r="C1405" s="891"/>
      <c r="D1405" s="891"/>
      <c r="E1405" s="891"/>
      <c r="F1405" s="891"/>
      <c r="G1405" s="891"/>
      <c r="H1405" s="1088"/>
      <c r="I1405" s="1088"/>
      <c r="J1405" s="1088"/>
      <c r="K1405" s="1088"/>
    </row>
    <row r="1406" spans="3:11" ht="12" customHeight="1">
      <c r="C1406" s="891"/>
      <c r="D1406" s="891"/>
      <c r="E1406" s="891"/>
      <c r="F1406" s="891"/>
      <c r="G1406" s="891"/>
      <c r="H1406" s="1088"/>
      <c r="I1406" s="1088"/>
      <c r="J1406" s="1088"/>
      <c r="K1406" s="1088"/>
    </row>
    <row r="1407" spans="3:11" ht="12" customHeight="1">
      <c r="C1407" s="891"/>
      <c r="D1407" s="891"/>
      <c r="E1407" s="891"/>
      <c r="F1407" s="891"/>
      <c r="G1407" s="891"/>
      <c r="H1407" s="1088"/>
      <c r="I1407" s="1088"/>
      <c r="J1407" s="1088"/>
      <c r="K1407" s="1088"/>
    </row>
    <row r="1408" spans="3:11" ht="12" customHeight="1">
      <c r="C1408" s="891"/>
      <c r="D1408" s="891"/>
      <c r="E1408" s="891"/>
      <c r="F1408" s="891"/>
      <c r="G1408" s="891"/>
      <c r="H1408" s="1088"/>
      <c r="I1408" s="1088"/>
      <c r="J1408" s="1088"/>
      <c r="K1408" s="1088"/>
    </row>
    <row r="1409" spans="3:11" ht="12" customHeight="1">
      <c r="C1409" s="891"/>
      <c r="D1409" s="891"/>
      <c r="E1409" s="891"/>
      <c r="F1409" s="891"/>
      <c r="G1409" s="891"/>
      <c r="H1409" s="1088"/>
      <c r="I1409" s="1088"/>
      <c r="J1409" s="1088"/>
      <c r="K1409" s="1088"/>
    </row>
    <row r="1410" spans="3:11" ht="12" customHeight="1">
      <c r="C1410" s="891"/>
      <c r="D1410" s="891"/>
      <c r="E1410" s="891"/>
      <c r="F1410" s="891"/>
      <c r="G1410" s="891"/>
      <c r="H1410" s="1088"/>
      <c r="I1410" s="1088"/>
      <c r="J1410" s="1088"/>
      <c r="K1410" s="1088"/>
    </row>
    <row r="1411" spans="3:11" ht="12" customHeight="1">
      <c r="C1411" s="891"/>
      <c r="D1411" s="891"/>
      <c r="E1411" s="891"/>
      <c r="F1411" s="891"/>
      <c r="G1411" s="891"/>
      <c r="H1411" s="1088"/>
      <c r="I1411" s="1088"/>
      <c r="J1411" s="1088"/>
      <c r="K1411" s="1088"/>
    </row>
    <row r="1412" spans="3:11" ht="12" customHeight="1">
      <c r="C1412" s="891"/>
      <c r="D1412" s="891"/>
      <c r="E1412" s="891"/>
      <c r="F1412" s="891"/>
      <c r="G1412" s="891"/>
      <c r="H1412" s="1088"/>
      <c r="I1412" s="1088"/>
      <c r="J1412" s="1088"/>
      <c r="K1412" s="1088"/>
    </row>
    <row r="1413" spans="3:11" ht="12" customHeight="1">
      <c r="C1413" s="891"/>
      <c r="D1413" s="891"/>
      <c r="E1413" s="891"/>
      <c r="F1413" s="891"/>
      <c r="G1413" s="891"/>
      <c r="H1413" s="1088"/>
      <c r="I1413" s="1088"/>
      <c r="J1413" s="1088"/>
      <c r="K1413" s="1088"/>
    </row>
    <row r="1414" spans="3:11" ht="12" customHeight="1">
      <c r="C1414" s="891"/>
      <c r="D1414" s="891"/>
      <c r="E1414" s="891"/>
      <c r="F1414" s="891"/>
      <c r="G1414" s="891"/>
      <c r="H1414" s="1088"/>
      <c r="I1414" s="1088"/>
      <c r="J1414" s="1088"/>
      <c r="K1414" s="1088"/>
    </row>
    <row r="1415" spans="3:11" ht="12" customHeight="1">
      <c r="C1415" s="891"/>
      <c r="D1415" s="891"/>
      <c r="E1415" s="891"/>
      <c r="F1415" s="891"/>
      <c r="G1415" s="891"/>
      <c r="H1415" s="1088"/>
      <c r="I1415" s="1088"/>
      <c r="J1415" s="1088"/>
      <c r="K1415" s="1088"/>
    </row>
    <row r="1416" spans="3:11" ht="12" customHeight="1">
      <c r="C1416" s="891"/>
      <c r="D1416" s="891"/>
      <c r="E1416" s="891"/>
      <c r="F1416" s="891"/>
      <c r="G1416" s="891"/>
      <c r="H1416" s="1088"/>
      <c r="I1416" s="1088"/>
      <c r="J1416" s="1088"/>
      <c r="K1416" s="1088"/>
    </row>
    <row r="1417" spans="3:11" ht="12" customHeight="1">
      <c r="C1417" s="891"/>
      <c r="D1417" s="891"/>
      <c r="E1417" s="891"/>
      <c r="F1417" s="891"/>
      <c r="G1417" s="891"/>
      <c r="H1417" s="1088"/>
      <c r="I1417" s="1088"/>
      <c r="J1417" s="1088"/>
      <c r="K1417" s="1088"/>
    </row>
    <row r="1418" spans="3:11" ht="12" customHeight="1">
      <c r="C1418" s="891"/>
      <c r="D1418" s="891"/>
      <c r="E1418" s="891"/>
      <c r="F1418" s="891"/>
      <c r="G1418" s="891"/>
      <c r="H1418" s="1088"/>
      <c r="I1418" s="1088"/>
      <c r="J1418" s="1088"/>
      <c r="K1418" s="1088"/>
    </row>
    <row r="1419" spans="3:11" ht="12" customHeight="1">
      <c r="C1419" s="891"/>
      <c r="D1419" s="891"/>
      <c r="E1419" s="891"/>
      <c r="F1419" s="891"/>
      <c r="G1419" s="891"/>
      <c r="H1419" s="1088"/>
      <c r="I1419" s="1088"/>
      <c r="J1419" s="1088"/>
      <c r="K1419" s="1088"/>
    </row>
    <row r="1420" spans="3:11" ht="12" customHeight="1">
      <c r="C1420" s="891"/>
      <c r="D1420" s="891"/>
      <c r="E1420" s="891"/>
      <c r="F1420" s="891"/>
      <c r="G1420" s="891"/>
      <c r="H1420" s="1088"/>
      <c r="I1420" s="1088"/>
      <c r="J1420" s="1088"/>
      <c r="K1420" s="1088"/>
    </row>
    <row r="1421" spans="3:11" ht="12" customHeight="1">
      <c r="C1421" s="891"/>
      <c r="D1421" s="891"/>
      <c r="E1421" s="891"/>
      <c r="F1421" s="891"/>
      <c r="G1421" s="891"/>
      <c r="H1421" s="1088"/>
      <c r="I1421" s="1088"/>
      <c r="J1421" s="1088"/>
      <c r="K1421" s="1088"/>
    </row>
    <row r="1422" spans="3:11" ht="12" customHeight="1">
      <c r="C1422" s="891"/>
      <c r="D1422" s="891"/>
      <c r="E1422" s="891"/>
      <c r="F1422" s="891"/>
      <c r="G1422" s="891"/>
      <c r="H1422" s="1088"/>
      <c r="I1422" s="1088"/>
      <c r="J1422" s="1088"/>
      <c r="K1422" s="1088"/>
    </row>
    <row r="1423" spans="3:11" ht="12" customHeight="1">
      <c r="C1423" s="891"/>
      <c r="D1423" s="891"/>
      <c r="E1423" s="891"/>
      <c r="F1423" s="891"/>
      <c r="G1423" s="891"/>
      <c r="H1423" s="1088"/>
      <c r="I1423" s="1088"/>
      <c r="J1423" s="1088"/>
      <c r="K1423" s="1088"/>
    </row>
    <row r="1424" spans="3:11" ht="12" customHeight="1">
      <c r="C1424" s="891"/>
      <c r="D1424" s="891"/>
      <c r="E1424" s="891"/>
      <c r="F1424" s="891"/>
      <c r="G1424" s="891"/>
      <c r="H1424" s="1088"/>
      <c r="I1424" s="1088"/>
      <c r="J1424" s="1088"/>
      <c r="K1424" s="1088"/>
    </row>
    <row r="1425" spans="3:11" ht="12" customHeight="1">
      <c r="C1425" s="891"/>
      <c r="D1425" s="891"/>
      <c r="E1425" s="891"/>
      <c r="F1425" s="891"/>
      <c r="G1425" s="891"/>
      <c r="H1425" s="1088"/>
      <c r="I1425" s="1088"/>
      <c r="J1425" s="1088"/>
      <c r="K1425" s="1088"/>
    </row>
    <row r="1426" spans="3:11" ht="12" customHeight="1">
      <c r="C1426" s="891"/>
      <c r="D1426" s="891"/>
      <c r="E1426" s="891"/>
      <c r="F1426" s="891"/>
      <c r="G1426" s="891"/>
      <c r="H1426" s="1088"/>
      <c r="I1426" s="1088"/>
      <c r="J1426" s="1088"/>
      <c r="K1426" s="1088"/>
    </row>
    <row r="1427" spans="3:11" ht="12" customHeight="1">
      <c r="C1427" s="891"/>
      <c r="D1427" s="891"/>
      <c r="E1427" s="891"/>
      <c r="F1427" s="891"/>
      <c r="G1427" s="891"/>
      <c r="H1427" s="1088"/>
      <c r="I1427" s="1088"/>
      <c r="J1427" s="1088"/>
      <c r="K1427" s="1088"/>
    </row>
    <row r="1428" spans="3:11" ht="12" customHeight="1">
      <c r="C1428" s="891"/>
      <c r="D1428" s="891"/>
      <c r="E1428" s="891"/>
      <c r="F1428" s="891"/>
      <c r="G1428" s="891"/>
      <c r="H1428" s="1088"/>
      <c r="I1428" s="1088"/>
      <c r="J1428" s="1088"/>
      <c r="K1428" s="1088"/>
    </row>
    <row r="1429" spans="3:11" ht="12" customHeight="1">
      <c r="C1429" s="891"/>
      <c r="D1429" s="891"/>
      <c r="E1429" s="891"/>
      <c r="F1429" s="891"/>
      <c r="G1429" s="891"/>
      <c r="H1429" s="1088"/>
      <c r="I1429" s="1088"/>
      <c r="J1429" s="1088"/>
      <c r="K1429" s="1088"/>
    </row>
    <row r="1430" spans="3:11" ht="12" customHeight="1">
      <c r="C1430" s="891"/>
      <c r="D1430" s="891"/>
      <c r="E1430" s="891"/>
      <c r="F1430" s="891"/>
      <c r="G1430" s="891"/>
      <c r="H1430" s="1088"/>
      <c r="I1430" s="1088"/>
      <c r="J1430" s="1088"/>
      <c r="K1430" s="1088"/>
    </row>
    <row r="1431" spans="3:11" ht="12" customHeight="1">
      <c r="C1431" s="891"/>
      <c r="D1431" s="891"/>
      <c r="E1431" s="891"/>
      <c r="F1431" s="891"/>
      <c r="G1431" s="891"/>
      <c r="H1431" s="1088"/>
      <c r="I1431" s="1088"/>
      <c r="J1431" s="1088"/>
      <c r="K1431" s="1088"/>
    </row>
    <row r="1432" spans="3:11" ht="12" customHeight="1">
      <c r="C1432" s="891"/>
      <c r="D1432" s="891"/>
      <c r="E1432" s="891"/>
      <c r="F1432" s="891"/>
      <c r="G1432" s="891"/>
      <c r="H1432" s="1088"/>
      <c r="I1432" s="1088"/>
      <c r="J1432" s="1088"/>
      <c r="K1432" s="1088"/>
    </row>
    <row r="1433" spans="3:11" ht="12" customHeight="1">
      <c r="C1433" s="891"/>
      <c r="D1433" s="891"/>
      <c r="E1433" s="891"/>
      <c r="F1433" s="891"/>
      <c r="G1433" s="891"/>
      <c r="H1433" s="1088"/>
      <c r="I1433" s="1088"/>
      <c r="J1433" s="1088"/>
      <c r="K1433" s="1088"/>
    </row>
    <row r="1434" spans="3:11" ht="12" customHeight="1">
      <c r="C1434" s="891"/>
      <c r="D1434" s="891"/>
      <c r="E1434" s="891"/>
      <c r="F1434" s="891"/>
      <c r="G1434" s="891"/>
      <c r="H1434" s="1088"/>
      <c r="I1434" s="1088"/>
      <c r="J1434" s="1088"/>
      <c r="K1434" s="1088"/>
    </row>
    <row r="1435" spans="3:11" ht="12" customHeight="1">
      <c r="C1435" s="891"/>
      <c r="D1435" s="891"/>
      <c r="E1435" s="891"/>
      <c r="F1435" s="891"/>
      <c r="G1435" s="891"/>
      <c r="H1435" s="1088"/>
      <c r="I1435" s="1088"/>
      <c r="J1435" s="1088"/>
      <c r="K1435" s="1088"/>
    </row>
    <row r="1436" spans="3:11" ht="12" customHeight="1">
      <c r="C1436" s="891"/>
      <c r="D1436" s="891"/>
      <c r="E1436" s="891"/>
      <c r="F1436" s="891"/>
      <c r="G1436" s="891"/>
      <c r="H1436" s="1088"/>
      <c r="I1436" s="1088"/>
      <c r="J1436" s="1088"/>
      <c r="K1436" s="1088"/>
    </row>
    <row r="1437" spans="3:11" ht="12" customHeight="1">
      <c r="C1437" s="891"/>
      <c r="D1437" s="891"/>
      <c r="E1437" s="891"/>
      <c r="F1437" s="891"/>
      <c r="G1437" s="891"/>
      <c r="H1437" s="1088"/>
      <c r="I1437" s="1088"/>
      <c r="J1437" s="1088"/>
      <c r="K1437" s="1088"/>
    </row>
    <row r="1438" spans="3:11" ht="12" customHeight="1">
      <c r="C1438" s="891"/>
      <c r="D1438" s="891"/>
      <c r="E1438" s="891"/>
      <c r="F1438" s="891"/>
      <c r="G1438" s="891"/>
      <c r="H1438" s="1088"/>
      <c r="I1438" s="1088"/>
      <c r="J1438" s="1088"/>
      <c r="K1438" s="1088"/>
    </row>
    <row r="1439" spans="3:11" ht="12" customHeight="1">
      <c r="C1439" s="891"/>
      <c r="D1439" s="891"/>
      <c r="E1439" s="891"/>
      <c r="F1439" s="891"/>
      <c r="G1439" s="891"/>
      <c r="H1439" s="1088"/>
      <c r="I1439" s="1088"/>
      <c r="J1439" s="1088"/>
      <c r="K1439" s="1088"/>
    </row>
    <row r="1440" spans="3:11" ht="12" customHeight="1">
      <c r="C1440" s="891"/>
      <c r="D1440" s="891"/>
      <c r="E1440" s="891"/>
      <c r="F1440" s="891"/>
      <c r="G1440" s="891"/>
      <c r="H1440" s="1088"/>
      <c r="I1440" s="1088"/>
      <c r="J1440" s="1088"/>
      <c r="K1440" s="1088"/>
    </row>
    <row r="1441" spans="3:11" ht="12" customHeight="1">
      <c r="C1441" s="891"/>
      <c r="D1441" s="891"/>
      <c r="E1441" s="891"/>
      <c r="F1441" s="891"/>
      <c r="G1441" s="891"/>
      <c r="H1441" s="1088"/>
      <c r="I1441" s="1088"/>
      <c r="J1441" s="1088"/>
      <c r="K1441" s="1088"/>
    </row>
    <row r="1442" spans="3:11" ht="12" customHeight="1">
      <c r="C1442" s="891"/>
      <c r="D1442" s="891"/>
      <c r="E1442" s="891"/>
      <c r="F1442" s="891"/>
      <c r="G1442" s="891"/>
      <c r="H1442" s="1088"/>
      <c r="I1442" s="1088"/>
      <c r="J1442" s="1088"/>
      <c r="K1442" s="1088"/>
    </row>
    <row r="1443" spans="3:11" ht="12" customHeight="1">
      <c r="C1443" s="891"/>
      <c r="D1443" s="891"/>
      <c r="E1443" s="891"/>
      <c r="F1443" s="891"/>
      <c r="G1443" s="891"/>
      <c r="H1443" s="1088"/>
      <c r="I1443" s="1088"/>
      <c r="J1443" s="1088"/>
      <c r="K1443" s="1088"/>
    </row>
    <row r="1444" spans="3:11" ht="12" customHeight="1">
      <c r="C1444" s="891"/>
      <c r="D1444" s="891"/>
      <c r="E1444" s="891"/>
      <c r="F1444" s="891"/>
      <c r="G1444" s="891"/>
      <c r="H1444" s="1088"/>
      <c r="I1444" s="1088"/>
      <c r="J1444" s="1088"/>
      <c r="K1444" s="1088"/>
    </row>
    <row r="1445" spans="3:11" ht="12" customHeight="1">
      <c r="C1445" s="891"/>
      <c r="D1445" s="891"/>
      <c r="E1445" s="891"/>
      <c r="F1445" s="891"/>
      <c r="G1445" s="891"/>
      <c r="H1445" s="1088"/>
      <c r="I1445" s="1088"/>
      <c r="J1445" s="1088"/>
      <c r="K1445" s="1088"/>
    </row>
    <row r="1446" spans="3:11" ht="12" customHeight="1">
      <c r="C1446" s="891"/>
      <c r="D1446" s="891"/>
      <c r="E1446" s="891"/>
      <c r="F1446" s="891"/>
      <c r="G1446" s="891"/>
      <c r="H1446" s="1088"/>
      <c r="I1446" s="1088"/>
      <c r="J1446" s="1088"/>
      <c r="K1446" s="1088"/>
    </row>
    <row r="1447" spans="3:11" ht="12" customHeight="1">
      <c r="C1447" s="891"/>
      <c r="D1447" s="891"/>
      <c r="E1447" s="891"/>
      <c r="F1447" s="891"/>
      <c r="G1447" s="891"/>
      <c r="H1447" s="1088"/>
      <c r="I1447" s="1088"/>
      <c r="J1447" s="1088"/>
      <c r="K1447" s="1088"/>
    </row>
    <row r="1448" spans="3:11" ht="12" customHeight="1">
      <c r="C1448" s="891"/>
      <c r="D1448" s="891"/>
      <c r="E1448" s="891"/>
      <c r="F1448" s="891"/>
      <c r="G1448" s="891"/>
      <c r="H1448" s="1088"/>
      <c r="I1448" s="1088"/>
      <c r="J1448" s="1088"/>
      <c r="K1448" s="1088"/>
    </row>
    <row r="1449" spans="3:11" ht="12" customHeight="1">
      <c r="C1449" s="891"/>
      <c r="D1449" s="891"/>
      <c r="E1449" s="891"/>
      <c r="F1449" s="891"/>
      <c r="G1449" s="891"/>
      <c r="H1449" s="1088"/>
      <c r="I1449" s="1088"/>
      <c r="J1449" s="1088"/>
      <c r="K1449" s="1088"/>
    </row>
    <row r="1450" spans="3:11" ht="12" customHeight="1">
      <c r="C1450" s="891"/>
      <c r="D1450" s="891"/>
      <c r="E1450" s="891"/>
      <c r="F1450" s="891"/>
      <c r="G1450" s="891"/>
      <c r="H1450" s="1088"/>
      <c r="I1450" s="1088"/>
      <c r="J1450" s="1088"/>
      <c r="K1450" s="1088"/>
    </row>
    <row r="1451" spans="3:11" ht="12" customHeight="1">
      <c r="C1451" s="891"/>
      <c r="D1451" s="891"/>
      <c r="E1451" s="891"/>
      <c r="F1451" s="891"/>
      <c r="G1451" s="891"/>
      <c r="H1451" s="1088"/>
      <c r="I1451" s="1088"/>
      <c r="J1451" s="1088"/>
      <c r="K1451" s="1088"/>
    </row>
    <row r="1452" spans="3:11" ht="12" customHeight="1">
      <c r="C1452" s="891"/>
      <c r="D1452" s="891"/>
      <c r="E1452" s="891"/>
      <c r="F1452" s="891"/>
      <c r="G1452" s="891"/>
      <c r="H1452" s="1088"/>
      <c r="I1452" s="1088"/>
      <c r="J1452" s="1088"/>
      <c r="K1452" s="1088"/>
    </row>
    <row r="1453" spans="3:11" ht="12" customHeight="1">
      <c r="C1453" s="891"/>
      <c r="D1453" s="891"/>
      <c r="E1453" s="891"/>
      <c r="F1453" s="891"/>
      <c r="G1453" s="891"/>
      <c r="H1453" s="1088"/>
      <c r="I1453" s="1088"/>
      <c r="J1453" s="1088"/>
      <c r="K1453" s="1088"/>
    </row>
    <row r="1454" spans="3:11" ht="12" customHeight="1">
      <c r="C1454" s="891"/>
      <c r="D1454" s="891"/>
      <c r="E1454" s="891"/>
      <c r="F1454" s="891"/>
      <c r="G1454" s="891"/>
      <c r="H1454" s="1088"/>
      <c r="I1454" s="1088"/>
      <c r="J1454" s="1088"/>
      <c r="K1454" s="1088"/>
    </row>
    <row r="1455" spans="3:11" ht="12" customHeight="1">
      <c r="C1455" s="891"/>
      <c r="D1455" s="891"/>
      <c r="E1455" s="891"/>
      <c r="F1455" s="891"/>
      <c r="G1455" s="891"/>
      <c r="H1455" s="1088"/>
      <c r="I1455" s="1088"/>
      <c r="J1455" s="1088"/>
      <c r="K1455" s="1088"/>
    </row>
    <row r="1456" spans="3:11" ht="12" customHeight="1">
      <c r="C1456" s="891"/>
      <c r="D1456" s="891"/>
      <c r="E1456" s="891"/>
      <c r="F1456" s="891"/>
      <c r="G1456" s="891"/>
      <c r="H1456" s="1088"/>
      <c r="I1456" s="1088"/>
      <c r="J1456" s="1088"/>
      <c r="K1456" s="1088"/>
    </row>
    <row r="1457" spans="3:11" ht="12" customHeight="1">
      <c r="C1457" s="891"/>
      <c r="D1457" s="891"/>
      <c r="E1457" s="891"/>
      <c r="F1457" s="891"/>
      <c r="G1457" s="891"/>
      <c r="H1457" s="1088"/>
      <c r="I1457" s="1088"/>
      <c r="J1457" s="1088"/>
      <c r="K1457" s="1088"/>
    </row>
    <row r="1458" spans="3:11" ht="12" customHeight="1">
      <c r="C1458" s="891"/>
      <c r="D1458" s="891"/>
      <c r="E1458" s="891"/>
      <c r="F1458" s="891"/>
      <c r="G1458" s="891"/>
      <c r="H1458" s="1088"/>
      <c r="I1458" s="1088"/>
      <c r="J1458" s="1088"/>
      <c r="K1458" s="1088"/>
    </row>
    <row r="1459" spans="3:11" ht="12" customHeight="1">
      <c r="C1459" s="891"/>
      <c r="D1459" s="891"/>
      <c r="E1459" s="891"/>
      <c r="F1459" s="891"/>
      <c r="G1459" s="891"/>
      <c r="H1459" s="1088"/>
      <c r="I1459" s="1088"/>
      <c r="J1459" s="1088"/>
      <c r="K1459" s="1088"/>
    </row>
    <row r="1460" spans="3:11" ht="12" customHeight="1">
      <c r="C1460" s="891"/>
      <c r="D1460" s="891"/>
      <c r="E1460" s="891"/>
      <c r="F1460" s="891"/>
      <c r="G1460" s="891"/>
      <c r="H1460" s="1088"/>
      <c r="I1460" s="1088"/>
      <c r="J1460" s="1088"/>
      <c r="K1460" s="1088"/>
    </row>
    <row r="1461" spans="3:11" ht="12" customHeight="1">
      <c r="C1461" s="891"/>
      <c r="D1461" s="891"/>
      <c r="E1461" s="891"/>
      <c r="F1461" s="891"/>
      <c r="G1461" s="891"/>
      <c r="H1461" s="1088"/>
      <c r="I1461" s="1088"/>
      <c r="J1461" s="1088"/>
      <c r="K1461" s="1088"/>
    </row>
    <row r="1462" spans="3:11" ht="12" customHeight="1">
      <c r="C1462" s="891"/>
      <c r="D1462" s="891"/>
      <c r="E1462" s="891"/>
      <c r="F1462" s="891"/>
      <c r="G1462" s="891"/>
      <c r="H1462" s="1088"/>
      <c r="I1462" s="1088"/>
      <c r="J1462" s="1088"/>
      <c r="K1462" s="1088"/>
    </row>
    <row r="1463" spans="3:11" ht="12" customHeight="1">
      <c r="C1463" s="891"/>
      <c r="D1463" s="891"/>
      <c r="E1463" s="891"/>
      <c r="F1463" s="891"/>
      <c r="G1463" s="891"/>
      <c r="H1463" s="1088"/>
      <c r="I1463" s="1088"/>
      <c r="J1463" s="1088"/>
      <c r="K1463" s="1088"/>
    </row>
    <row r="1464" spans="3:11" ht="12" customHeight="1">
      <c r="C1464" s="891"/>
      <c r="D1464" s="891"/>
      <c r="E1464" s="891"/>
      <c r="F1464" s="891"/>
      <c r="G1464" s="891"/>
      <c r="H1464" s="1088"/>
      <c r="I1464" s="1088"/>
      <c r="J1464" s="1088"/>
      <c r="K1464" s="1088"/>
    </row>
    <row r="1465" spans="3:11" ht="12" customHeight="1">
      <c r="C1465" s="891"/>
      <c r="D1465" s="891"/>
      <c r="E1465" s="891"/>
      <c r="F1465" s="891"/>
      <c r="G1465" s="891"/>
      <c r="H1465" s="1088"/>
      <c r="I1465" s="1088"/>
      <c r="J1465" s="1088"/>
      <c r="K1465" s="1088"/>
    </row>
    <row r="1466" spans="3:11" ht="12" customHeight="1">
      <c r="C1466" s="891"/>
      <c r="D1466" s="891"/>
      <c r="E1466" s="891"/>
      <c r="F1466" s="891"/>
      <c r="G1466" s="891"/>
      <c r="H1466" s="1088"/>
      <c r="I1466" s="1088"/>
      <c r="J1466" s="1088"/>
      <c r="K1466" s="1088"/>
    </row>
    <row r="1467" spans="3:11" ht="12" customHeight="1">
      <c r="C1467" s="891"/>
      <c r="D1467" s="891"/>
      <c r="E1467" s="891"/>
      <c r="F1467" s="891"/>
      <c r="G1467" s="891"/>
      <c r="H1467" s="1088"/>
      <c r="I1467" s="1088"/>
      <c r="J1467" s="1088"/>
      <c r="K1467" s="1088"/>
    </row>
    <row r="1468" spans="3:11" ht="12" customHeight="1">
      <c r="C1468" s="891"/>
      <c r="D1468" s="891"/>
      <c r="E1468" s="891"/>
      <c r="F1468" s="891"/>
      <c r="G1468" s="891"/>
      <c r="H1468" s="1088"/>
      <c r="I1468" s="1088"/>
      <c r="J1468" s="1088"/>
      <c r="K1468" s="1088"/>
    </row>
    <row r="1469" spans="3:11" ht="12" customHeight="1">
      <c r="C1469" s="891"/>
      <c r="D1469" s="891"/>
      <c r="E1469" s="891"/>
      <c r="F1469" s="891"/>
      <c r="G1469" s="891"/>
      <c r="H1469" s="1088"/>
      <c r="I1469" s="1088"/>
      <c r="J1469" s="1088"/>
      <c r="K1469" s="1088"/>
    </row>
    <row r="1470" spans="3:11" ht="12" customHeight="1">
      <c r="C1470" s="891"/>
      <c r="D1470" s="891"/>
      <c r="E1470" s="891"/>
      <c r="F1470" s="891"/>
      <c r="G1470" s="891"/>
      <c r="H1470" s="1088"/>
      <c r="I1470" s="1088"/>
      <c r="J1470" s="1088"/>
      <c r="K1470" s="1088"/>
    </row>
    <row r="1471" spans="3:11" ht="12" customHeight="1">
      <c r="C1471" s="891"/>
      <c r="D1471" s="891"/>
      <c r="E1471" s="891"/>
      <c r="F1471" s="891"/>
      <c r="G1471" s="891"/>
      <c r="H1471" s="1088"/>
      <c r="I1471" s="1088"/>
      <c r="J1471" s="1088"/>
      <c r="K1471" s="1088"/>
    </row>
    <row r="1472" spans="3:11" ht="12" customHeight="1">
      <c r="C1472" s="891"/>
      <c r="D1472" s="891"/>
      <c r="E1472" s="891"/>
      <c r="F1472" s="891"/>
      <c r="G1472" s="891"/>
      <c r="H1472" s="1088"/>
      <c r="I1472" s="1088"/>
      <c r="J1472" s="1088"/>
      <c r="K1472" s="1088"/>
    </row>
    <row r="1473" spans="3:11" ht="12" customHeight="1">
      <c r="C1473" s="891"/>
      <c r="D1473" s="891"/>
      <c r="E1473" s="891"/>
      <c r="F1473" s="891"/>
      <c r="G1473" s="891"/>
      <c r="H1473" s="1088"/>
      <c r="I1473" s="1088"/>
      <c r="J1473" s="1088"/>
      <c r="K1473" s="1088"/>
    </row>
    <row r="1474" spans="3:11" ht="12" customHeight="1">
      <c r="C1474" s="891"/>
      <c r="D1474" s="891"/>
      <c r="E1474" s="891"/>
      <c r="F1474" s="891"/>
      <c r="G1474" s="891"/>
      <c r="H1474" s="1088"/>
      <c r="I1474" s="1088"/>
      <c r="J1474" s="1088"/>
      <c r="K1474" s="1088"/>
    </row>
    <row r="1475" spans="3:11" ht="12" customHeight="1">
      <c r="C1475" s="891"/>
      <c r="D1475" s="891"/>
      <c r="E1475" s="891"/>
      <c r="F1475" s="891"/>
      <c r="G1475" s="891"/>
      <c r="H1475" s="1088"/>
      <c r="I1475" s="1088"/>
      <c r="J1475" s="1088"/>
      <c r="K1475" s="1088"/>
    </row>
    <row r="1476" spans="3:11" ht="12" customHeight="1">
      <c r="C1476" s="891"/>
      <c r="D1476" s="891"/>
      <c r="E1476" s="891"/>
      <c r="F1476" s="891"/>
      <c r="G1476" s="891"/>
      <c r="H1476" s="1088"/>
      <c r="I1476" s="1088"/>
      <c r="J1476" s="1088"/>
      <c r="K1476" s="1088"/>
    </row>
    <row r="1477" spans="3:11" ht="12" customHeight="1">
      <c r="C1477" s="891"/>
      <c r="D1477" s="891"/>
      <c r="E1477" s="891"/>
      <c r="F1477" s="891"/>
      <c r="G1477" s="891"/>
      <c r="H1477" s="1088"/>
      <c r="I1477" s="1088"/>
      <c r="J1477" s="1088"/>
      <c r="K1477" s="1088"/>
    </row>
    <row r="1478" spans="3:11" ht="12" customHeight="1">
      <c r="C1478" s="891"/>
      <c r="D1478" s="891"/>
      <c r="E1478" s="891"/>
      <c r="F1478" s="891"/>
      <c r="G1478" s="891"/>
      <c r="H1478" s="1088"/>
      <c r="I1478" s="1088"/>
      <c r="J1478" s="1088"/>
      <c r="K1478" s="1088"/>
    </row>
    <row r="1479" spans="3:11" ht="12" customHeight="1">
      <c r="C1479" s="891"/>
      <c r="D1479" s="891"/>
      <c r="E1479" s="891"/>
      <c r="F1479" s="891"/>
      <c r="G1479" s="891"/>
      <c r="H1479" s="1088"/>
      <c r="I1479" s="1088"/>
      <c r="J1479" s="1088"/>
      <c r="K1479" s="1088"/>
    </row>
    <row r="1480" spans="3:11" ht="12" customHeight="1">
      <c r="C1480" s="891"/>
      <c r="D1480" s="891"/>
      <c r="E1480" s="891"/>
      <c r="F1480" s="891"/>
      <c r="G1480" s="891"/>
      <c r="H1480" s="1088"/>
      <c r="I1480" s="1088"/>
      <c r="J1480" s="1088"/>
      <c r="K1480" s="1088"/>
    </row>
    <row r="1481" spans="3:11" ht="12" customHeight="1">
      <c r="C1481" s="891"/>
      <c r="D1481" s="891"/>
      <c r="E1481" s="891"/>
      <c r="F1481" s="891"/>
      <c r="G1481" s="891"/>
      <c r="H1481" s="1088"/>
      <c r="I1481" s="1088"/>
      <c r="J1481" s="1088"/>
      <c r="K1481" s="1088"/>
    </row>
    <row r="1482" spans="3:11" ht="12" customHeight="1">
      <c r="C1482" s="891"/>
      <c r="D1482" s="891"/>
      <c r="E1482" s="891"/>
      <c r="F1482" s="891"/>
      <c r="G1482" s="891"/>
      <c r="H1482" s="1088"/>
      <c r="I1482" s="1088"/>
      <c r="J1482" s="1088"/>
      <c r="K1482" s="1088"/>
    </row>
    <row r="1483" spans="3:11" ht="12" customHeight="1">
      <c r="C1483" s="891"/>
      <c r="D1483" s="891"/>
      <c r="E1483" s="891"/>
      <c r="F1483" s="891"/>
      <c r="G1483" s="891"/>
      <c r="H1483" s="1088"/>
      <c r="I1483" s="1088"/>
      <c r="J1483" s="1088"/>
      <c r="K1483" s="1088"/>
    </row>
    <row r="1484" spans="3:11" ht="12" customHeight="1">
      <c r="C1484" s="891"/>
      <c r="D1484" s="891"/>
      <c r="E1484" s="891"/>
      <c r="F1484" s="891"/>
      <c r="G1484" s="891"/>
      <c r="H1484" s="1088"/>
      <c r="I1484" s="1088"/>
      <c r="J1484" s="1088"/>
      <c r="K1484" s="1088"/>
    </row>
    <row r="1485" spans="3:11" ht="12" customHeight="1">
      <c r="C1485" s="891"/>
      <c r="D1485" s="891"/>
      <c r="E1485" s="891"/>
      <c r="F1485" s="891"/>
      <c r="G1485" s="891"/>
      <c r="H1485" s="1088"/>
      <c r="I1485" s="1088"/>
      <c r="J1485" s="1088"/>
      <c r="K1485" s="1088"/>
    </row>
    <row r="1486" spans="3:11" ht="12" customHeight="1">
      <c r="C1486" s="891"/>
      <c r="D1486" s="891"/>
      <c r="E1486" s="891"/>
      <c r="F1486" s="891"/>
      <c r="G1486" s="891"/>
      <c r="H1486" s="1088"/>
      <c r="I1486" s="1088"/>
      <c r="J1486" s="1088"/>
      <c r="K1486" s="1088"/>
    </row>
    <row r="1487" spans="3:11" ht="12" customHeight="1">
      <c r="C1487" s="891"/>
      <c r="D1487" s="891"/>
      <c r="E1487" s="891"/>
      <c r="F1487" s="891"/>
      <c r="G1487" s="891"/>
      <c r="H1487" s="1088"/>
      <c r="I1487" s="1088"/>
      <c r="J1487" s="1088"/>
      <c r="K1487" s="1088"/>
    </row>
    <row r="1488" spans="3:11" ht="12" customHeight="1">
      <c r="C1488" s="891"/>
      <c r="D1488" s="891"/>
      <c r="E1488" s="891"/>
      <c r="F1488" s="891"/>
      <c r="G1488" s="891"/>
      <c r="H1488" s="1088"/>
      <c r="I1488" s="1088"/>
      <c r="J1488" s="1088"/>
      <c r="K1488" s="1088"/>
    </row>
    <row r="1489" spans="3:11" ht="12" customHeight="1">
      <c r="C1489" s="891"/>
      <c r="D1489" s="891"/>
      <c r="E1489" s="891"/>
      <c r="F1489" s="891"/>
      <c r="G1489" s="891"/>
      <c r="H1489" s="1088"/>
      <c r="I1489" s="1088"/>
      <c r="J1489" s="1088"/>
      <c r="K1489" s="1088"/>
    </row>
    <row r="1490" spans="3:11" ht="12" customHeight="1">
      <c r="C1490" s="891"/>
      <c r="D1490" s="891"/>
      <c r="E1490" s="891"/>
      <c r="F1490" s="891"/>
      <c r="G1490" s="891"/>
      <c r="H1490" s="1088"/>
      <c r="I1490" s="1088"/>
      <c r="J1490" s="1088"/>
      <c r="K1490" s="1088"/>
    </row>
    <row r="1491" spans="3:11" ht="12" customHeight="1">
      <c r="C1491" s="891"/>
      <c r="D1491" s="891"/>
      <c r="E1491" s="891"/>
      <c r="F1491" s="891"/>
      <c r="G1491" s="891"/>
      <c r="H1491" s="1088"/>
      <c r="I1491" s="1088"/>
      <c r="J1491" s="1088"/>
      <c r="K1491" s="1088"/>
    </row>
    <row r="1492" spans="3:11" ht="12" customHeight="1">
      <c r="C1492" s="891"/>
      <c r="D1492" s="891"/>
      <c r="E1492" s="891"/>
      <c r="F1492" s="891"/>
      <c r="G1492" s="891"/>
      <c r="H1492" s="1088"/>
      <c r="I1492" s="1088"/>
      <c r="J1492" s="1088"/>
      <c r="K1492" s="1088"/>
    </row>
    <row r="1493" spans="3:11" ht="12" customHeight="1">
      <c r="C1493" s="891"/>
      <c r="D1493" s="891"/>
      <c r="E1493" s="891"/>
      <c r="F1493" s="891"/>
      <c r="G1493" s="891"/>
      <c r="H1493" s="1088"/>
      <c r="I1493" s="1088"/>
      <c r="J1493" s="1088"/>
      <c r="K1493" s="1088"/>
    </row>
    <row r="1494" spans="3:11" ht="12" customHeight="1">
      <c r="C1494" s="891"/>
      <c r="D1494" s="891"/>
      <c r="E1494" s="891"/>
      <c r="F1494" s="891"/>
      <c r="G1494" s="891"/>
      <c r="H1494" s="1088"/>
      <c r="I1494" s="1088"/>
      <c r="J1494" s="1088"/>
      <c r="K1494" s="1088"/>
    </row>
    <row r="1495" spans="3:11" ht="12" customHeight="1">
      <c r="C1495" s="891"/>
      <c r="D1495" s="891"/>
      <c r="E1495" s="891"/>
      <c r="F1495" s="891"/>
      <c r="G1495" s="891"/>
      <c r="H1495" s="1088"/>
      <c r="I1495" s="1088"/>
      <c r="J1495" s="1088"/>
      <c r="K1495" s="1088"/>
    </row>
    <row r="1496" spans="3:11" ht="12" customHeight="1">
      <c r="C1496" s="891"/>
      <c r="D1496" s="891"/>
      <c r="E1496" s="891"/>
      <c r="F1496" s="891"/>
      <c r="G1496" s="891"/>
      <c r="H1496" s="1088"/>
      <c r="I1496" s="1088"/>
      <c r="J1496" s="1088"/>
      <c r="K1496" s="1088"/>
    </row>
    <row r="1497" spans="3:11" ht="12" customHeight="1">
      <c r="C1497" s="891"/>
      <c r="D1497" s="891"/>
      <c r="E1497" s="891"/>
      <c r="F1497" s="891"/>
      <c r="G1497" s="891"/>
      <c r="H1497" s="1088"/>
      <c r="I1497" s="1088"/>
      <c r="J1497" s="1088"/>
      <c r="K1497" s="1088"/>
    </row>
    <row r="1498" spans="3:11" ht="12" customHeight="1">
      <c r="C1498" s="891"/>
      <c r="D1498" s="891"/>
      <c r="E1498" s="891"/>
      <c r="F1498" s="891"/>
      <c r="G1498" s="891"/>
      <c r="H1498" s="1088"/>
      <c r="I1498" s="1088"/>
      <c r="J1498" s="1088"/>
      <c r="K1498" s="1088"/>
    </row>
    <row r="1499" spans="3:11" ht="12" customHeight="1">
      <c r="C1499" s="891"/>
      <c r="D1499" s="891"/>
      <c r="E1499" s="891"/>
      <c r="F1499" s="891"/>
      <c r="G1499" s="891"/>
      <c r="H1499" s="1088"/>
      <c r="I1499" s="1088"/>
      <c r="J1499" s="1088"/>
      <c r="K1499" s="1088"/>
    </row>
    <row r="1500" spans="3:11" ht="12" customHeight="1">
      <c r="C1500" s="891"/>
      <c r="D1500" s="891"/>
      <c r="E1500" s="891"/>
      <c r="F1500" s="891"/>
      <c r="G1500" s="891"/>
      <c r="H1500" s="1088"/>
      <c r="I1500" s="1088"/>
      <c r="J1500" s="1088"/>
      <c r="K1500" s="1088"/>
    </row>
    <row r="1501" spans="3:11" ht="12" customHeight="1">
      <c r="C1501" s="891"/>
      <c r="D1501" s="891"/>
      <c r="E1501" s="891"/>
      <c r="F1501" s="891"/>
      <c r="G1501" s="891"/>
      <c r="H1501" s="1088"/>
      <c r="I1501" s="1088"/>
      <c r="J1501" s="1088"/>
      <c r="K1501" s="1088"/>
    </row>
    <row r="1502" spans="3:11" ht="12" customHeight="1">
      <c r="C1502" s="891"/>
      <c r="D1502" s="891"/>
      <c r="E1502" s="891"/>
      <c r="F1502" s="891"/>
      <c r="G1502" s="891"/>
      <c r="H1502" s="1088"/>
      <c r="I1502" s="1088"/>
      <c r="J1502" s="1088"/>
      <c r="K1502" s="1088"/>
    </row>
    <row r="1503" spans="3:11" ht="12" customHeight="1">
      <c r="C1503" s="891"/>
      <c r="D1503" s="891"/>
      <c r="E1503" s="891"/>
      <c r="F1503" s="891"/>
      <c r="G1503" s="891"/>
      <c r="H1503" s="1088"/>
      <c r="I1503" s="1088"/>
      <c r="J1503" s="1088"/>
      <c r="K1503" s="1088"/>
    </row>
    <row r="1504" spans="3:11" ht="12" customHeight="1">
      <c r="C1504" s="891"/>
      <c r="D1504" s="891"/>
      <c r="E1504" s="891"/>
      <c r="F1504" s="891"/>
      <c r="G1504" s="891"/>
      <c r="H1504" s="1088"/>
      <c r="I1504" s="1088"/>
      <c r="J1504" s="1088"/>
      <c r="K1504" s="1088"/>
    </row>
    <row r="1505" spans="3:11" ht="12" customHeight="1">
      <c r="C1505" s="891"/>
      <c r="D1505" s="891"/>
      <c r="E1505" s="891"/>
      <c r="F1505" s="891"/>
      <c r="G1505" s="891"/>
      <c r="H1505" s="1088"/>
      <c r="I1505" s="1088"/>
      <c r="J1505" s="1088"/>
      <c r="K1505" s="1088"/>
    </row>
    <row r="1506" spans="3:11" ht="12" customHeight="1">
      <c r="C1506" s="891"/>
      <c r="D1506" s="891"/>
      <c r="E1506" s="891"/>
      <c r="F1506" s="891"/>
      <c r="G1506" s="891"/>
      <c r="H1506" s="1088"/>
      <c r="I1506" s="1088"/>
      <c r="J1506" s="1088"/>
      <c r="K1506" s="1088"/>
    </row>
    <row r="1507" spans="3:11" ht="12" customHeight="1">
      <c r="C1507" s="891"/>
      <c r="D1507" s="891"/>
      <c r="E1507" s="891"/>
      <c r="F1507" s="891"/>
      <c r="G1507" s="891"/>
      <c r="H1507" s="1088"/>
      <c r="I1507" s="1088"/>
      <c r="J1507" s="1088"/>
      <c r="K1507" s="1088"/>
    </row>
    <row r="1508" spans="3:11" ht="12" customHeight="1">
      <c r="C1508" s="891"/>
      <c r="D1508" s="891"/>
      <c r="E1508" s="891"/>
      <c r="F1508" s="891"/>
      <c r="G1508" s="891"/>
      <c r="H1508" s="1088"/>
      <c r="I1508" s="1088"/>
      <c r="J1508" s="1088"/>
      <c r="K1508" s="1088"/>
    </row>
    <row r="1509" spans="3:11" ht="12" customHeight="1">
      <c r="C1509" s="891"/>
      <c r="D1509" s="891"/>
      <c r="E1509" s="891"/>
      <c r="F1509" s="891"/>
      <c r="G1509" s="891"/>
      <c r="H1509" s="1088"/>
      <c r="I1509" s="1088"/>
      <c r="J1509" s="1088"/>
      <c r="K1509" s="1088"/>
    </row>
    <row r="1510" spans="3:11" ht="12" customHeight="1">
      <c r="C1510" s="891"/>
      <c r="D1510" s="891"/>
      <c r="E1510" s="891"/>
      <c r="F1510" s="891"/>
      <c r="G1510" s="891"/>
      <c r="H1510" s="1088"/>
      <c r="I1510" s="1088"/>
      <c r="J1510" s="1088"/>
      <c r="K1510" s="1088"/>
    </row>
    <row r="1511" spans="3:11" ht="12" customHeight="1">
      <c r="C1511" s="891"/>
      <c r="D1511" s="891"/>
      <c r="E1511" s="891"/>
      <c r="F1511" s="891"/>
      <c r="G1511" s="891"/>
      <c r="H1511" s="1088"/>
      <c r="I1511" s="1088"/>
      <c r="J1511" s="1088"/>
      <c r="K1511" s="1088"/>
    </row>
    <row r="1512" spans="3:11" ht="12" customHeight="1">
      <c r="C1512" s="891"/>
      <c r="D1512" s="891"/>
      <c r="E1512" s="891"/>
      <c r="F1512" s="891"/>
      <c r="G1512" s="891"/>
      <c r="H1512" s="1088"/>
      <c r="I1512" s="1088"/>
      <c r="J1512" s="1088"/>
      <c r="K1512" s="1088"/>
    </row>
    <row r="1513" spans="3:11" ht="12" customHeight="1">
      <c r="C1513" s="891"/>
      <c r="D1513" s="891"/>
      <c r="E1513" s="891"/>
      <c r="F1513" s="891"/>
      <c r="G1513" s="891"/>
      <c r="H1513" s="1088"/>
      <c r="I1513" s="1088"/>
      <c r="J1513" s="1088"/>
      <c r="K1513" s="1088"/>
    </row>
    <row r="1514" spans="3:11" ht="12" customHeight="1">
      <c r="C1514" s="891"/>
      <c r="D1514" s="891"/>
      <c r="E1514" s="891"/>
      <c r="F1514" s="891"/>
      <c r="G1514" s="891"/>
      <c r="H1514" s="1088"/>
      <c r="I1514" s="1088"/>
      <c r="J1514" s="1088"/>
      <c r="K1514" s="1088"/>
    </row>
    <row r="1515" spans="3:11" ht="12" customHeight="1">
      <c r="C1515" s="891"/>
      <c r="D1515" s="891"/>
      <c r="E1515" s="891"/>
      <c r="F1515" s="891"/>
      <c r="G1515" s="891"/>
      <c r="H1515" s="1088"/>
      <c r="I1515" s="1088"/>
      <c r="J1515" s="1088"/>
      <c r="K1515" s="1088"/>
    </row>
    <row r="1516" spans="3:11" ht="12" customHeight="1">
      <c r="C1516" s="891"/>
      <c r="D1516" s="891"/>
      <c r="E1516" s="891"/>
      <c r="F1516" s="891"/>
      <c r="G1516" s="891"/>
      <c r="H1516" s="1088"/>
      <c r="I1516" s="1088"/>
      <c r="J1516" s="1088"/>
      <c r="K1516" s="1088"/>
    </row>
    <row r="1517" spans="3:11" ht="12" customHeight="1">
      <c r="C1517" s="891"/>
      <c r="D1517" s="891"/>
      <c r="E1517" s="891"/>
      <c r="F1517" s="891"/>
      <c r="G1517" s="891"/>
      <c r="H1517" s="1088"/>
      <c r="I1517" s="1088"/>
      <c r="J1517" s="1088"/>
      <c r="K1517" s="1088"/>
    </row>
    <row r="1518" spans="3:11" ht="12" customHeight="1">
      <c r="C1518" s="891"/>
      <c r="D1518" s="891"/>
      <c r="E1518" s="891"/>
      <c r="F1518" s="891"/>
      <c r="G1518" s="891"/>
      <c r="H1518" s="1088"/>
      <c r="I1518" s="1088"/>
      <c r="J1518" s="1088"/>
      <c r="K1518" s="1088"/>
    </row>
    <row r="1519" spans="3:11" ht="12" customHeight="1">
      <c r="C1519" s="891"/>
      <c r="D1519" s="891"/>
      <c r="E1519" s="891"/>
      <c r="F1519" s="891"/>
      <c r="G1519" s="891"/>
      <c r="H1519" s="1088"/>
      <c r="I1519" s="1088"/>
      <c r="J1519" s="1088"/>
      <c r="K1519" s="1088"/>
    </row>
    <row r="1520" spans="3:11" ht="12" customHeight="1">
      <c r="C1520" s="891"/>
      <c r="D1520" s="891"/>
      <c r="E1520" s="891"/>
      <c r="F1520" s="891"/>
      <c r="G1520" s="891"/>
      <c r="H1520" s="1088"/>
      <c r="I1520" s="1088"/>
      <c r="J1520" s="1088"/>
      <c r="K1520" s="1088"/>
    </row>
    <row r="1521" spans="3:11" ht="12" customHeight="1">
      <c r="C1521" s="891"/>
      <c r="D1521" s="891"/>
      <c r="E1521" s="891"/>
      <c r="F1521" s="891"/>
      <c r="G1521" s="891"/>
      <c r="H1521" s="1088"/>
      <c r="I1521" s="1088"/>
      <c r="J1521" s="1088"/>
      <c r="K1521" s="1088"/>
    </row>
    <row r="1522" spans="3:11" ht="12" customHeight="1">
      <c r="C1522" s="891"/>
      <c r="D1522" s="891"/>
      <c r="E1522" s="891"/>
      <c r="F1522" s="891"/>
      <c r="G1522" s="891"/>
      <c r="H1522" s="1088"/>
      <c r="I1522" s="1088"/>
      <c r="J1522" s="1088"/>
      <c r="K1522" s="1088"/>
    </row>
    <row r="1523" spans="3:11" ht="12" customHeight="1">
      <c r="C1523" s="891"/>
      <c r="D1523" s="891"/>
      <c r="E1523" s="891"/>
      <c r="F1523" s="891"/>
      <c r="G1523" s="891"/>
      <c r="H1523" s="1088"/>
      <c r="I1523" s="1088"/>
      <c r="J1523" s="1088"/>
      <c r="K1523" s="1088"/>
    </row>
    <row r="1524" spans="3:11" ht="12" customHeight="1">
      <c r="C1524" s="891"/>
      <c r="D1524" s="891"/>
      <c r="E1524" s="891"/>
      <c r="F1524" s="891"/>
      <c r="G1524" s="891"/>
      <c r="H1524" s="1088"/>
      <c r="I1524" s="1088"/>
      <c r="J1524" s="1088"/>
      <c r="K1524" s="1088"/>
    </row>
    <row r="1525" spans="3:11" ht="12" customHeight="1">
      <c r="C1525" s="891"/>
      <c r="D1525" s="891"/>
      <c r="E1525" s="891"/>
      <c r="F1525" s="891"/>
      <c r="G1525" s="891"/>
      <c r="H1525" s="1088"/>
      <c r="I1525" s="1088"/>
      <c r="J1525" s="1088"/>
      <c r="K1525" s="1088"/>
    </row>
    <row r="1526" spans="3:11" ht="12" customHeight="1">
      <c r="C1526" s="891"/>
      <c r="D1526" s="891"/>
      <c r="E1526" s="891"/>
      <c r="F1526" s="891"/>
      <c r="G1526" s="891"/>
      <c r="H1526" s="1088"/>
      <c r="I1526" s="1088"/>
      <c r="J1526" s="1088"/>
      <c r="K1526" s="1088"/>
    </row>
    <row r="1527" spans="3:11" ht="12" customHeight="1">
      <c r="C1527" s="891"/>
      <c r="D1527" s="891"/>
      <c r="E1527" s="891"/>
      <c r="F1527" s="891"/>
      <c r="G1527" s="891"/>
      <c r="H1527" s="1088"/>
      <c r="I1527" s="1088"/>
      <c r="J1527" s="1088"/>
      <c r="K1527" s="1088"/>
    </row>
    <row r="1528" spans="3:11" ht="12" customHeight="1">
      <c r="C1528" s="891"/>
      <c r="D1528" s="891"/>
      <c r="E1528" s="891"/>
      <c r="F1528" s="891"/>
      <c r="G1528" s="891"/>
      <c r="H1528" s="1088"/>
      <c r="I1528" s="1088"/>
      <c r="J1528" s="1088"/>
      <c r="K1528" s="1088"/>
    </row>
    <row r="1529" spans="3:11" ht="12" customHeight="1">
      <c r="C1529" s="891"/>
      <c r="D1529" s="891"/>
      <c r="E1529" s="891"/>
      <c r="F1529" s="891"/>
      <c r="G1529" s="891"/>
      <c r="H1529" s="1088"/>
      <c r="I1529" s="1088"/>
      <c r="J1529" s="1088"/>
      <c r="K1529" s="1088"/>
    </row>
    <row r="1530" spans="3:11" ht="12" customHeight="1">
      <c r="C1530" s="891"/>
      <c r="D1530" s="891"/>
      <c r="E1530" s="891"/>
      <c r="F1530" s="891"/>
      <c r="G1530" s="891"/>
      <c r="H1530" s="1088"/>
      <c r="I1530" s="1088"/>
      <c r="J1530" s="1088"/>
      <c r="K1530" s="1088"/>
    </row>
    <row r="1531" spans="3:11" ht="12" customHeight="1">
      <c r="C1531" s="891"/>
      <c r="D1531" s="891"/>
      <c r="E1531" s="891"/>
      <c r="F1531" s="891"/>
      <c r="G1531" s="891"/>
      <c r="H1531" s="1088"/>
      <c r="I1531" s="1088"/>
      <c r="J1531" s="1088"/>
      <c r="K1531" s="1088"/>
    </row>
    <row r="1532" spans="3:11" ht="12" customHeight="1">
      <c r="C1532" s="891"/>
      <c r="D1532" s="891"/>
      <c r="E1532" s="891"/>
      <c r="F1532" s="891"/>
      <c r="G1532" s="891"/>
      <c r="H1532" s="1088"/>
      <c r="I1532" s="1088"/>
      <c r="J1532" s="1088"/>
      <c r="K1532" s="1088"/>
    </row>
    <row r="1533" spans="3:11" ht="12" customHeight="1">
      <c r="C1533" s="891"/>
      <c r="D1533" s="891"/>
      <c r="E1533" s="891"/>
      <c r="F1533" s="891"/>
      <c r="G1533" s="891"/>
      <c r="H1533" s="1088"/>
      <c r="I1533" s="1088"/>
      <c r="J1533" s="1088"/>
      <c r="K1533" s="1088"/>
    </row>
    <row r="1534" spans="3:11" ht="12" customHeight="1">
      <c r="C1534" s="891"/>
      <c r="D1534" s="891"/>
      <c r="E1534" s="891"/>
      <c r="F1534" s="891"/>
      <c r="G1534" s="891"/>
      <c r="H1534" s="1088"/>
      <c r="I1534" s="1088"/>
      <c r="J1534" s="1088"/>
      <c r="K1534" s="1088"/>
    </row>
    <row r="1535" spans="3:11" ht="12" customHeight="1">
      <c r="C1535" s="891"/>
      <c r="D1535" s="891"/>
      <c r="E1535" s="891"/>
      <c r="F1535" s="891"/>
      <c r="G1535" s="891"/>
      <c r="H1535" s="1088"/>
      <c r="I1535" s="1088"/>
      <c r="J1535" s="1088"/>
      <c r="K1535" s="1088"/>
    </row>
    <row r="1536" spans="3:11" ht="12" customHeight="1">
      <c r="C1536" s="891"/>
      <c r="D1536" s="891"/>
      <c r="E1536" s="891"/>
      <c r="F1536" s="891"/>
      <c r="G1536" s="891"/>
      <c r="H1536" s="1088"/>
      <c r="I1536" s="1088"/>
      <c r="J1536" s="1088"/>
      <c r="K1536" s="1088"/>
    </row>
    <row r="1537" spans="3:11" ht="12" customHeight="1">
      <c r="C1537" s="891"/>
      <c r="D1537" s="891"/>
      <c r="E1537" s="891"/>
      <c r="F1537" s="891"/>
      <c r="G1537" s="891"/>
      <c r="H1537" s="1088"/>
      <c r="I1537" s="1088"/>
      <c r="J1537" s="1088"/>
      <c r="K1537" s="1088"/>
    </row>
    <row r="1538" spans="3:11" ht="12" customHeight="1">
      <c r="C1538" s="891"/>
      <c r="D1538" s="891"/>
      <c r="E1538" s="891"/>
      <c r="F1538" s="891"/>
      <c r="G1538" s="891"/>
      <c r="H1538" s="1088"/>
      <c r="I1538" s="1088"/>
      <c r="J1538" s="1088"/>
      <c r="K1538" s="1088"/>
    </row>
    <row r="1539" spans="3:11" ht="12" customHeight="1">
      <c r="C1539" s="891"/>
      <c r="D1539" s="891"/>
      <c r="E1539" s="891"/>
      <c r="F1539" s="891"/>
      <c r="G1539" s="891"/>
      <c r="H1539" s="1088"/>
      <c r="I1539" s="1088"/>
      <c r="J1539" s="1088"/>
      <c r="K1539" s="1088"/>
    </row>
    <row r="1540" spans="3:11" ht="12" customHeight="1">
      <c r="C1540" s="891"/>
      <c r="D1540" s="891"/>
      <c r="E1540" s="891"/>
      <c r="F1540" s="891"/>
      <c r="G1540" s="891"/>
      <c r="H1540" s="1088"/>
      <c r="I1540" s="1088"/>
      <c r="J1540" s="1088"/>
      <c r="K1540" s="1088"/>
    </row>
    <row r="1541" spans="3:11" ht="12" customHeight="1">
      <c r="C1541" s="891"/>
      <c r="D1541" s="891"/>
      <c r="E1541" s="891"/>
      <c r="F1541" s="891"/>
      <c r="G1541" s="891"/>
      <c r="H1541" s="1088"/>
      <c r="I1541" s="1088"/>
      <c r="J1541" s="1088"/>
      <c r="K1541" s="1088"/>
    </row>
    <row r="1542" spans="3:11" ht="12" customHeight="1">
      <c r="C1542" s="891"/>
      <c r="D1542" s="891"/>
      <c r="E1542" s="891"/>
      <c r="F1542" s="891"/>
      <c r="G1542" s="891"/>
      <c r="H1542" s="1088"/>
      <c r="I1542" s="1088"/>
      <c r="J1542" s="1088"/>
      <c r="K1542" s="1088"/>
    </row>
    <row r="1543" spans="3:11" ht="12" customHeight="1">
      <c r="C1543" s="891"/>
      <c r="D1543" s="891"/>
      <c r="E1543" s="891"/>
      <c r="F1543" s="891"/>
      <c r="G1543" s="891"/>
      <c r="H1543" s="1088"/>
      <c r="I1543" s="1088"/>
      <c r="J1543" s="1088"/>
      <c r="K1543" s="1088"/>
    </row>
    <row r="1544" spans="3:11" ht="12" customHeight="1">
      <c r="C1544" s="891"/>
      <c r="D1544" s="891"/>
      <c r="E1544" s="891"/>
      <c r="F1544" s="891"/>
      <c r="G1544" s="891"/>
      <c r="H1544" s="1088"/>
      <c r="I1544" s="1088"/>
      <c r="J1544" s="1088"/>
      <c r="K1544" s="1088"/>
    </row>
    <row r="1545" spans="3:11" ht="12" customHeight="1">
      <c r="C1545" s="891"/>
      <c r="D1545" s="891"/>
      <c r="E1545" s="891"/>
      <c r="F1545" s="891"/>
      <c r="G1545" s="891"/>
      <c r="H1545" s="1088"/>
      <c r="I1545" s="1088"/>
      <c r="J1545" s="1088"/>
      <c r="K1545" s="1088"/>
    </row>
    <row r="1546" spans="3:11" ht="12" customHeight="1">
      <c r="C1546" s="891"/>
      <c r="D1546" s="891"/>
      <c r="E1546" s="891"/>
      <c r="F1546" s="891"/>
      <c r="G1546" s="891"/>
      <c r="H1546" s="1088"/>
      <c r="I1546" s="1088"/>
      <c r="J1546" s="1088"/>
      <c r="K1546" s="1088"/>
    </row>
    <row r="1547" spans="3:11" ht="12" customHeight="1">
      <c r="C1547" s="891"/>
      <c r="D1547" s="891"/>
      <c r="E1547" s="891"/>
      <c r="F1547" s="891"/>
      <c r="G1547" s="891"/>
      <c r="H1547" s="1088"/>
      <c r="I1547" s="1088"/>
      <c r="J1547" s="1088"/>
      <c r="K1547" s="1088"/>
    </row>
    <row r="1548" spans="3:11" ht="12" customHeight="1">
      <c r="C1548" s="891"/>
      <c r="D1548" s="891"/>
      <c r="E1548" s="891"/>
      <c r="F1548" s="891"/>
      <c r="G1548" s="891"/>
      <c r="H1548" s="1088"/>
      <c r="I1548" s="1088"/>
      <c r="J1548" s="1088"/>
      <c r="K1548" s="1088"/>
    </row>
    <row r="1549" spans="3:11" ht="12" customHeight="1">
      <c r="C1549" s="891"/>
      <c r="D1549" s="891"/>
      <c r="E1549" s="891"/>
      <c r="F1549" s="891"/>
      <c r="G1549" s="891"/>
      <c r="H1549" s="1088"/>
      <c r="I1549" s="1088"/>
      <c r="J1549" s="1088"/>
      <c r="K1549" s="1088"/>
    </row>
    <row r="1550" spans="3:11" ht="12" customHeight="1">
      <c r="C1550" s="891"/>
      <c r="D1550" s="891"/>
      <c r="E1550" s="891"/>
      <c r="F1550" s="891"/>
      <c r="G1550" s="891"/>
      <c r="H1550" s="1088"/>
      <c r="I1550" s="1088"/>
      <c r="J1550" s="1088"/>
      <c r="K1550" s="1088"/>
    </row>
    <row r="1551" spans="3:11" ht="12" customHeight="1">
      <c r="C1551" s="891"/>
      <c r="D1551" s="891"/>
      <c r="E1551" s="891"/>
      <c r="F1551" s="891"/>
      <c r="G1551" s="891"/>
      <c r="H1551" s="1088"/>
      <c r="I1551" s="1088"/>
      <c r="J1551" s="1088"/>
      <c r="K1551" s="1088"/>
    </row>
    <row r="1552" spans="3:11" ht="12" customHeight="1">
      <c r="C1552" s="891"/>
      <c r="D1552" s="891"/>
      <c r="E1552" s="891"/>
      <c r="F1552" s="891"/>
      <c r="G1552" s="891"/>
      <c r="H1552" s="1088"/>
      <c r="I1552" s="1088"/>
      <c r="J1552" s="1088"/>
      <c r="K1552" s="1088"/>
    </row>
    <row r="1553" spans="3:11" ht="12" customHeight="1">
      <c r="C1553" s="891"/>
      <c r="D1553" s="891"/>
      <c r="E1553" s="891"/>
      <c r="F1553" s="891"/>
      <c r="G1553" s="891"/>
      <c r="H1553" s="1088"/>
      <c r="I1553" s="1088"/>
      <c r="J1553" s="1088"/>
      <c r="K1553" s="1088"/>
    </row>
    <row r="1554" spans="3:11" ht="12" customHeight="1">
      <c r="C1554" s="891"/>
      <c r="D1554" s="891"/>
      <c r="E1554" s="891"/>
      <c r="F1554" s="891"/>
      <c r="G1554" s="891"/>
      <c r="H1554" s="1088"/>
      <c r="I1554" s="1088"/>
      <c r="J1554" s="1088"/>
      <c r="K1554" s="1088"/>
    </row>
    <row r="1555" spans="3:11" ht="12" customHeight="1">
      <c r="C1555" s="891"/>
      <c r="D1555" s="891"/>
      <c r="E1555" s="891"/>
      <c r="F1555" s="891"/>
      <c r="G1555" s="891"/>
      <c r="H1555" s="1088"/>
      <c r="I1555" s="1088"/>
      <c r="J1555" s="1088"/>
      <c r="K1555" s="1088"/>
    </row>
    <row r="1556" spans="3:11" ht="12" customHeight="1">
      <c r="C1556" s="891"/>
      <c r="D1556" s="891"/>
      <c r="E1556" s="891"/>
      <c r="F1556" s="891"/>
      <c r="G1556" s="891"/>
      <c r="H1556" s="1088"/>
      <c r="I1556" s="1088"/>
      <c r="J1556" s="1088"/>
      <c r="K1556" s="1088"/>
    </row>
    <row r="1557" spans="3:11" ht="12" customHeight="1">
      <c r="C1557" s="891"/>
      <c r="D1557" s="891"/>
      <c r="E1557" s="891"/>
      <c r="F1557" s="891"/>
      <c r="G1557" s="891"/>
      <c r="H1557" s="1088"/>
      <c r="I1557" s="1088"/>
      <c r="J1557" s="1088"/>
      <c r="K1557" s="1088"/>
    </row>
    <row r="1558" spans="3:11" ht="12" customHeight="1">
      <c r="C1558" s="891"/>
      <c r="D1558" s="891"/>
      <c r="E1558" s="891"/>
      <c r="F1558" s="891"/>
      <c r="G1558" s="891"/>
      <c r="H1558" s="1088"/>
      <c r="I1558" s="1088"/>
      <c r="J1558" s="1088"/>
      <c r="K1558" s="1088"/>
    </row>
    <row r="1559" spans="3:11" ht="12" customHeight="1">
      <c r="C1559" s="891"/>
      <c r="D1559" s="891"/>
      <c r="E1559" s="891"/>
      <c r="F1559" s="891"/>
      <c r="G1559" s="891"/>
      <c r="H1559" s="1088"/>
      <c r="I1559" s="1088"/>
      <c r="J1559" s="1088"/>
      <c r="K1559" s="1088"/>
    </row>
    <row r="1560" spans="3:11" ht="12" customHeight="1">
      <c r="C1560" s="891"/>
      <c r="D1560" s="891"/>
      <c r="E1560" s="891"/>
      <c r="F1560" s="891"/>
      <c r="G1560" s="891"/>
      <c r="H1560" s="1088"/>
      <c r="I1560" s="1088"/>
      <c r="J1560" s="1088"/>
      <c r="K1560" s="1088"/>
    </row>
    <row r="1561" spans="3:11" ht="12" customHeight="1">
      <c r="C1561" s="891"/>
      <c r="D1561" s="891"/>
      <c r="E1561" s="891"/>
      <c r="F1561" s="891"/>
      <c r="G1561" s="891"/>
      <c r="H1561" s="1088"/>
      <c r="I1561" s="1088"/>
      <c r="J1561" s="1088"/>
      <c r="K1561" s="1088"/>
    </row>
    <row r="1562" spans="3:11" ht="12" customHeight="1">
      <c r="C1562" s="891"/>
      <c r="D1562" s="891"/>
      <c r="E1562" s="891"/>
      <c r="F1562" s="891"/>
      <c r="G1562" s="891"/>
      <c r="H1562" s="1088"/>
      <c r="I1562" s="1088"/>
      <c r="J1562" s="1088"/>
      <c r="K1562" s="1088"/>
    </row>
    <row r="1563" spans="3:11" ht="12" customHeight="1">
      <c r="C1563" s="891"/>
      <c r="D1563" s="891"/>
      <c r="E1563" s="891"/>
      <c r="F1563" s="891"/>
      <c r="G1563" s="891"/>
      <c r="H1563" s="1088"/>
      <c r="I1563" s="1088"/>
      <c r="J1563" s="1088"/>
      <c r="K1563" s="1088"/>
    </row>
    <row r="1564" spans="3:11" ht="12" customHeight="1">
      <c r="C1564" s="891"/>
      <c r="D1564" s="891"/>
      <c r="E1564" s="891"/>
      <c r="F1564" s="891"/>
      <c r="G1564" s="891"/>
      <c r="H1564" s="1088"/>
      <c r="I1564" s="1088"/>
      <c r="J1564" s="1088"/>
      <c r="K1564" s="1088"/>
    </row>
    <row r="1565" spans="3:11" ht="12" customHeight="1">
      <c r="C1565" s="891"/>
      <c r="D1565" s="891"/>
      <c r="E1565" s="891"/>
      <c r="F1565" s="891"/>
      <c r="G1565" s="891"/>
      <c r="H1565" s="1088"/>
      <c r="I1565" s="1088"/>
      <c r="J1565" s="1088"/>
      <c r="K1565" s="1088"/>
    </row>
    <row r="1566" spans="3:11" ht="12" customHeight="1">
      <c r="C1566" s="891"/>
      <c r="D1566" s="891"/>
      <c r="E1566" s="891"/>
      <c r="F1566" s="891"/>
      <c r="G1566" s="891"/>
      <c r="H1566" s="1088"/>
      <c r="I1566" s="1088"/>
      <c r="J1566" s="1088"/>
      <c r="K1566" s="1088"/>
    </row>
    <row r="1567" spans="3:11" ht="12" customHeight="1">
      <c r="C1567" s="891"/>
      <c r="D1567" s="891"/>
      <c r="E1567" s="891"/>
      <c r="F1567" s="891"/>
      <c r="G1567" s="891"/>
      <c r="H1567" s="1088"/>
      <c r="I1567" s="1088"/>
      <c r="J1567" s="1088"/>
      <c r="K1567" s="1088"/>
    </row>
    <row r="1568" spans="3:11" ht="12" customHeight="1">
      <c r="C1568" s="891"/>
      <c r="D1568" s="891"/>
      <c r="E1568" s="891"/>
      <c r="F1568" s="891"/>
      <c r="G1568" s="891"/>
      <c r="H1568" s="1088"/>
      <c r="I1568" s="1088"/>
      <c r="J1568" s="1088"/>
      <c r="K1568" s="1088"/>
    </row>
    <row r="1569" spans="3:11" ht="12" customHeight="1">
      <c r="C1569" s="891"/>
      <c r="D1569" s="891"/>
      <c r="E1569" s="891"/>
      <c r="F1569" s="891"/>
      <c r="G1569" s="891"/>
      <c r="H1569" s="1088"/>
      <c r="I1569" s="1088"/>
      <c r="J1569" s="1088"/>
      <c r="K1569" s="1088"/>
    </row>
    <row r="1570" spans="3:11" ht="12" customHeight="1">
      <c r="C1570" s="891"/>
      <c r="D1570" s="891"/>
      <c r="E1570" s="891"/>
      <c r="F1570" s="891"/>
      <c r="G1570" s="891"/>
      <c r="H1570" s="1088"/>
      <c r="I1570" s="1088"/>
      <c r="J1570" s="1088"/>
      <c r="K1570" s="1088"/>
    </row>
    <row r="1571" spans="3:11" ht="12" customHeight="1">
      <c r="C1571" s="891"/>
      <c r="D1571" s="891"/>
      <c r="E1571" s="891"/>
      <c r="F1571" s="891"/>
      <c r="G1571" s="891"/>
      <c r="H1571" s="1088"/>
      <c r="I1571" s="1088"/>
      <c r="J1571" s="1088"/>
      <c r="K1571" s="1088"/>
    </row>
    <row r="1572" spans="3:11" ht="12" customHeight="1">
      <c r="C1572" s="891"/>
      <c r="D1572" s="891"/>
      <c r="E1572" s="891"/>
      <c r="F1572" s="891"/>
      <c r="G1572" s="891"/>
      <c r="H1572" s="1088"/>
      <c r="I1572" s="1088"/>
      <c r="J1572" s="1088"/>
      <c r="K1572" s="1088"/>
    </row>
    <row r="1573" spans="3:11" ht="12" customHeight="1">
      <c r="C1573" s="891"/>
      <c r="D1573" s="891"/>
      <c r="E1573" s="891"/>
      <c r="F1573" s="891"/>
      <c r="G1573" s="891"/>
      <c r="H1573" s="1088"/>
      <c r="I1573" s="1088"/>
      <c r="J1573" s="1088"/>
      <c r="K1573" s="1088"/>
    </row>
    <row r="1574" spans="3:11" ht="12" customHeight="1">
      <c r="C1574" s="891"/>
      <c r="D1574" s="891"/>
      <c r="E1574" s="891"/>
      <c r="F1574" s="891"/>
      <c r="G1574" s="891"/>
      <c r="H1574" s="1088"/>
      <c r="I1574" s="1088"/>
      <c r="J1574" s="1088"/>
      <c r="K1574" s="1088"/>
    </row>
    <row r="1575" spans="3:11" ht="12" customHeight="1">
      <c r="C1575" s="891"/>
      <c r="D1575" s="891"/>
      <c r="E1575" s="891"/>
      <c r="F1575" s="891"/>
      <c r="G1575" s="891"/>
      <c r="H1575" s="1088"/>
      <c r="I1575" s="1088"/>
      <c r="J1575" s="1088"/>
      <c r="K1575" s="1088"/>
    </row>
    <row r="1576" spans="3:11" ht="12" customHeight="1">
      <c r="C1576" s="891"/>
      <c r="D1576" s="891"/>
      <c r="E1576" s="891"/>
      <c r="F1576" s="891"/>
      <c r="G1576" s="891"/>
      <c r="H1576" s="1088"/>
      <c r="I1576" s="1088"/>
      <c r="J1576" s="1088"/>
      <c r="K1576" s="1088"/>
    </row>
    <row r="1577" spans="3:11" ht="12" customHeight="1">
      <c r="C1577" s="891"/>
      <c r="D1577" s="891"/>
      <c r="E1577" s="891"/>
      <c r="F1577" s="891"/>
      <c r="G1577" s="891"/>
      <c r="H1577" s="1088"/>
      <c r="I1577" s="1088"/>
      <c r="J1577" s="1088"/>
      <c r="K1577" s="1088"/>
    </row>
    <row r="1578" spans="3:11" ht="12" customHeight="1">
      <c r="C1578" s="891"/>
      <c r="D1578" s="891"/>
      <c r="E1578" s="891"/>
      <c r="F1578" s="891"/>
      <c r="G1578" s="891"/>
      <c r="H1578" s="1088"/>
      <c r="I1578" s="1088"/>
      <c r="J1578" s="1088"/>
      <c r="K1578" s="1088"/>
    </row>
    <row r="1579" spans="3:11" ht="12" customHeight="1">
      <c r="C1579" s="891"/>
      <c r="D1579" s="891"/>
      <c r="E1579" s="891"/>
      <c r="F1579" s="891"/>
      <c r="G1579" s="891"/>
      <c r="H1579" s="1088"/>
      <c r="I1579" s="1088"/>
      <c r="J1579" s="1088"/>
      <c r="K1579" s="1088"/>
    </row>
    <row r="1580" spans="3:11" ht="12" customHeight="1">
      <c r="C1580" s="891"/>
      <c r="D1580" s="891"/>
      <c r="E1580" s="891"/>
      <c r="F1580" s="891"/>
      <c r="G1580" s="891"/>
      <c r="H1580" s="1088"/>
      <c r="I1580" s="1088"/>
      <c r="J1580" s="1088"/>
      <c r="K1580" s="1088"/>
    </row>
    <row r="1581" spans="3:11" ht="12" customHeight="1">
      <c r="C1581" s="891"/>
      <c r="D1581" s="891"/>
      <c r="E1581" s="891"/>
      <c r="F1581" s="891"/>
      <c r="G1581" s="891"/>
      <c r="H1581" s="1088"/>
      <c r="I1581" s="1088"/>
      <c r="J1581" s="1088"/>
      <c r="K1581" s="1088"/>
    </row>
    <row r="1582" spans="3:11" ht="12" customHeight="1">
      <c r="C1582" s="891"/>
      <c r="D1582" s="891"/>
      <c r="E1582" s="891"/>
      <c r="F1582" s="891"/>
      <c r="G1582" s="891"/>
      <c r="H1582" s="1088"/>
      <c r="I1582" s="1088"/>
      <c r="J1582" s="1088"/>
      <c r="K1582" s="1088"/>
    </row>
    <row r="1583" spans="3:11" ht="12" customHeight="1">
      <c r="C1583" s="891"/>
      <c r="D1583" s="891"/>
      <c r="E1583" s="891"/>
      <c r="F1583" s="891"/>
      <c r="G1583" s="891"/>
      <c r="H1583" s="1088"/>
      <c r="I1583" s="1088"/>
      <c r="J1583" s="1088"/>
      <c r="K1583" s="1088"/>
    </row>
    <row r="1584" spans="3:11" ht="12" customHeight="1">
      <c r="C1584" s="891"/>
      <c r="D1584" s="891"/>
      <c r="E1584" s="891"/>
      <c r="F1584" s="891"/>
      <c r="G1584" s="891"/>
      <c r="H1584" s="1088"/>
      <c r="I1584" s="1088"/>
      <c r="J1584" s="1088"/>
      <c r="K1584" s="1088"/>
    </row>
    <row r="1585" spans="3:11" ht="12" customHeight="1">
      <c r="C1585" s="891"/>
      <c r="D1585" s="891"/>
      <c r="E1585" s="891"/>
      <c r="F1585" s="891"/>
      <c r="G1585" s="891"/>
      <c r="H1585" s="1088"/>
      <c r="I1585" s="1088"/>
      <c r="J1585" s="1088"/>
      <c r="K1585" s="1088"/>
    </row>
    <row r="1586" spans="3:11" ht="12" customHeight="1">
      <c r="C1586" s="891"/>
      <c r="D1586" s="891"/>
      <c r="E1586" s="891"/>
      <c r="F1586" s="891"/>
      <c r="G1586" s="891"/>
      <c r="H1586" s="1088"/>
      <c r="I1586" s="1088"/>
      <c r="J1586" s="1088"/>
      <c r="K1586" s="1088"/>
    </row>
    <row r="1587" spans="3:11" ht="12" customHeight="1">
      <c r="C1587" s="891"/>
      <c r="D1587" s="891"/>
      <c r="E1587" s="891"/>
      <c r="F1587" s="891"/>
      <c r="G1587" s="891"/>
      <c r="H1587" s="1088"/>
      <c r="I1587" s="1088"/>
      <c r="J1587" s="1088"/>
      <c r="K1587" s="1088"/>
    </row>
    <row r="1588" spans="3:11" ht="12" customHeight="1">
      <c r="C1588" s="891"/>
      <c r="D1588" s="891"/>
      <c r="E1588" s="891"/>
      <c r="F1588" s="891"/>
      <c r="G1588" s="891"/>
      <c r="H1588" s="1088"/>
      <c r="I1588" s="1088"/>
      <c r="J1588" s="1088"/>
      <c r="K1588" s="1088"/>
    </row>
    <row r="1589" spans="3:11" ht="12" customHeight="1">
      <c r="C1589" s="891"/>
      <c r="D1589" s="891"/>
      <c r="E1589" s="891"/>
      <c r="F1589" s="891"/>
      <c r="G1589" s="891"/>
      <c r="H1589" s="1088"/>
      <c r="I1589" s="1088"/>
      <c r="J1589" s="1088"/>
      <c r="K1589" s="1088"/>
    </row>
    <row r="1590" spans="3:11" ht="12" customHeight="1">
      <c r="C1590" s="891"/>
      <c r="D1590" s="891"/>
      <c r="E1590" s="891"/>
      <c r="F1590" s="891"/>
      <c r="G1590" s="891"/>
      <c r="H1590" s="1088"/>
      <c r="I1590" s="1088"/>
      <c r="J1590" s="1088"/>
      <c r="K1590" s="1088"/>
    </row>
    <row r="1591" spans="3:11" ht="12" customHeight="1">
      <c r="C1591" s="891"/>
      <c r="D1591" s="891"/>
      <c r="E1591" s="891"/>
      <c r="F1591" s="891"/>
      <c r="G1591" s="891"/>
      <c r="H1591" s="1088"/>
      <c r="I1591" s="1088"/>
      <c r="J1591" s="1088"/>
      <c r="K1591" s="1088"/>
    </row>
    <row r="1592" spans="3:11" ht="12" customHeight="1">
      <c r="C1592" s="891"/>
      <c r="D1592" s="891"/>
      <c r="E1592" s="891"/>
      <c r="F1592" s="891"/>
      <c r="G1592" s="891"/>
      <c r="H1592" s="1088"/>
      <c r="I1592" s="1088"/>
      <c r="J1592" s="1088"/>
      <c r="K1592" s="1088"/>
    </row>
    <row r="1593" spans="3:11" ht="12" customHeight="1">
      <c r="C1593" s="891"/>
      <c r="D1593" s="891"/>
      <c r="E1593" s="891"/>
      <c r="F1593" s="891"/>
      <c r="G1593" s="891"/>
      <c r="H1593" s="1088"/>
      <c r="I1593" s="1088"/>
      <c r="J1593" s="1088"/>
      <c r="K1593" s="1088"/>
    </row>
    <row r="1594" spans="3:11" ht="12" customHeight="1">
      <c r="C1594" s="891"/>
      <c r="D1594" s="891"/>
      <c r="E1594" s="891"/>
      <c r="F1594" s="891"/>
      <c r="G1594" s="891"/>
      <c r="H1594" s="1088"/>
      <c r="I1594" s="1088"/>
      <c r="J1594" s="1088"/>
      <c r="K1594" s="1088"/>
    </row>
    <row r="1595" spans="3:11" ht="12" customHeight="1">
      <c r="C1595" s="891"/>
      <c r="D1595" s="891"/>
      <c r="E1595" s="891"/>
      <c r="F1595" s="891"/>
      <c r="G1595" s="891"/>
      <c r="H1595" s="1088"/>
      <c r="I1595" s="1088"/>
      <c r="J1595" s="1088"/>
      <c r="K1595" s="1088"/>
    </row>
    <row r="1596" spans="3:11" ht="12" customHeight="1">
      <c r="C1596" s="891"/>
      <c r="D1596" s="891"/>
      <c r="E1596" s="891"/>
      <c r="F1596" s="891"/>
      <c r="G1596" s="891"/>
      <c r="H1596" s="1088"/>
      <c r="I1596" s="1088"/>
      <c r="J1596" s="1088"/>
      <c r="K1596" s="1088"/>
    </row>
    <row r="1597" spans="3:11" ht="12" customHeight="1">
      <c r="C1597" s="891"/>
      <c r="D1597" s="891"/>
      <c r="E1597" s="891"/>
      <c r="F1597" s="891"/>
      <c r="G1597" s="891"/>
      <c r="H1597" s="1088"/>
      <c r="I1597" s="1088"/>
      <c r="J1597" s="1088"/>
      <c r="K1597" s="1088"/>
    </row>
    <row r="1598" spans="3:11" ht="12" customHeight="1">
      <c r="C1598" s="891"/>
      <c r="D1598" s="891"/>
      <c r="E1598" s="891"/>
      <c r="F1598" s="891"/>
      <c r="G1598" s="891"/>
      <c r="H1598" s="1088"/>
      <c r="I1598" s="1088"/>
      <c r="J1598" s="1088"/>
      <c r="K1598" s="1088"/>
    </row>
    <row r="1599" spans="3:11" ht="12" customHeight="1">
      <c r="C1599" s="891"/>
      <c r="D1599" s="891"/>
      <c r="E1599" s="891"/>
      <c r="F1599" s="891"/>
      <c r="G1599" s="891"/>
      <c r="H1599" s="1088"/>
      <c r="I1599" s="1088"/>
      <c r="J1599" s="1088"/>
      <c r="K1599" s="1088"/>
    </row>
    <row r="1600" spans="3:11" ht="12" customHeight="1">
      <c r="C1600" s="891"/>
      <c r="D1600" s="891"/>
      <c r="E1600" s="891"/>
      <c r="F1600" s="891"/>
      <c r="G1600" s="891"/>
      <c r="H1600" s="1088"/>
      <c r="I1600" s="1088"/>
      <c r="J1600" s="1088"/>
      <c r="K1600" s="1088"/>
    </row>
    <row r="1601" spans="3:11" ht="12" customHeight="1">
      <c r="C1601" s="891"/>
      <c r="D1601" s="891"/>
      <c r="E1601" s="891"/>
      <c r="F1601" s="891"/>
      <c r="G1601" s="891"/>
      <c r="H1601" s="1088"/>
      <c r="I1601" s="1088"/>
      <c r="J1601" s="1088"/>
      <c r="K1601" s="1088"/>
    </row>
    <row r="1602" spans="3:11" ht="12" customHeight="1">
      <c r="C1602" s="891"/>
      <c r="D1602" s="891"/>
      <c r="E1602" s="891"/>
      <c r="F1602" s="891"/>
      <c r="G1602" s="891"/>
      <c r="H1602" s="1088"/>
      <c r="I1602" s="1088"/>
      <c r="J1602" s="1088"/>
      <c r="K1602" s="1088"/>
    </row>
    <row r="1603" spans="3:11" ht="12" customHeight="1">
      <c r="C1603" s="891"/>
      <c r="D1603" s="891"/>
      <c r="E1603" s="891"/>
      <c r="F1603" s="891"/>
      <c r="G1603" s="891"/>
      <c r="H1603" s="1088"/>
      <c r="I1603" s="1088"/>
      <c r="J1603" s="1088"/>
      <c r="K1603" s="1088"/>
    </row>
    <row r="1604" spans="3:11" ht="12" customHeight="1">
      <c r="C1604" s="891"/>
      <c r="D1604" s="891"/>
      <c r="E1604" s="891"/>
      <c r="F1604" s="891"/>
      <c r="G1604" s="891"/>
      <c r="H1604" s="1088"/>
      <c r="I1604" s="1088"/>
      <c r="J1604" s="1088"/>
      <c r="K1604" s="1088"/>
    </row>
    <row r="1605" spans="3:11" ht="12" customHeight="1">
      <c r="C1605" s="891"/>
      <c r="D1605" s="891"/>
      <c r="E1605" s="891"/>
      <c r="F1605" s="891"/>
      <c r="G1605" s="891"/>
      <c r="H1605" s="1088"/>
      <c r="I1605" s="1088"/>
      <c r="J1605" s="1088"/>
      <c r="K1605" s="1088"/>
    </row>
    <row r="1606" spans="3:11" ht="12" customHeight="1">
      <c r="C1606" s="891"/>
      <c r="D1606" s="891"/>
      <c r="E1606" s="891"/>
      <c r="F1606" s="891"/>
      <c r="G1606" s="891"/>
      <c r="H1606" s="1088"/>
      <c r="I1606" s="1088"/>
      <c r="J1606" s="1088"/>
      <c r="K1606" s="1088"/>
    </row>
    <row r="1607" spans="3:11" ht="12" customHeight="1">
      <c r="C1607" s="891"/>
      <c r="D1607" s="891"/>
      <c r="E1607" s="891"/>
      <c r="F1607" s="891"/>
      <c r="G1607" s="891"/>
      <c r="H1607" s="1088"/>
      <c r="I1607" s="1088"/>
      <c r="J1607" s="1088"/>
      <c r="K1607" s="1088"/>
    </row>
    <row r="1608" spans="3:11" ht="12" customHeight="1">
      <c r="C1608" s="891"/>
      <c r="D1608" s="891"/>
      <c r="E1608" s="891"/>
      <c r="F1608" s="891"/>
      <c r="G1608" s="891"/>
      <c r="H1608" s="1088"/>
      <c r="I1608" s="1088"/>
      <c r="J1608" s="1088"/>
      <c r="K1608" s="1088"/>
    </row>
    <row r="1609" spans="3:11" ht="12" customHeight="1">
      <c r="C1609" s="891"/>
      <c r="D1609" s="891"/>
      <c r="E1609" s="891"/>
      <c r="F1609" s="891"/>
      <c r="G1609" s="891"/>
      <c r="H1609" s="1088"/>
      <c r="I1609" s="1088"/>
      <c r="J1609" s="1088"/>
      <c r="K1609" s="1088"/>
    </row>
    <row r="1610" spans="3:11" ht="12" customHeight="1">
      <c r="C1610" s="891"/>
      <c r="D1610" s="891"/>
      <c r="E1610" s="891"/>
      <c r="F1610" s="891"/>
      <c r="G1610" s="891"/>
      <c r="H1610" s="1088"/>
      <c r="I1610" s="1088"/>
      <c r="J1610" s="1088"/>
      <c r="K1610" s="1088"/>
    </row>
    <row r="1611" spans="3:11" ht="12" customHeight="1">
      <c r="C1611" s="891"/>
      <c r="D1611" s="891"/>
      <c r="E1611" s="891"/>
      <c r="F1611" s="891"/>
      <c r="G1611" s="891"/>
      <c r="H1611" s="1088"/>
      <c r="I1611" s="1088"/>
      <c r="J1611" s="1088"/>
      <c r="K1611" s="1088"/>
    </row>
    <row r="1612" spans="3:11" ht="12" customHeight="1">
      <c r="C1612" s="891"/>
      <c r="D1612" s="891"/>
      <c r="E1612" s="891"/>
      <c r="F1612" s="891"/>
      <c r="G1612" s="891"/>
      <c r="H1612" s="1088"/>
      <c r="I1612" s="1088"/>
      <c r="J1612" s="1088"/>
      <c r="K1612" s="1088"/>
    </row>
    <row r="1613" spans="3:11" ht="12" customHeight="1">
      <c r="C1613" s="891"/>
      <c r="D1613" s="891"/>
      <c r="E1613" s="891"/>
      <c r="F1613" s="891"/>
      <c r="G1613" s="891"/>
      <c r="H1613" s="1088"/>
      <c r="I1613" s="1088"/>
      <c r="J1613" s="1088"/>
      <c r="K1613" s="1088"/>
    </row>
    <row r="1614" spans="3:11" ht="12" customHeight="1">
      <c r="C1614" s="891"/>
      <c r="D1614" s="891"/>
      <c r="E1614" s="891"/>
      <c r="F1614" s="891"/>
      <c r="G1614" s="891"/>
      <c r="H1614" s="1088"/>
      <c r="I1614" s="1088"/>
      <c r="J1614" s="1088"/>
      <c r="K1614" s="1088"/>
    </row>
    <row r="1615" spans="3:11" ht="12" customHeight="1">
      <c r="C1615" s="891"/>
      <c r="D1615" s="891"/>
      <c r="E1615" s="891"/>
      <c r="F1615" s="891"/>
      <c r="G1615" s="891"/>
      <c r="H1615" s="1088"/>
      <c r="I1615" s="1088"/>
      <c r="J1615" s="1088"/>
      <c r="K1615" s="1088"/>
    </row>
    <row r="1616" spans="3:11" ht="12" customHeight="1">
      <c r="C1616" s="891"/>
      <c r="D1616" s="891"/>
      <c r="E1616" s="891"/>
      <c r="F1616" s="891"/>
      <c r="G1616" s="891"/>
      <c r="H1616" s="1088"/>
      <c r="I1616" s="1088"/>
      <c r="J1616" s="1088"/>
      <c r="K1616" s="1088"/>
    </row>
    <row r="1617" spans="3:11" ht="12" customHeight="1">
      <c r="C1617" s="891"/>
      <c r="D1617" s="891"/>
      <c r="E1617" s="891"/>
      <c r="F1617" s="891"/>
      <c r="G1617" s="891"/>
      <c r="H1617" s="1088"/>
      <c r="I1617" s="1088"/>
      <c r="J1617" s="1088"/>
      <c r="K1617" s="1088"/>
    </row>
    <row r="1618" spans="3:11" ht="12" customHeight="1">
      <c r="C1618" s="891"/>
      <c r="D1618" s="891"/>
      <c r="E1618" s="891"/>
      <c r="F1618" s="891"/>
      <c r="G1618" s="891"/>
      <c r="H1618" s="1088"/>
      <c r="I1618" s="1088"/>
      <c r="J1618" s="1088"/>
      <c r="K1618" s="1088"/>
    </row>
    <row r="1619" spans="3:11" ht="12" customHeight="1">
      <c r="C1619" s="891"/>
      <c r="D1619" s="891"/>
      <c r="E1619" s="891"/>
      <c r="F1619" s="891"/>
      <c r="G1619" s="891"/>
      <c r="H1619" s="1088"/>
      <c r="I1619" s="1088"/>
      <c r="J1619" s="1088"/>
      <c r="K1619" s="1088"/>
    </row>
    <row r="1620" spans="3:11" ht="12" customHeight="1">
      <c r="C1620" s="891"/>
      <c r="D1620" s="891"/>
      <c r="E1620" s="891"/>
      <c r="F1620" s="891"/>
      <c r="G1620" s="891"/>
      <c r="H1620" s="1088"/>
      <c r="I1620" s="1088"/>
      <c r="J1620" s="1088"/>
      <c r="K1620" s="1088"/>
    </row>
    <row r="1621" spans="3:11" ht="12" customHeight="1">
      <c r="C1621" s="891"/>
      <c r="D1621" s="891"/>
      <c r="E1621" s="891"/>
      <c r="F1621" s="891"/>
      <c r="G1621" s="891"/>
      <c r="H1621" s="1088"/>
      <c r="I1621" s="1088"/>
      <c r="J1621" s="1088"/>
      <c r="K1621" s="1088"/>
    </row>
    <row r="1622" spans="3:11" ht="12" customHeight="1">
      <c r="C1622" s="891"/>
      <c r="D1622" s="891"/>
      <c r="E1622" s="891"/>
      <c r="F1622" s="891"/>
      <c r="G1622" s="891"/>
      <c r="H1622" s="1088"/>
      <c r="I1622" s="1088"/>
      <c r="J1622" s="1088"/>
      <c r="K1622" s="1088"/>
    </row>
    <row r="1623" spans="3:11" ht="12" customHeight="1">
      <c r="C1623" s="891"/>
      <c r="D1623" s="891"/>
      <c r="E1623" s="891"/>
      <c r="F1623" s="891"/>
      <c r="G1623" s="891"/>
      <c r="H1623" s="1088"/>
      <c r="I1623" s="1088"/>
      <c r="J1623" s="1088"/>
      <c r="K1623" s="1088"/>
    </row>
    <row r="1624" spans="3:11" ht="12" customHeight="1">
      <c r="C1624" s="891"/>
      <c r="D1624" s="891"/>
      <c r="E1624" s="891"/>
      <c r="F1624" s="891"/>
      <c r="G1624" s="891"/>
      <c r="H1624" s="1088"/>
      <c r="I1624" s="1088"/>
      <c r="J1624" s="1088"/>
      <c r="K1624" s="1088"/>
    </row>
    <row r="1625" spans="3:11" ht="12" customHeight="1">
      <c r="C1625" s="891"/>
      <c r="D1625" s="891"/>
      <c r="E1625" s="891"/>
      <c r="F1625" s="891"/>
      <c r="G1625" s="891"/>
      <c r="H1625" s="1088"/>
      <c r="I1625" s="1088"/>
      <c r="J1625" s="1088"/>
      <c r="K1625" s="1088"/>
    </row>
    <row r="1626" spans="3:11" ht="12" customHeight="1">
      <c r="C1626" s="891"/>
      <c r="D1626" s="891"/>
      <c r="E1626" s="891"/>
      <c r="F1626" s="891"/>
      <c r="G1626" s="891"/>
      <c r="H1626" s="1088"/>
      <c r="I1626" s="1088"/>
      <c r="J1626" s="1088"/>
      <c r="K1626" s="1088"/>
    </row>
    <row r="1627" spans="3:11" ht="12" customHeight="1">
      <c r="C1627" s="891"/>
      <c r="D1627" s="891"/>
      <c r="E1627" s="891"/>
      <c r="F1627" s="891"/>
      <c r="G1627" s="891"/>
      <c r="H1627" s="1088"/>
      <c r="I1627" s="1088"/>
      <c r="J1627" s="1088"/>
      <c r="K1627" s="1088"/>
    </row>
    <row r="1628" spans="3:11" ht="12" customHeight="1">
      <c r="C1628" s="891"/>
      <c r="D1628" s="891"/>
      <c r="E1628" s="891"/>
      <c r="F1628" s="891"/>
      <c r="G1628" s="891"/>
      <c r="H1628" s="1088"/>
      <c r="I1628" s="1088"/>
      <c r="J1628" s="1088"/>
      <c r="K1628" s="1088"/>
    </row>
    <row r="1629" spans="3:11" ht="12" customHeight="1">
      <c r="C1629" s="891"/>
      <c r="D1629" s="891"/>
      <c r="E1629" s="891"/>
      <c r="F1629" s="891"/>
      <c r="G1629" s="891"/>
      <c r="H1629" s="1088"/>
      <c r="I1629" s="1088"/>
      <c r="J1629" s="1088"/>
      <c r="K1629" s="1088"/>
    </row>
    <row r="1630" spans="3:11" ht="12" customHeight="1">
      <c r="C1630" s="891"/>
      <c r="D1630" s="891"/>
      <c r="E1630" s="891"/>
      <c r="F1630" s="891"/>
      <c r="G1630" s="891"/>
      <c r="H1630" s="1088"/>
      <c r="I1630" s="1088"/>
      <c r="J1630" s="1088"/>
      <c r="K1630" s="1088"/>
    </row>
    <row r="1631" spans="3:11" ht="12" customHeight="1">
      <c r="C1631" s="891"/>
      <c r="D1631" s="891"/>
      <c r="E1631" s="891"/>
      <c r="F1631" s="891"/>
      <c r="G1631" s="891"/>
      <c r="H1631" s="1088"/>
      <c r="I1631" s="1088"/>
      <c r="J1631" s="1088"/>
      <c r="K1631" s="1088"/>
    </row>
    <row r="1632" spans="3:11" ht="12" customHeight="1">
      <c r="C1632" s="891"/>
      <c r="D1632" s="891"/>
      <c r="E1632" s="891"/>
      <c r="F1632" s="891"/>
      <c r="G1632" s="891"/>
      <c r="H1632" s="1088"/>
      <c r="I1632" s="1088"/>
      <c r="J1632" s="1088"/>
      <c r="K1632" s="1088"/>
    </row>
    <row r="1633" spans="3:11" ht="12" customHeight="1">
      <c r="C1633" s="891"/>
      <c r="D1633" s="891"/>
      <c r="E1633" s="891"/>
      <c r="F1633" s="891"/>
      <c r="G1633" s="891"/>
      <c r="H1633" s="1088"/>
      <c r="I1633" s="1088"/>
      <c r="J1633" s="1088"/>
      <c r="K1633" s="1088"/>
    </row>
    <row r="1634" spans="3:11" ht="12" customHeight="1">
      <c r="C1634" s="891"/>
      <c r="D1634" s="891"/>
      <c r="E1634" s="891"/>
      <c r="F1634" s="891"/>
      <c r="G1634" s="891"/>
      <c r="H1634" s="1088"/>
      <c r="I1634" s="1088"/>
      <c r="J1634" s="1088"/>
      <c r="K1634" s="1088"/>
    </row>
    <row r="1635" spans="3:11" ht="12" customHeight="1">
      <c r="C1635" s="891"/>
      <c r="D1635" s="891"/>
      <c r="E1635" s="891"/>
      <c r="F1635" s="891"/>
      <c r="G1635" s="891"/>
      <c r="H1635" s="1088"/>
      <c r="I1635" s="1088"/>
      <c r="J1635" s="1088"/>
      <c r="K1635" s="1088"/>
    </row>
    <row r="1636" spans="3:11" ht="12" customHeight="1">
      <c r="C1636" s="891"/>
      <c r="D1636" s="891"/>
      <c r="E1636" s="891"/>
      <c r="F1636" s="891"/>
      <c r="G1636" s="891"/>
      <c r="H1636" s="1088"/>
      <c r="I1636" s="1088"/>
      <c r="J1636" s="1088"/>
      <c r="K1636" s="1088"/>
    </row>
    <row r="1637" spans="3:11" ht="12" customHeight="1">
      <c r="C1637" s="891"/>
      <c r="D1637" s="891"/>
      <c r="E1637" s="891"/>
      <c r="F1637" s="891"/>
      <c r="G1637" s="891"/>
      <c r="H1637" s="1088"/>
      <c r="I1637" s="1088"/>
      <c r="J1637" s="1088"/>
      <c r="K1637" s="1088"/>
    </row>
    <row r="1638" spans="3:11" ht="12" customHeight="1">
      <c r="C1638" s="891"/>
      <c r="D1638" s="891"/>
      <c r="E1638" s="891"/>
      <c r="F1638" s="891"/>
      <c r="G1638" s="891"/>
      <c r="H1638" s="1088"/>
      <c r="I1638" s="1088"/>
      <c r="J1638" s="1088"/>
      <c r="K1638" s="1088"/>
    </row>
    <row r="1639" spans="3:11" ht="12" customHeight="1">
      <c r="C1639" s="891"/>
      <c r="D1639" s="891"/>
      <c r="E1639" s="891"/>
      <c r="F1639" s="891"/>
      <c r="G1639" s="891"/>
      <c r="H1639" s="1088"/>
      <c r="I1639" s="1088"/>
      <c r="J1639" s="1088"/>
      <c r="K1639" s="1088"/>
    </row>
    <row r="1640" spans="3:11" ht="12" customHeight="1">
      <c r="C1640" s="891"/>
      <c r="D1640" s="891"/>
      <c r="E1640" s="891"/>
      <c r="F1640" s="891"/>
      <c r="G1640" s="891"/>
      <c r="H1640" s="1088"/>
      <c r="I1640" s="1088"/>
      <c r="J1640" s="1088"/>
      <c r="K1640" s="1088"/>
    </row>
    <row r="1641" spans="3:11" ht="12" customHeight="1">
      <c r="C1641" s="891"/>
      <c r="D1641" s="891"/>
      <c r="E1641" s="891"/>
      <c r="F1641" s="891"/>
      <c r="G1641" s="891"/>
      <c r="H1641" s="1088"/>
      <c r="I1641" s="1088"/>
      <c r="J1641" s="1088"/>
      <c r="K1641" s="1088"/>
    </row>
    <row r="1642" spans="3:11" ht="12" customHeight="1">
      <c r="C1642" s="891"/>
      <c r="D1642" s="891"/>
      <c r="E1642" s="891"/>
      <c r="F1642" s="891"/>
      <c r="G1642" s="891"/>
      <c r="H1642" s="1088"/>
      <c r="I1642" s="1088"/>
      <c r="J1642" s="1088"/>
      <c r="K1642" s="1088"/>
    </row>
    <row r="1643" spans="3:11" ht="12" customHeight="1">
      <c r="C1643" s="891"/>
      <c r="D1643" s="891"/>
      <c r="E1643" s="891"/>
      <c r="F1643" s="891"/>
      <c r="G1643" s="891"/>
      <c r="H1643" s="1088"/>
      <c r="I1643" s="1088"/>
      <c r="J1643" s="1088"/>
      <c r="K1643" s="1088"/>
    </row>
    <row r="1644" spans="3:11" ht="12" customHeight="1">
      <c r="C1644" s="891"/>
      <c r="D1644" s="891"/>
      <c r="E1644" s="891"/>
      <c r="F1644" s="891"/>
      <c r="G1644" s="891"/>
      <c r="H1644" s="1088"/>
      <c r="I1644" s="1088"/>
      <c r="J1644" s="1088"/>
      <c r="K1644" s="1088"/>
    </row>
    <row r="1645" spans="3:11" ht="12" customHeight="1">
      <c r="C1645" s="891"/>
      <c r="D1645" s="891"/>
      <c r="E1645" s="891"/>
      <c r="F1645" s="891"/>
      <c r="G1645" s="891"/>
      <c r="H1645" s="1088"/>
      <c r="I1645" s="1088"/>
      <c r="J1645" s="1088"/>
      <c r="K1645" s="1088"/>
    </row>
    <row r="1646" spans="3:11" ht="12" customHeight="1">
      <c r="C1646" s="891"/>
      <c r="D1646" s="891"/>
      <c r="E1646" s="891"/>
      <c r="F1646" s="891"/>
      <c r="G1646" s="891"/>
      <c r="H1646" s="1088"/>
      <c r="I1646" s="1088"/>
      <c r="J1646" s="1088"/>
      <c r="K1646" s="1088"/>
    </row>
    <row r="1647" spans="3:11" ht="12" customHeight="1">
      <c r="C1647" s="891"/>
      <c r="D1647" s="891"/>
      <c r="E1647" s="891"/>
      <c r="F1647" s="891"/>
      <c r="G1647" s="891"/>
      <c r="H1647" s="1088"/>
      <c r="I1647" s="1088"/>
      <c r="J1647" s="1088"/>
      <c r="K1647" s="1088"/>
    </row>
    <row r="1648" spans="3:11" ht="12" customHeight="1">
      <c r="C1648" s="891"/>
      <c r="D1648" s="891"/>
      <c r="E1648" s="891"/>
      <c r="F1648" s="891"/>
      <c r="G1648" s="891"/>
      <c r="H1648" s="1088"/>
      <c r="I1648" s="1088"/>
      <c r="J1648" s="1088"/>
      <c r="K1648" s="1088"/>
    </row>
    <row r="1649" spans="3:11" ht="12" customHeight="1">
      <c r="C1649" s="891"/>
      <c r="D1649" s="891"/>
      <c r="E1649" s="891"/>
      <c r="F1649" s="891"/>
      <c r="G1649" s="891"/>
      <c r="H1649" s="1088"/>
      <c r="I1649" s="1088"/>
      <c r="J1649" s="1088"/>
      <c r="K1649" s="1088"/>
    </row>
    <row r="1650" spans="3:11" ht="12" customHeight="1">
      <c r="C1650" s="891"/>
      <c r="D1650" s="891"/>
      <c r="E1650" s="891"/>
      <c r="F1650" s="891"/>
      <c r="G1650" s="891"/>
      <c r="H1650" s="1088"/>
      <c r="I1650" s="1088"/>
      <c r="J1650" s="1088"/>
      <c r="K1650" s="1088"/>
    </row>
    <row r="1651" spans="3:11" ht="12" customHeight="1">
      <c r="C1651" s="891"/>
      <c r="D1651" s="891"/>
      <c r="E1651" s="891"/>
      <c r="F1651" s="891"/>
      <c r="G1651" s="891"/>
      <c r="H1651" s="1088"/>
      <c r="I1651" s="1088"/>
      <c r="J1651" s="1088"/>
      <c r="K1651" s="1088"/>
    </row>
    <row r="1652" spans="3:11" ht="12" customHeight="1">
      <c r="C1652" s="891"/>
      <c r="D1652" s="891"/>
      <c r="E1652" s="891"/>
      <c r="F1652" s="891"/>
      <c r="G1652" s="891"/>
      <c r="H1652" s="1088"/>
      <c r="I1652" s="1088"/>
      <c r="J1652" s="1088"/>
      <c r="K1652" s="1088"/>
    </row>
    <row r="1653" spans="3:11" ht="12" customHeight="1">
      <c r="C1653" s="891"/>
      <c r="D1653" s="891"/>
      <c r="E1653" s="891"/>
      <c r="F1653" s="891"/>
      <c r="G1653" s="891"/>
      <c r="H1653" s="1088"/>
      <c r="I1653" s="1088"/>
      <c r="J1653" s="1088"/>
      <c r="K1653" s="1088"/>
    </row>
    <row r="1654" spans="3:11" ht="12" customHeight="1">
      <c r="C1654" s="891"/>
      <c r="D1654" s="891"/>
      <c r="E1654" s="891"/>
      <c r="F1654" s="891"/>
      <c r="G1654" s="891"/>
      <c r="H1654" s="1088"/>
      <c r="I1654" s="1088"/>
      <c r="J1654" s="1088"/>
      <c r="K1654" s="1088"/>
    </row>
    <row r="1655" spans="3:11" ht="12" customHeight="1">
      <c r="C1655" s="891"/>
      <c r="D1655" s="891"/>
      <c r="E1655" s="891"/>
      <c r="F1655" s="891"/>
      <c r="G1655" s="891"/>
      <c r="H1655" s="1088"/>
      <c r="I1655" s="1088"/>
      <c r="J1655" s="1088"/>
      <c r="K1655" s="1088"/>
    </row>
    <row r="1656" spans="3:11" ht="12" customHeight="1">
      <c r="C1656" s="891"/>
      <c r="D1656" s="891"/>
      <c r="E1656" s="891"/>
      <c r="F1656" s="891"/>
      <c r="G1656" s="891"/>
      <c r="H1656" s="1088"/>
      <c r="I1656" s="1088"/>
      <c r="J1656" s="1088"/>
      <c r="K1656" s="1088"/>
    </row>
    <row r="1657" spans="3:11" ht="12" customHeight="1">
      <c r="C1657" s="891"/>
      <c r="D1657" s="891"/>
      <c r="E1657" s="891"/>
      <c r="F1657" s="891"/>
      <c r="G1657" s="891"/>
      <c r="H1657" s="1088"/>
      <c r="I1657" s="1088"/>
      <c r="J1657" s="1088"/>
      <c r="K1657" s="1088"/>
    </row>
    <row r="1658" spans="3:11" ht="12" customHeight="1">
      <c r="C1658" s="891"/>
      <c r="D1658" s="891"/>
      <c r="E1658" s="891"/>
      <c r="F1658" s="891"/>
      <c r="G1658" s="891"/>
      <c r="H1658" s="1088"/>
      <c r="I1658" s="1088"/>
      <c r="J1658" s="1088"/>
      <c r="K1658" s="1088"/>
    </row>
    <row r="1659" spans="3:11" ht="12" customHeight="1">
      <c r="C1659" s="891"/>
      <c r="D1659" s="891"/>
      <c r="E1659" s="891"/>
      <c r="F1659" s="891"/>
      <c r="G1659" s="891"/>
      <c r="H1659" s="1088"/>
      <c r="I1659" s="1088"/>
      <c r="J1659" s="1088"/>
      <c r="K1659" s="1088"/>
    </row>
    <row r="1660" spans="3:11" ht="12" customHeight="1">
      <c r="C1660" s="891"/>
      <c r="D1660" s="891"/>
      <c r="E1660" s="891"/>
      <c r="F1660" s="891"/>
      <c r="G1660" s="891"/>
      <c r="H1660" s="1088"/>
      <c r="I1660" s="1088"/>
      <c r="J1660" s="1088"/>
      <c r="K1660" s="1088"/>
    </row>
    <row r="1661" spans="3:11" ht="12" customHeight="1">
      <c r="C1661" s="891"/>
      <c r="D1661" s="891"/>
      <c r="E1661" s="891"/>
      <c r="F1661" s="891"/>
      <c r="G1661" s="891"/>
      <c r="H1661" s="1088"/>
      <c r="I1661" s="1088"/>
      <c r="J1661" s="1088"/>
      <c r="K1661" s="1088"/>
    </row>
    <row r="1662" spans="3:11" ht="12" customHeight="1">
      <c r="C1662" s="891"/>
      <c r="D1662" s="891"/>
      <c r="E1662" s="891"/>
      <c r="F1662" s="891"/>
      <c r="G1662" s="891"/>
      <c r="H1662" s="1088"/>
      <c r="I1662" s="1088"/>
      <c r="J1662" s="1088"/>
      <c r="K1662" s="1088"/>
    </row>
    <row r="1663" spans="3:11" ht="12" customHeight="1">
      <c r="C1663" s="891"/>
      <c r="D1663" s="891"/>
      <c r="E1663" s="891"/>
      <c r="F1663" s="891"/>
      <c r="G1663" s="891"/>
      <c r="H1663" s="1088"/>
      <c r="I1663" s="1088"/>
      <c r="J1663" s="1088"/>
      <c r="K1663" s="1088"/>
    </row>
    <row r="1664" spans="3:11" ht="12" customHeight="1">
      <c r="C1664" s="891"/>
      <c r="D1664" s="891"/>
      <c r="E1664" s="891"/>
      <c r="F1664" s="891"/>
      <c r="G1664" s="891"/>
      <c r="H1664" s="1088"/>
      <c r="I1664" s="1088"/>
      <c r="J1664" s="1088"/>
      <c r="K1664" s="1088"/>
    </row>
    <row r="1665" spans="3:11" ht="12" customHeight="1">
      <c r="C1665" s="891"/>
      <c r="D1665" s="891"/>
      <c r="E1665" s="891"/>
      <c r="F1665" s="891"/>
      <c r="G1665" s="891"/>
      <c r="H1665" s="1088"/>
      <c r="I1665" s="1088"/>
      <c r="J1665" s="1088"/>
      <c r="K1665" s="1088"/>
    </row>
    <row r="1666" spans="3:11" ht="12" customHeight="1">
      <c r="C1666" s="891"/>
      <c r="D1666" s="891"/>
      <c r="E1666" s="891"/>
      <c r="F1666" s="891"/>
      <c r="G1666" s="891"/>
      <c r="H1666" s="1088"/>
      <c r="I1666" s="1088"/>
      <c r="J1666" s="1088"/>
      <c r="K1666" s="1088"/>
    </row>
    <row r="1667" spans="3:11" ht="12" customHeight="1">
      <c r="C1667" s="891"/>
      <c r="D1667" s="891"/>
      <c r="E1667" s="891"/>
      <c r="F1667" s="891"/>
      <c r="G1667" s="891"/>
      <c r="H1667" s="1088"/>
      <c r="I1667" s="1088"/>
      <c r="J1667" s="1088"/>
      <c r="K1667" s="1088"/>
    </row>
    <row r="1668" spans="3:11" ht="12" customHeight="1">
      <c r="C1668" s="891"/>
      <c r="D1668" s="891"/>
      <c r="E1668" s="891"/>
      <c r="F1668" s="891"/>
      <c r="G1668" s="891"/>
      <c r="H1668" s="1088"/>
      <c r="I1668" s="1088"/>
      <c r="J1668" s="1088"/>
      <c r="K1668" s="1088"/>
    </row>
    <row r="1669" spans="3:11" ht="12" customHeight="1">
      <c r="C1669" s="891"/>
      <c r="D1669" s="891"/>
      <c r="E1669" s="891"/>
      <c r="F1669" s="891"/>
      <c r="G1669" s="891"/>
      <c r="H1669" s="1088"/>
      <c r="I1669" s="1088"/>
      <c r="J1669" s="1088"/>
      <c r="K1669" s="1088"/>
    </row>
    <row r="1670" spans="3:11" ht="12" customHeight="1">
      <c r="C1670" s="891"/>
      <c r="D1670" s="891"/>
      <c r="E1670" s="891"/>
      <c r="F1670" s="891"/>
      <c r="G1670" s="891"/>
      <c r="H1670" s="1088"/>
      <c r="I1670" s="1088"/>
      <c r="J1670" s="1088"/>
      <c r="K1670" s="1088"/>
    </row>
    <row r="1671" spans="3:11" ht="12" customHeight="1">
      <c r="C1671" s="891"/>
      <c r="D1671" s="891"/>
      <c r="E1671" s="891"/>
      <c r="F1671" s="891"/>
      <c r="G1671" s="891"/>
      <c r="H1671" s="1088"/>
      <c r="I1671" s="1088"/>
      <c r="J1671" s="1088"/>
      <c r="K1671" s="1088"/>
    </row>
    <row r="1672" spans="3:11" ht="12" customHeight="1">
      <c r="C1672" s="891"/>
      <c r="D1672" s="891"/>
      <c r="E1672" s="891"/>
      <c r="F1672" s="891"/>
      <c r="G1672" s="891"/>
      <c r="H1672" s="1088"/>
      <c r="I1672" s="1088"/>
      <c r="J1672" s="1088"/>
      <c r="K1672" s="1088"/>
    </row>
    <row r="1673" spans="3:11" ht="12" customHeight="1">
      <c r="C1673" s="891"/>
      <c r="D1673" s="891"/>
      <c r="E1673" s="891"/>
      <c r="F1673" s="891"/>
      <c r="G1673" s="891"/>
      <c r="H1673" s="1088"/>
      <c r="I1673" s="1088"/>
      <c r="J1673" s="1088"/>
      <c r="K1673" s="1088"/>
    </row>
    <row r="1674" spans="3:11" ht="12" customHeight="1">
      <c r="C1674" s="891"/>
      <c r="D1674" s="891"/>
      <c r="E1674" s="891"/>
      <c r="F1674" s="891"/>
      <c r="G1674" s="891"/>
      <c r="H1674" s="1088"/>
      <c r="I1674" s="1088"/>
      <c r="J1674" s="1088"/>
      <c r="K1674" s="1088"/>
    </row>
    <row r="1675" spans="3:11" ht="12" customHeight="1">
      <c r="C1675" s="891"/>
      <c r="D1675" s="891"/>
      <c r="E1675" s="891"/>
      <c r="F1675" s="891"/>
      <c r="G1675" s="891"/>
      <c r="H1675" s="1088"/>
      <c r="I1675" s="1088"/>
      <c r="J1675" s="1088"/>
      <c r="K1675" s="1088"/>
    </row>
    <row r="1676" spans="3:11" ht="12" customHeight="1">
      <c r="C1676" s="891"/>
      <c r="D1676" s="891"/>
      <c r="E1676" s="891"/>
      <c r="F1676" s="891"/>
      <c r="G1676" s="891"/>
      <c r="H1676" s="1088"/>
      <c r="I1676" s="1088"/>
      <c r="J1676" s="1088"/>
      <c r="K1676" s="1088"/>
    </row>
    <row r="1677" spans="3:11" ht="12" customHeight="1">
      <c r="C1677" s="891"/>
      <c r="D1677" s="891"/>
      <c r="E1677" s="891"/>
      <c r="F1677" s="891"/>
      <c r="G1677" s="891"/>
      <c r="H1677" s="1088"/>
      <c r="I1677" s="1088"/>
      <c r="J1677" s="1088"/>
      <c r="K1677" s="1088"/>
    </row>
    <row r="1678" spans="3:11" ht="12" customHeight="1">
      <c r="C1678" s="891"/>
      <c r="D1678" s="891"/>
      <c r="E1678" s="891"/>
      <c r="F1678" s="891"/>
      <c r="G1678" s="891"/>
      <c r="H1678" s="1088"/>
      <c r="I1678" s="1088"/>
      <c r="J1678" s="1088"/>
      <c r="K1678" s="1088"/>
    </row>
    <row r="1679" spans="3:11" ht="12" customHeight="1">
      <c r="C1679" s="891"/>
      <c r="D1679" s="891"/>
      <c r="E1679" s="891"/>
      <c r="F1679" s="891"/>
      <c r="G1679" s="891"/>
      <c r="H1679" s="1088"/>
      <c r="I1679" s="1088"/>
      <c r="J1679" s="1088"/>
      <c r="K1679" s="1088"/>
    </row>
    <row r="1680" spans="3:11" ht="12" customHeight="1">
      <c r="C1680" s="891"/>
      <c r="D1680" s="891"/>
      <c r="E1680" s="891"/>
      <c r="F1680" s="891"/>
      <c r="G1680" s="891"/>
      <c r="H1680" s="1088"/>
      <c r="I1680" s="1088"/>
      <c r="J1680" s="1088"/>
      <c r="K1680" s="1088"/>
    </row>
    <row r="1681" spans="3:11" ht="12" customHeight="1">
      <c r="C1681" s="891"/>
      <c r="D1681" s="891"/>
      <c r="E1681" s="891"/>
      <c r="F1681" s="891"/>
      <c r="G1681" s="891"/>
      <c r="H1681" s="1088"/>
      <c r="I1681" s="1088"/>
      <c r="J1681" s="1088"/>
      <c r="K1681" s="1088"/>
    </row>
    <row r="1682" spans="3:11" ht="12" customHeight="1">
      <c r="C1682" s="891"/>
      <c r="D1682" s="891"/>
      <c r="E1682" s="891"/>
      <c r="F1682" s="891"/>
      <c r="G1682" s="891"/>
      <c r="H1682" s="1088"/>
      <c r="I1682" s="1088"/>
      <c r="J1682" s="1088"/>
      <c r="K1682" s="1088"/>
    </row>
    <row r="1683" spans="3:11" ht="12" customHeight="1">
      <c r="C1683" s="891"/>
      <c r="D1683" s="891"/>
      <c r="E1683" s="891"/>
      <c r="F1683" s="891"/>
      <c r="G1683" s="891"/>
      <c r="H1683" s="1088"/>
      <c r="I1683" s="1088"/>
      <c r="J1683" s="1088"/>
      <c r="K1683" s="1088"/>
    </row>
    <row r="1684" spans="3:11" ht="12" customHeight="1">
      <c r="C1684" s="891"/>
      <c r="D1684" s="891"/>
      <c r="E1684" s="891"/>
      <c r="F1684" s="891"/>
      <c r="G1684" s="891"/>
      <c r="H1684" s="1088"/>
      <c r="I1684" s="1088"/>
      <c r="J1684" s="1088"/>
      <c r="K1684" s="1088"/>
    </row>
    <row r="1685" spans="3:11" ht="12" customHeight="1">
      <c r="C1685" s="891"/>
      <c r="D1685" s="891"/>
      <c r="E1685" s="891"/>
      <c r="F1685" s="891"/>
      <c r="G1685" s="891"/>
      <c r="H1685" s="1088"/>
      <c r="I1685" s="1088"/>
      <c r="J1685" s="1088"/>
      <c r="K1685" s="1088"/>
    </row>
    <row r="1686" spans="3:11" ht="12" customHeight="1">
      <c r="C1686" s="891"/>
      <c r="D1686" s="891"/>
      <c r="E1686" s="891"/>
      <c r="F1686" s="891"/>
      <c r="G1686" s="891"/>
      <c r="H1686" s="1088"/>
      <c r="I1686" s="1088"/>
      <c r="J1686" s="1088"/>
      <c r="K1686" s="1088"/>
    </row>
    <row r="1687" spans="3:11" ht="12" customHeight="1">
      <c r="C1687" s="891"/>
      <c r="D1687" s="891"/>
      <c r="E1687" s="891"/>
      <c r="F1687" s="891"/>
      <c r="G1687" s="891"/>
      <c r="H1687" s="1088"/>
      <c r="I1687" s="1088"/>
      <c r="J1687" s="1088"/>
      <c r="K1687" s="1088"/>
    </row>
    <row r="1688" spans="3:11" ht="12" customHeight="1">
      <c r="C1688" s="891"/>
      <c r="D1688" s="891"/>
      <c r="E1688" s="891"/>
      <c r="F1688" s="891"/>
      <c r="G1688" s="891"/>
      <c r="H1688" s="1088"/>
      <c r="I1688" s="1088"/>
      <c r="J1688" s="1088"/>
      <c r="K1688" s="1088"/>
    </row>
    <row r="1689" spans="3:11" ht="12" customHeight="1">
      <c r="C1689" s="891"/>
      <c r="D1689" s="891"/>
      <c r="E1689" s="891"/>
      <c r="F1689" s="891"/>
      <c r="G1689" s="891"/>
      <c r="H1689" s="1088"/>
      <c r="I1689" s="1088"/>
      <c r="J1689" s="1088"/>
      <c r="K1689" s="1088"/>
    </row>
    <row r="1690" spans="3:11" ht="12" customHeight="1">
      <c r="C1690" s="891"/>
      <c r="D1690" s="891"/>
      <c r="E1690" s="891"/>
      <c r="F1690" s="891"/>
      <c r="G1690" s="891"/>
      <c r="H1690" s="1088"/>
      <c r="I1690" s="1088"/>
      <c r="J1690" s="1088"/>
      <c r="K1690" s="1088"/>
    </row>
    <row r="1691" spans="3:11" ht="12" customHeight="1">
      <c r="C1691" s="891"/>
      <c r="D1691" s="891"/>
      <c r="E1691" s="891"/>
      <c r="F1691" s="891"/>
      <c r="G1691" s="891"/>
      <c r="H1691" s="1088"/>
      <c r="I1691" s="1088"/>
      <c r="J1691" s="1088"/>
      <c r="K1691" s="1088"/>
    </row>
    <row r="1692" spans="3:11" ht="12" customHeight="1">
      <c r="C1692" s="891"/>
      <c r="D1692" s="891"/>
      <c r="E1692" s="891"/>
      <c r="F1692" s="891"/>
      <c r="G1692" s="891"/>
      <c r="H1692" s="1088"/>
      <c r="I1692" s="1088"/>
      <c r="J1692" s="1088"/>
      <c r="K1692" s="1088"/>
    </row>
    <row r="1693" spans="3:11" ht="12" customHeight="1">
      <c r="C1693" s="891"/>
      <c r="D1693" s="891"/>
      <c r="E1693" s="891"/>
      <c r="F1693" s="891"/>
      <c r="G1693" s="891"/>
      <c r="H1693" s="1088"/>
      <c r="I1693" s="1088"/>
      <c r="J1693" s="1088"/>
      <c r="K1693" s="1088"/>
    </row>
    <row r="1694" spans="3:11" ht="12" customHeight="1">
      <c r="C1694" s="891"/>
      <c r="D1694" s="891"/>
      <c r="E1694" s="891"/>
      <c r="F1694" s="891"/>
      <c r="G1694" s="891"/>
      <c r="H1694" s="1088"/>
      <c r="I1694" s="1088"/>
      <c r="J1694" s="1088"/>
      <c r="K1694" s="1088"/>
    </row>
    <row r="1695" spans="3:11" ht="12" customHeight="1">
      <c r="C1695" s="891"/>
      <c r="D1695" s="891"/>
      <c r="E1695" s="891"/>
      <c r="F1695" s="891"/>
      <c r="G1695" s="891"/>
      <c r="H1695" s="1088"/>
      <c r="I1695" s="1088"/>
      <c r="J1695" s="1088"/>
      <c r="K1695" s="1088"/>
    </row>
    <row r="1696" spans="3:11" ht="12" customHeight="1">
      <c r="C1696" s="891"/>
      <c r="D1696" s="891"/>
      <c r="E1696" s="891"/>
      <c r="F1696" s="891"/>
      <c r="G1696" s="891"/>
      <c r="H1696" s="1088"/>
      <c r="I1696" s="1088"/>
      <c r="J1696" s="1088"/>
      <c r="K1696" s="1088"/>
    </row>
    <row r="1697" spans="3:11" ht="12" customHeight="1">
      <c r="C1697" s="891"/>
      <c r="D1697" s="891"/>
      <c r="E1697" s="891"/>
      <c r="F1697" s="891"/>
      <c r="G1697" s="891"/>
      <c r="H1697" s="1088"/>
      <c r="I1697" s="1088"/>
      <c r="J1697" s="1088"/>
      <c r="K1697" s="1088"/>
    </row>
    <row r="1698" spans="3:11" ht="12" customHeight="1">
      <c r="C1698" s="891"/>
      <c r="D1698" s="891"/>
      <c r="E1698" s="891"/>
      <c r="F1698" s="891"/>
      <c r="G1698" s="891"/>
      <c r="H1698" s="1088"/>
      <c r="I1698" s="1088"/>
      <c r="J1698" s="1088"/>
      <c r="K1698" s="1088"/>
    </row>
    <row r="1699" spans="3:11" ht="12" customHeight="1">
      <c r="C1699" s="891"/>
      <c r="D1699" s="891"/>
      <c r="E1699" s="891"/>
      <c r="F1699" s="891"/>
      <c r="G1699" s="891"/>
      <c r="H1699" s="1088"/>
      <c r="I1699" s="1088"/>
      <c r="J1699" s="1088"/>
      <c r="K1699" s="1088"/>
    </row>
    <row r="1700" spans="3:11" ht="12" customHeight="1">
      <c r="C1700" s="891"/>
      <c r="D1700" s="891"/>
      <c r="E1700" s="891"/>
      <c r="F1700" s="891"/>
      <c r="G1700" s="891"/>
      <c r="H1700" s="1088"/>
      <c r="I1700" s="1088"/>
      <c r="J1700" s="1088"/>
      <c r="K1700" s="1088"/>
    </row>
    <row r="1701" spans="3:11" ht="12" customHeight="1">
      <c r="C1701" s="891"/>
      <c r="D1701" s="891"/>
      <c r="E1701" s="891"/>
      <c r="F1701" s="891"/>
      <c r="G1701" s="891"/>
      <c r="H1701" s="1088"/>
      <c r="I1701" s="1088"/>
      <c r="J1701" s="1088"/>
      <c r="K1701" s="1088"/>
    </row>
    <row r="1702" spans="3:11" ht="12" customHeight="1">
      <c r="C1702" s="891"/>
      <c r="D1702" s="891"/>
      <c r="E1702" s="891"/>
      <c r="F1702" s="891"/>
      <c r="G1702" s="891"/>
      <c r="H1702" s="1088"/>
      <c r="I1702" s="1088"/>
      <c r="J1702" s="1088"/>
      <c r="K1702" s="1088"/>
    </row>
    <row r="1703" spans="3:11" ht="12" customHeight="1">
      <c r="C1703" s="891"/>
      <c r="D1703" s="891"/>
      <c r="E1703" s="891"/>
      <c r="F1703" s="891"/>
      <c r="G1703" s="891"/>
      <c r="H1703" s="1088"/>
      <c r="I1703" s="1088"/>
      <c r="J1703" s="1088"/>
      <c r="K1703" s="1088"/>
    </row>
    <row r="1704" spans="3:11" ht="12" customHeight="1">
      <c r="C1704" s="891"/>
      <c r="D1704" s="891"/>
      <c r="E1704" s="891"/>
      <c r="F1704" s="891"/>
      <c r="G1704" s="891"/>
      <c r="H1704" s="1088"/>
      <c r="I1704" s="1088"/>
      <c r="J1704" s="1088"/>
      <c r="K1704" s="1088"/>
    </row>
    <row r="1705" spans="3:11" ht="12" customHeight="1">
      <c r="C1705" s="891"/>
      <c r="D1705" s="891"/>
      <c r="E1705" s="891"/>
      <c r="F1705" s="891"/>
      <c r="G1705" s="891"/>
      <c r="H1705" s="1088"/>
      <c r="I1705" s="1088"/>
      <c r="J1705" s="1088"/>
      <c r="K1705" s="1088"/>
    </row>
    <row r="1706" spans="3:11" ht="12" customHeight="1">
      <c r="C1706" s="891"/>
      <c r="D1706" s="891"/>
      <c r="E1706" s="891"/>
      <c r="F1706" s="891"/>
      <c r="G1706" s="891"/>
      <c r="H1706" s="1088"/>
      <c r="I1706" s="1088"/>
      <c r="J1706" s="1088"/>
      <c r="K1706" s="1088"/>
    </row>
    <row r="1707" spans="3:11" ht="12" customHeight="1">
      <c r="C1707" s="891"/>
      <c r="D1707" s="891"/>
      <c r="E1707" s="891"/>
      <c r="F1707" s="891"/>
      <c r="G1707" s="891"/>
      <c r="H1707" s="1088"/>
      <c r="I1707" s="1088"/>
      <c r="J1707" s="1088"/>
      <c r="K1707" s="1088"/>
    </row>
    <row r="1708" spans="3:11" ht="12" customHeight="1">
      <c r="C1708" s="891"/>
      <c r="D1708" s="891"/>
      <c r="E1708" s="891"/>
      <c r="F1708" s="891"/>
      <c r="G1708" s="891"/>
      <c r="H1708" s="1088"/>
      <c r="I1708" s="1088"/>
      <c r="J1708" s="1088"/>
      <c r="K1708" s="1088"/>
    </row>
    <row r="1709" spans="3:11" ht="12" customHeight="1">
      <c r="C1709" s="891"/>
      <c r="D1709" s="891"/>
      <c r="E1709" s="891"/>
      <c r="F1709" s="891"/>
      <c r="G1709" s="891"/>
      <c r="H1709" s="1088"/>
      <c r="I1709" s="1088"/>
      <c r="J1709" s="1088"/>
      <c r="K1709" s="1088"/>
    </row>
    <row r="1710" spans="3:11" ht="12" customHeight="1">
      <c r="C1710" s="891"/>
      <c r="D1710" s="891"/>
      <c r="E1710" s="891"/>
      <c r="F1710" s="891"/>
      <c r="G1710" s="891"/>
      <c r="H1710" s="1088"/>
      <c r="I1710" s="1088"/>
      <c r="J1710" s="1088"/>
      <c r="K1710" s="1088"/>
    </row>
    <row r="1711" spans="3:11" ht="12" customHeight="1">
      <c r="C1711" s="891"/>
      <c r="D1711" s="891"/>
      <c r="E1711" s="891"/>
      <c r="F1711" s="891"/>
      <c r="G1711" s="891"/>
      <c r="H1711" s="1088"/>
      <c r="I1711" s="1088"/>
      <c r="J1711" s="1088"/>
      <c r="K1711" s="1088"/>
    </row>
    <row r="1712" spans="3:11" ht="12" customHeight="1">
      <c r="C1712" s="891"/>
      <c r="D1712" s="891"/>
      <c r="E1712" s="891"/>
      <c r="F1712" s="891"/>
      <c r="G1712" s="891"/>
      <c r="H1712" s="1088"/>
      <c r="I1712" s="1088"/>
      <c r="J1712" s="1088"/>
      <c r="K1712" s="1088"/>
    </row>
    <row r="1713" spans="3:11" ht="12" customHeight="1">
      <c r="C1713" s="891"/>
      <c r="D1713" s="891"/>
      <c r="E1713" s="891"/>
      <c r="F1713" s="891"/>
      <c r="G1713" s="891"/>
      <c r="H1713" s="1088"/>
      <c r="I1713" s="1088"/>
      <c r="J1713" s="1088"/>
      <c r="K1713" s="1088"/>
    </row>
    <row r="1714" spans="3:11" ht="12" customHeight="1">
      <c r="C1714" s="891"/>
      <c r="D1714" s="891"/>
      <c r="E1714" s="891"/>
      <c r="F1714" s="891"/>
      <c r="G1714" s="891"/>
      <c r="H1714" s="1088"/>
      <c r="I1714" s="1088"/>
      <c r="J1714" s="1088"/>
      <c r="K1714" s="1088"/>
    </row>
    <row r="1715" spans="3:11" ht="12" customHeight="1">
      <c r="C1715" s="891"/>
      <c r="D1715" s="891"/>
      <c r="E1715" s="891"/>
      <c r="F1715" s="891"/>
      <c r="G1715" s="891"/>
      <c r="H1715" s="1088"/>
      <c r="I1715" s="1088"/>
      <c r="J1715" s="1088"/>
      <c r="K1715" s="1088"/>
    </row>
    <row r="1716" spans="3:11" ht="12" customHeight="1">
      <c r="C1716" s="891"/>
      <c r="D1716" s="891"/>
      <c r="E1716" s="891"/>
      <c r="F1716" s="891"/>
      <c r="G1716" s="891"/>
      <c r="H1716" s="1088"/>
      <c r="I1716" s="1088"/>
      <c r="J1716" s="1088"/>
      <c r="K1716" s="1088"/>
    </row>
    <row r="1717" spans="3:11" ht="12" customHeight="1">
      <c r="C1717" s="891"/>
      <c r="D1717" s="891"/>
      <c r="E1717" s="891"/>
      <c r="F1717" s="891"/>
      <c r="G1717" s="891"/>
      <c r="H1717" s="1088"/>
      <c r="I1717" s="1088"/>
      <c r="J1717" s="1088"/>
      <c r="K1717" s="1088"/>
    </row>
    <row r="1718" spans="3:11" ht="12" customHeight="1">
      <c r="C1718" s="891"/>
      <c r="D1718" s="891"/>
      <c r="E1718" s="891"/>
      <c r="F1718" s="891"/>
      <c r="G1718" s="891"/>
      <c r="H1718" s="1088"/>
      <c r="I1718" s="1088"/>
      <c r="J1718" s="1088"/>
      <c r="K1718" s="1088"/>
    </row>
    <row r="1719" spans="3:11" ht="12" customHeight="1">
      <c r="C1719" s="891"/>
      <c r="D1719" s="891"/>
      <c r="E1719" s="891"/>
      <c r="F1719" s="891"/>
      <c r="G1719" s="891"/>
      <c r="H1719" s="1088"/>
      <c r="I1719" s="1088"/>
      <c r="J1719" s="1088"/>
      <c r="K1719" s="1088"/>
    </row>
    <row r="1720" spans="3:11" ht="12" customHeight="1">
      <c r="C1720" s="891"/>
      <c r="D1720" s="891"/>
      <c r="E1720" s="891"/>
      <c r="F1720" s="891"/>
      <c r="G1720" s="891"/>
      <c r="H1720" s="1088"/>
      <c r="I1720" s="1088"/>
      <c r="J1720" s="1088"/>
      <c r="K1720" s="1088"/>
    </row>
    <row r="1721" spans="3:11" ht="12" customHeight="1">
      <c r="C1721" s="891"/>
      <c r="D1721" s="891"/>
      <c r="E1721" s="891"/>
      <c r="F1721" s="891"/>
      <c r="G1721" s="891"/>
      <c r="H1721" s="1088"/>
      <c r="I1721" s="1088"/>
      <c r="J1721" s="1088"/>
      <c r="K1721" s="1088"/>
    </row>
    <row r="1722" spans="3:11" ht="12" customHeight="1">
      <c r="C1722" s="891"/>
      <c r="D1722" s="891"/>
      <c r="E1722" s="891"/>
      <c r="F1722" s="891"/>
      <c r="G1722" s="891"/>
      <c r="H1722" s="1088"/>
      <c r="I1722" s="1088"/>
      <c r="J1722" s="1088"/>
      <c r="K1722" s="1088"/>
    </row>
    <row r="1723" spans="3:11" ht="12" customHeight="1">
      <c r="C1723" s="891"/>
      <c r="D1723" s="891"/>
      <c r="E1723" s="891"/>
      <c r="F1723" s="891"/>
      <c r="G1723" s="891"/>
      <c r="H1723" s="1088"/>
      <c r="I1723" s="1088"/>
      <c r="J1723" s="1088"/>
      <c r="K1723" s="1088"/>
    </row>
    <row r="1724" spans="3:11" ht="12" customHeight="1">
      <c r="C1724" s="891"/>
      <c r="D1724" s="891"/>
      <c r="E1724" s="891"/>
      <c r="F1724" s="891"/>
      <c r="G1724" s="891"/>
      <c r="H1724" s="1088"/>
      <c r="I1724" s="1088"/>
      <c r="J1724" s="1088"/>
      <c r="K1724" s="1088"/>
    </row>
    <row r="1725" spans="3:11" ht="12" customHeight="1">
      <c r="C1725" s="891"/>
      <c r="D1725" s="891"/>
      <c r="E1725" s="891"/>
      <c r="F1725" s="891"/>
      <c r="G1725" s="891"/>
      <c r="H1725" s="1088"/>
      <c r="I1725" s="1088"/>
      <c r="J1725" s="1088"/>
      <c r="K1725" s="1088"/>
    </row>
    <row r="1726" spans="3:11" ht="12" customHeight="1">
      <c r="C1726" s="891"/>
      <c r="D1726" s="891"/>
      <c r="E1726" s="891"/>
      <c r="F1726" s="891"/>
      <c r="G1726" s="891"/>
      <c r="H1726" s="1088"/>
      <c r="I1726" s="1088"/>
      <c r="J1726" s="1088"/>
      <c r="K1726" s="1088"/>
    </row>
    <row r="1727" spans="3:11" ht="12" customHeight="1">
      <c r="C1727" s="891"/>
      <c r="D1727" s="891"/>
      <c r="E1727" s="891"/>
      <c r="F1727" s="891"/>
      <c r="G1727" s="891"/>
      <c r="H1727" s="1088"/>
      <c r="I1727" s="1088"/>
      <c r="J1727" s="1088"/>
      <c r="K1727" s="1088"/>
    </row>
    <row r="1728" spans="3:11" ht="12" customHeight="1">
      <c r="C1728" s="891"/>
      <c r="D1728" s="891"/>
      <c r="E1728" s="891"/>
      <c r="F1728" s="891"/>
      <c r="G1728" s="891"/>
      <c r="H1728" s="1088"/>
      <c r="I1728" s="1088"/>
      <c r="J1728" s="1088"/>
      <c r="K1728" s="1088"/>
    </row>
    <row r="1729" spans="3:11" ht="12" customHeight="1">
      <c r="C1729" s="891"/>
      <c r="D1729" s="891"/>
      <c r="E1729" s="891"/>
      <c r="F1729" s="891"/>
      <c r="G1729" s="891"/>
      <c r="H1729" s="1088"/>
      <c r="I1729" s="1088"/>
      <c r="J1729" s="1088"/>
      <c r="K1729" s="1088"/>
    </row>
    <row r="1730" spans="3:11" ht="12" customHeight="1">
      <c r="C1730" s="891"/>
      <c r="D1730" s="891"/>
      <c r="E1730" s="891"/>
      <c r="F1730" s="891"/>
      <c r="G1730" s="891"/>
      <c r="H1730" s="1088"/>
      <c r="I1730" s="1088"/>
      <c r="J1730" s="1088"/>
      <c r="K1730" s="1088"/>
    </row>
    <row r="1731" spans="3:11" ht="12" customHeight="1">
      <c r="C1731" s="891"/>
      <c r="D1731" s="891"/>
      <c r="E1731" s="891"/>
      <c r="F1731" s="891"/>
      <c r="G1731" s="891"/>
      <c r="H1731" s="1088"/>
      <c r="I1731" s="1088"/>
      <c r="J1731" s="1088"/>
      <c r="K1731" s="1088"/>
    </row>
    <row r="1732" spans="3:11" ht="12" customHeight="1">
      <c r="C1732" s="891"/>
      <c r="D1732" s="891"/>
      <c r="E1732" s="891"/>
      <c r="F1732" s="891"/>
      <c r="G1732" s="891"/>
      <c r="H1732" s="1088"/>
      <c r="I1732" s="1088"/>
      <c r="J1732" s="1088"/>
      <c r="K1732" s="1088"/>
    </row>
    <row r="1733" spans="3:11" ht="12" customHeight="1">
      <c r="C1733" s="891"/>
      <c r="D1733" s="891"/>
      <c r="E1733" s="891"/>
      <c r="F1733" s="891"/>
      <c r="G1733" s="891"/>
      <c r="H1733" s="1088"/>
      <c r="I1733" s="1088"/>
      <c r="J1733" s="1088"/>
      <c r="K1733" s="1088"/>
    </row>
    <row r="1734" spans="3:11" ht="12" customHeight="1">
      <c r="C1734" s="891"/>
      <c r="D1734" s="891"/>
      <c r="E1734" s="891"/>
      <c r="F1734" s="891"/>
      <c r="G1734" s="891"/>
      <c r="H1734" s="1088"/>
      <c r="I1734" s="1088"/>
      <c r="J1734" s="1088"/>
      <c r="K1734" s="1088"/>
    </row>
    <row r="1735" spans="3:11" ht="12" customHeight="1">
      <c r="C1735" s="891"/>
      <c r="D1735" s="891"/>
      <c r="E1735" s="891"/>
      <c r="F1735" s="891"/>
      <c r="G1735" s="891"/>
      <c r="H1735" s="1088"/>
      <c r="I1735" s="1088"/>
      <c r="J1735" s="1088"/>
      <c r="K1735" s="1088"/>
    </row>
    <row r="1736" spans="3:11" ht="12" customHeight="1">
      <c r="C1736" s="891"/>
      <c r="D1736" s="891"/>
      <c r="E1736" s="891"/>
      <c r="F1736" s="891"/>
      <c r="G1736" s="891"/>
      <c r="H1736" s="1088"/>
      <c r="I1736" s="1088"/>
      <c r="J1736" s="1088"/>
      <c r="K1736" s="1088"/>
    </row>
    <row r="1737" spans="3:11" ht="12" customHeight="1">
      <c r="C1737" s="891"/>
      <c r="D1737" s="891"/>
      <c r="E1737" s="891"/>
      <c r="F1737" s="891"/>
      <c r="G1737" s="891"/>
      <c r="H1737" s="1088"/>
      <c r="I1737" s="1088"/>
      <c r="J1737" s="1088"/>
      <c r="K1737" s="1088"/>
    </row>
    <row r="1738" spans="3:11" ht="12" customHeight="1">
      <c r="C1738" s="891"/>
      <c r="D1738" s="891"/>
      <c r="E1738" s="891"/>
      <c r="F1738" s="891"/>
      <c r="G1738" s="891"/>
      <c r="H1738" s="1088"/>
      <c r="I1738" s="1088"/>
      <c r="J1738" s="1088"/>
      <c r="K1738" s="1088"/>
    </row>
    <row r="1739" spans="3:11" ht="12" customHeight="1">
      <c r="C1739" s="891"/>
      <c r="D1739" s="891"/>
      <c r="E1739" s="891"/>
      <c r="F1739" s="891"/>
      <c r="G1739" s="891"/>
      <c r="H1739" s="1088"/>
      <c r="I1739" s="1088"/>
      <c r="J1739" s="1088"/>
      <c r="K1739" s="1088"/>
    </row>
    <row r="1740" spans="3:11" ht="12" customHeight="1">
      <c r="C1740" s="891"/>
      <c r="D1740" s="891"/>
      <c r="E1740" s="891"/>
      <c r="F1740" s="891"/>
      <c r="G1740" s="891"/>
      <c r="H1740" s="1088"/>
      <c r="I1740" s="1088"/>
      <c r="J1740" s="1088"/>
      <c r="K1740" s="1088"/>
    </row>
    <row r="1741" spans="3:11" ht="12" customHeight="1">
      <c r="C1741" s="891"/>
      <c r="D1741" s="891"/>
      <c r="E1741" s="891"/>
      <c r="F1741" s="891"/>
      <c r="G1741" s="891"/>
      <c r="H1741" s="1088"/>
      <c r="I1741" s="1088"/>
      <c r="J1741" s="1088"/>
      <c r="K1741" s="1088"/>
    </row>
    <row r="1742" spans="3:11" ht="12" customHeight="1">
      <c r="C1742" s="891"/>
      <c r="D1742" s="891"/>
      <c r="E1742" s="891"/>
      <c r="F1742" s="891"/>
      <c r="G1742" s="891"/>
      <c r="H1742" s="1088"/>
      <c r="I1742" s="1088"/>
      <c r="J1742" s="1088"/>
      <c r="K1742" s="1088"/>
    </row>
    <row r="1743" spans="3:11" ht="12" customHeight="1">
      <c r="C1743" s="891"/>
      <c r="D1743" s="891"/>
      <c r="E1743" s="891"/>
      <c r="F1743" s="891"/>
      <c r="G1743" s="891"/>
      <c r="H1743" s="1088"/>
      <c r="I1743" s="1088"/>
      <c r="J1743" s="1088"/>
      <c r="K1743" s="1088"/>
    </row>
    <row r="1744" spans="3:11" ht="12" customHeight="1">
      <c r="C1744" s="891"/>
      <c r="D1744" s="891"/>
      <c r="E1744" s="891"/>
      <c r="F1744" s="891"/>
      <c r="G1744" s="891"/>
      <c r="H1744" s="1088"/>
      <c r="I1744" s="1088"/>
      <c r="J1744" s="1088"/>
      <c r="K1744" s="1088"/>
    </row>
    <row r="1745" spans="3:11" ht="12" customHeight="1">
      <c r="C1745" s="891"/>
      <c r="D1745" s="891"/>
      <c r="E1745" s="891"/>
      <c r="F1745" s="891"/>
      <c r="G1745" s="891"/>
      <c r="H1745" s="1088"/>
      <c r="I1745" s="1088"/>
      <c r="J1745" s="1088"/>
      <c r="K1745" s="1088"/>
    </row>
    <row r="1746" spans="3:11" ht="12" customHeight="1">
      <c r="C1746" s="891"/>
      <c r="D1746" s="891"/>
      <c r="E1746" s="891"/>
      <c r="F1746" s="891"/>
      <c r="G1746" s="891"/>
      <c r="H1746" s="1088"/>
      <c r="I1746" s="1088"/>
      <c r="J1746" s="1088"/>
      <c r="K1746" s="1088"/>
    </row>
    <row r="1747" spans="3:11" ht="12" customHeight="1">
      <c r="C1747" s="891"/>
      <c r="D1747" s="891"/>
      <c r="E1747" s="891"/>
      <c r="F1747" s="891"/>
      <c r="G1747" s="891"/>
      <c r="H1747" s="1088"/>
      <c r="I1747" s="1088"/>
      <c r="J1747" s="1088"/>
      <c r="K1747" s="1088"/>
    </row>
    <row r="1748" spans="3:11" ht="12" customHeight="1">
      <c r="C1748" s="891"/>
      <c r="D1748" s="891"/>
      <c r="E1748" s="891"/>
      <c r="F1748" s="891"/>
      <c r="G1748" s="891"/>
      <c r="H1748" s="1088"/>
      <c r="I1748" s="1088"/>
      <c r="J1748" s="1088"/>
      <c r="K1748" s="1088"/>
    </row>
    <row r="1749" spans="3:11" ht="12" customHeight="1">
      <c r="C1749" s="891"/>
      <c r="D1749" s="891"/>
      <c r="E1749" s="891"/>
      <c r="F1749" s="891"/>
      <c r="G1749" s="891"/>
      <c r="H1749" s="1088"/>
      <c r="I1749" s="1088"/>
      <c r="J1749" s="1088"/>
      <c r="K1749" s="1088"/>
    </row>
    <row r="1750" spans="3:11" ht="12" customHeight="1">
      <c r="C1750" s="891"/>
      <c r="D1750" s="891"/>
      <c r="E1750" s="891"/>
      <c r="F1750" s="891"/>
      <c r="G1750" s="891"/>
      <c r="H1750" s="1088"/>
      <c r="I1750" s="1088"/>
      <c r="J1750" s="1088"/>
      <c r="K1750" s="1088"/>
    </row>
    <row r="1751" spans="3:11" ht="12" customHeight="1">
      <c r="C1751" s="891"/>
      <c r="D1751" s="891"/>
      <c r="E1751" s="891"/>
      <c r="F1751" s="891"/>
      <c r="G1751" s="891"/>
      <c r="H1751" s="1088"/>
      <c r="I1751" s="1088"/>
      <c r="J1751" s="1088"/>
      <c r="K1751" s="1088"/>
    </row>
    <row r="1752" spans="3:11" ht="12" customHeight="1">
      <c r="C1752" s="891"/>
      <c r="D1752" s="891"/>
      <c r="E1752" s="891"/>
      <c r="F1752" s="891"/>
      <c r="G1752" s="891"/>
      <c r="H1752" s="1088"/>
      <c r="I1752" s="1088"/>
      <c r="J1752" s="1088"/>
      <c r="K1752" s="1088"/>
    </row>
    <row r="1753" spans="3:11" ht="12" customHeight="1">
      <c r="C1753" s="891"/>
      <c r="D1753" s="891"/>
      <c r="E1753" s="891"/>
      <c r="F1753" s="891"/>
      <c r="G1753" s="891"/>
      <c r="H1753" s="1088"/>
      <c r="I1753" s="1088"/>
      <c r="J1753" s="1088"/>
      <c r="K1753" s="1088"/>
    </row>
    <row r="1754" spans="3:11" ht="12" customHeight="1">
      <c r="C1754" s="891"/>
      <c r="D1754" s="891"/>
      <c r="E1754" s="891"/>
      <c r="F1754" s="891"/>
      <c r="G1754" s="891"/>
      <c r="H1754" s="1088"/>
      <c r="I1754" s="1088"/>
      <c r="J1754" s="1088"/>
      <c r="K1754" s="1088"/>
    </row>
    <row r="1755" spans="3:11" ht="12" customHeight="1">
      <c r="C1755" s="891"/>
      <c r="D1755" s="891"/>
      <c r="E1755" s="891"/>
      <c r="F1755" s="891"/>
      <c r="G1755" s="891"/>
      <c r="H1755" s="1088"/>
      <c r="I1755" s="1088"/>
      <c r="J1755" s="1088"/>
      <c r="K1755" s="1088"/>
    </row>
    <row r="1756" spans="3:11" ht="12" customHeight="1">
      <c r="C1756" s="891"/>
      <c r="D1756" s="891"/>
      <c r="E1756" s="891"/>
      <c r="F1756" s="891"/>
      <c r="G1756" s="891"/>
      <c r="H1756" s="1088"/>
      <c r="I1756" s="1088"/>
      <c r="J1756" s="1088"/>
      <c r="K1756" s="1088"/>
    </row>
    <row r="1757" spans="3:11" ht="12" customHeight="1">
      <c r="C1757" s="891"/>
      <c r="D1757" s="891"/>
      <c r="E1757" s="891"/>
      <c r="F1757" s="891"/>
      <c r="G1757" s="891"/>
      <c r="H1757" s="1088"/>
      <c r="I1757" s="1088"/>
      <c r="J1757" s="1088"/>
      <c r="K1757" s="1088"/>
    </row>
    <row r="1758" spans="3:11" ht="12" customHeight="1">
      <c r="C1758" s="891"/>
      <c r="D1758" s="891"/>
      <c r="E1758" s="891"/>
      <c r="F1758" s="891"/>
      <c r="G1758" s="891"/>
      <c r="H1758" s="1088"/>
      <c r="I1758" s="1088"/>
      <c r="J1758" s="1088"/>
      <c r="K1758" s="1088"/>
    </row>
    <row r="1759" spans="3:11" ht="12" customHeight="1">
      <c r="C1759" s="891"/>
      <c r="D1759" s="891"/>
      <c r="E1759" s="891"/>
      <c r="F1759" s="891"/>
      <c r="G1759" s="891"/>
      <c r="H1759" s="1088"/>
      <c r="I1759" s="1088"/>
      <c r="J1759" s="1088"/>
      <c r="K1759" s="1088"/>
    </row>
    <row r="1760" spans="3:11" ht="12" customHeight="1">
      <c r="C1760" s="891"/>
      <c r="D1760" s="891"/>
      <c r="E1760" s="891"/>
      <c r="F1760" s="891"/>
      <c r="G1760" s="891"/>
      <c r="H1760" s="1088"/>
      <c r="I1760" s="1088"/>
      <c r="J1760" s="1088"/>
      <c r="K1760" s="1088"/>
    </row>
    <row r="1761" spans="3:11" ht="12" customHeight="1">
      <c r="C1761" s="891"/>
      <c r="D1761" s="891"/>
      <c r="E1761" s="891"/>
      <c r="F1761" s="891"/>
      <c r="G1761" s="891"/>
      <c r="H1761" s="1088"/>
      <c r="I1761" s="1088"/>
      <c r="J1761" s="1088"/>
      <c r="K1761" s="1088"/>
    </row>
    <row r="1762" spans="3:11" ht="12" customHeight="1">
      <c r="C1762" s="891"/>
      <c r="D1762" s="891"/>
      <c r="E1762" s="891"/>
      <c r="F1762" s="891"/>
      <c r="G1762" s="891"/>
      <c r="H1762" s="1088"/>
      <c r="I1762" s="1088"/>
      <c r="J1762" s="1088"/>
      <c r="K1762" s="1088"/>
    </row>
    <row r="1763" spans="3:11" ht="12" customHeight="1">
      <c r="C1763" s="891"/>
      <c r="D1763" s="891"/>
      <c r="E1763" s="891"/>
      <c r="F1763" s="891"/>
      <c r="G1763" s="891"/>
      <c r="H1763" s="1088"/>
      <c r="I1763" s="1088"/>
      <c r="J1763" s="1088"/>
      <c r="K1763" s="1088"/>
    </row>
    <row r="1764" spans="3:11" ht="12" customHeight="1">
      <c r="C1764" s="891"/>
      <c r="D1764" s="891"/>
      <c r="E1764" s="891"/>
      <c r="F1764" s="891"/>
      <c r="G1764" s="891"/>
      <c r="H1764" s="1088"/>
      <c r="I1764" s="1088"/>
      <c r="J1764" s="1088"/>
      <c r="K1764" s="1088"/>
    </row>
    <row r="1765" spans="3:11" ht="12" customHeight="1">
      <c r="C1765" s="891"/>
      <c r="D1765" s="891"/>
      <c r="E1765" s="891"/>
      <c r="F1765" s="891"/>
      <c r="G1765" s="891"/>
      <c r="H1765" s="1088"/>
      <c r="I1765" s="1088"/>
      <c r="J1765" s="1088"/>
      <c r="K1765" s="1088"/>
    </row>
    <row r="1766" spans="3:11" ht="12" customHeight="1">
      <c r="C1766" s="891"/>
      <c r="D1766" s="891"/>
      <c r="E1766" s="891"/>
      <c r="F1766" s="891"/>
      <c r="G1766" s="891"/>
      <c r="H1766" s="1088"/>
      <c r="I1766" s="1088"/>
      <c r="J1766" s="1088"/>
      <c r="K1766" s="1088"/>
    </row>
    <row r="1767" spans="3:11" ht="12" customHeight="1">
      <c r="C1767" s="891"/>
      <c r="D1767" s="891"/>
      <c r="E1767" s="891"/>
      <c r="F1767" s="891"/>
      <c r="G1767" s="891"/>
      <c r="H1767" s="1088"/>
      <c r="I1767" s="1088"/>
      <c r="J1767" s="1088"/>
      <c r="K1767" s="1088"/>
    </row>
    <row r="1768" spans="3:11" ht="12" customHeight="1">
      <c r="C1768" s="891"/>
      <c r="D1768" s="891"/>
      <c r="E1768" s="891"/>
      <c r="F1768" s="891"/>
      <c r="G1768" s="891"/>
      <c r="H1768" s="1088"/>
      <c r="I1768" s="1088"/>
      <c r="J1768" s="1088"/>
      <c r="K1768" s="1088"/>
    </row>
    <row r="1769" spans="3:11" ht="12" customHeight="1">
      <c r="C1769" s="891"/>
      <c r="D1769" s="891"/>
      <c r="E1769" s="891"/>
      <c r="F1769" s="891"/>
      <c r="G1769" s="891"/>
      <c r="H1769" s="1088"/>
      <c r="I1769" s="1088"/>
      <c r="J1769" s="1088"/>
      <c r="K1769" s="1088"/>
    </row>
    <row r="1770" spans="3:11" ht="12" customHeight="1">
      <c r="C1770" s="891"/>
      <c r="D1770" s="891"/>
      <c r="E1770" s="891"/>
      <c r="F1770" s="891"/>
      <c r="G1770" s="891"/>
      <c r="H1770" s="1088"/>
      <c r="I1770" s="1088"/>
      <c r="J1770" s="1088"/>
      <c r="K1770" s="1088"/>
    </row>
    <row r="1771" spans="3:11" ht="12" customHeight="1">
      <c r="C1771" s="891"/>
      <c r="D1771" s="891"/>
      <c r="E1771" s="891"/>
      <c r="F1771" s="891"/>
      <c r="G1771" s="891"/>
      <c r="H1771" s="1088"/>
      <c r="I1771" s="1088"/>
      <c r="J1771" s="1088"/>
      <c r="K1771" s="1088"/>
    </row>
    <row r="1772" spans="3:11" ht="12" customHeight="1">
      <c r="C1772" s="891"/>
      <c r="D1772" s="891"/>
      <c r="E1772" s="891"/>
      <c r="F1772" s="891"/>
      <c r="G1772" s="891"/>
      <c r="H1772" s="1088"/>
      <c r="I1772" s="1088"/>
      <c r="J1772" s="1088"/>
      <c r="K1772" s="1088"/>
    </row>
    <row r="1773" spans="3:11" ht="12" customHeight="1">
      <c r="C1773" s="891"/>
      <c r="D1773" s="891"/>
      <c r="E1773" s="891"/>
      <c r="F1773" s="891"/>
      <c r="G1773" s="891"/>
      <c r="H1773" s="1088"/>
      <c r="I1773" s="1088"/>
      <c r="J1773" s="1088"/>
      <c r="K1773" s="1088"/>
    </row>
    <row r="1774" spans="3:11" ht="12" customHeight="1">
      <c r="C1774" s="891"/>
      <c r="D1774" s="891"/>
      <c r="E1774" s="891"/>
      <c r="F1774" s="891"/>
      <c r="G1774" s="891"/>
      <c r="H1774" s="1088"/>
      <c r="I1774" s="1088"/>
      <c r="J1774" s="1088"/>
      <c r="K1774" s="1088"/>
    </row>
    <row r="1775" spans="3:11" ht="12" customHeight="1">
      <c r="C1775" s="891"/>
      <c r="D1775" s="891"/>
      <c r="E1775" s="891"/>
      <c r="F1775" s="891"/>
      <c r="G1775" s="891"/>
      <c r="H1775" s="1088"/>
      <c r="I1775" s="1088"/>
      <c r="J1775" s="1088"/>
      <c r="K1775" s="1088"/>
    </row>
    <row r="1776" spans="3:11" ht="12" customHeight="1">
      <c r="C1776" s="891"/>
      <c r="D1776" s="891"/>
      <c r="E1776" s="891"/>
      <c r="F1776" s="891"/>
      <c r="G1776" s="891"/>
      <c r="H1776" s="1088"/>
      <c r="I1776" s="1088"/>
      <c r="J1776" s="1088"/>
      <c r="K1776" s="1088"/>
    </row>
    <row r="1777" spans="3:11" ht="12" customHeight="1">
      <c r="C1777" s="891"/>
      <c r="D1777" s="891"/>
      <c r="E1777" s="891"/>
      <c r="F1777" s="891"/>
      <c r="G1777" s="891"/>
      <c r="H1777" s="1088"/>
      <c r="I1777" s="1088"/>
      <c r="J1777" s="1088"/>
      <c r="K1777" s="1088"/>
    </row>
    <row r="1778" spans="3:11" ht="12" customHeight="1">
      <c r="C1778" s="891"/>
      <c r="D1778" s="891"/>
      <c r="E1778" s="891"/>
      <c r="F1778" s="891"/>
      <c r="G1778" s="891"/>
      <c r="H1778" s="1088"/>
      <c r="I1778" s="1088"/>
      <c r="J1778" s="1088"/>
      <c r="K1778" s="1088"/>
    </row>
    <row r="1779" spans="3:11" ht="12" customHeight="1">
      <c r="C1779" s="891"/>
      <c r="D1779" s="891"/>
      <c r="E1779" s="891"/>
      <c r="F1779" s="891"/>
      <c r="G1779" s="891"/>
      <c r="H1779" s="1088"/>
      <c r="I1779" s="1088"/>
      <c r="J1779" s="1088"/>
      <c r="K1779" s="1088"/>
    </row>
    <row r="1780" spans="3:11" ht="12" customHeight="1">
      <c r="C1780" s="891"/>
      <c r="D1780" s="891"/>
      <c r="E1780" s="891"/>
      <c r="F1780" s="891"/>
      <c r="G1780" s="891"/>
      <c r="H1780" s="1088"/>
      <c r="I1780" s="1088"/>
      <c r="J1780" s="1088"/>
      <c r="K1780" s="1088"/>
    </row>
    <row r="1781" spans="3:11" ht="12" customHeight="1">
      <c r="C1781" s="891"/>
      <c r="D1781" s="891"/>
      <c r="E1781" s="891"/>
      <c r="F1781" s="891"/>
      <c r="G1781" s="891"/>
      <c r="H1781" s="1088"/>
      <c r="I1781" s="1088"/>
      <c r="J1781" s="1088"/>
      <c r="K1781" s="1088"/>
    </row>
    <row r="1782" spans="3:11" ht="12" customHeight="1">
      <c r="C1782" s="891"/>
      <c r="D1782" s="891"/>
      <c r="E1782" s="891"/>
      <c r="F1782" s="891"/>
      <c r="G1782" s="891"/>
      <c r="H1782" s="1088"/>
      <c r="I1782" s="1088"/>
      <c r="J1782" s="1088"/>
      <c r="K1782" s="1088"/>
    </row>
    <row r="1783" spans="3:11" ht="12" customHeight="1">
      <c r="C1783" s="891"/>
      <c r="D1783" s="891"/>
      <c r="E1783" s="891"/>
      <c r="F1783" s="891"/>
      <c r="G1783" s="891"/>
      <c r="H1783" s="1088"/>
      <c r="I1783" s="1088"/>
      <c r="J1783" s="1088"/>
      <c r="K1783" s="1088"/>
    </row>
    <row r="1784" spans="3:11" ht="12" customHeight="1">
      <c r="C1784" s="891"/>
      <c r="D1784" s="891"/>
      <c r="E1784" s="891"/>
      <c r="F1784" s="891"/>
      <c r="G1784" s="891"/>
      <c r="H1784" s="1088"/>
      <c r="I1784" s="1088"/>
      <c r="J1784" s="1088"/>
      <c r="K1784" s="1088"/>
    </row>
    <row r="1785" spans="3:11" ht="12" customHeight="1">
      <c r="C1785" s="891"/>
      <c r="D1785" s="891"/>
      <c r="E1785" s="891"/>
      <c r="F1785" s="891"/>
      <c r="G1785" s="891"/>
      <c r="H1785" s="1088"/>
      <c r="I1785" s="1088"/>
      <c r="J1785" s="1088"/>
      <c r="K1785" s="1088"/>
    </row>
    <row r="1786" spans="3:11" ht="12" customHeight="1">
      <c r="C1786" s="891"/>
      <c r="D1786" s="891"/>
      <c r="E1786" s="891"/>
      <c r="F1786" s="891"/>
      <c r="G1786" s="891"/>
      <c r="H1786" s="1088"/>
      <c r="I1786" s="1088"/>
      <c r="J1786" s="1088"/>
      <c r="K1786" s="1088"/>
    </row>
    <row r="1787" spans="3:11" ht="12" customHeight="1">
      <c r="C1787" s="891"/>
      <c r="D1787" s="891"/>
      <c r="E1787" s="891"/>
      <c r="F1787" s="891"/>
      <c r="G1787" s="891"/>
      <c r="H1787" s="1088"/>
      <c r="I1787" s="1088"/>
      <c r="J1787" s="1088"/>
      <c r="K1787" s="1088"/>
    </row>
    <row r="1788" spans="3:11" ht="12" customHeight="1">
      <c r="C1788" s="891"/>
      <c r="D1788" s="891"/>
      <c r="E1788" s="891"/>
      <c r="F1788" s="891"/>
      <c r="G1788" s="891"/>
      <c r="H1788" s="1088"/>
      <c r="I1788" s="1088"/>
      <c r="J1788" s="1088"/>
      <c r="K1788" s="1088"/>
    </row>
    <row r="1789" spans="3:11" ht="12" customHeight="1">
      <c r="C1789" s="891"/>
      <c r="D1789" s="891"/>
      <c r="E1789" s="891"/>
      <c r="F1789" s="891"/>
      <c r="G1789" s="891"/>
      <c r="H1789" s="1088"/>
      <c r="I1789" s="1088"/>
      <c r="J1789" s="1088"/>
      <c r="K1789" s="1088"/>
    </row>
    <row r="1790" spans="3:11" ht="12" customHeight="1">
      <c r="C1790" s="891"/>
      <c r="D1790" s="891"/>
      <c r="E1790" s="891"/>
      <c r="F1790" s="891"/>
      <c r="G1790" s="891"/>
      <c r="H1790" s="1088"/>
      <c r="I1790" s="1088"/>
      <c r="J1790" s="1088"/>
      <c r="K1790" s="1088"/>
    </row>
    <row r="1791" spans="3:11" ht="12" customHeight="1">
      <c r="C1791" s="891"/>
      <c r="D1791" s="891"/>
      <c r="E1791" s="891"/>
      <c r="F1791" s="891"/>
      <c r="G1791" s="891"/>
      <c r="H1791" s="1088"/>
      <c r="I1791" s="1088"/>
      <c r="J1791" s="1088"/>
      <c r="K1791" s="1088"/>
    </row>
    <row r="1792" spans="3:11" ht="12" customHeight="1">
      <c r="C1792" s="891"/>
      <c r="D1792" s="891"/>
      <c r="E1792" s="891"/>
      <c r="F1792" s="891"/>
      <c r="G1792" s="891"/>
      <c r="H1792" s="1088"/>
      <c r="I1792" s="1088"/>
      <c r="J1792" s="1088"/>
      <c r="K1792" s="1088"/>
    </row>
    <row r="1793" spans="3:11" ht="12" customHeight="1">
      <c r="C1793" s="891"/>
      <c r="D1793" s="891"/>
      <c r="E1793" s="891"/>
      <c r="F1793" s="891"/>
      <c r="G1793" s="891"/>
      <c r="H1793" s="1088"/>
      <c r="I1793" s="1088"/>
      <c r="J1793" s="1088"/>
      <c r="K1793" s="1088"/>
    </row>
    <row r="1794" spans="3:11" ht="12" customHeight="1">
      <c r="C1794" s="891"/>
      <c r="D1794" s="891"/>
      <c r="E1794" s="891"/>
      <c r="F1794" s="891"/>
      <c r="G1794" s="891"/>
      <c r="H1794" s="1088"/>
      <c r="I1794" s="1088"/>
      <c r="J1794" s="1088"/>
      <c r="K1794" s="1088"/>
    </row>
    <row r="1795" spans="3:11" ht="12" customHeight="1">
      <c r="C1795" s="891"/>
      <c r="D1795" s="891"/>
      <c r="E1795" s="891"/>
      <c r="F1795" s="891"/>
      <c r="G1795" s="891"/>
      <c r="H1795" s="1088"/>
      <c r="I1795" s="1088"/>
      <c r="J1795" s="1088"/>
      <c r="K1795" s="1088"/>
    </row>
    <row r="1796" spans="3:11" ht="12" customHeight="1">
      <c r="C1796" s="891"/>
      <c r="D1796" s="891"/>
      <c r="E1796" s="891"/>
      <c r="F1796" s="891"/>
      <c r="G1796" s="891"/>
      <c r="H1796" s="1088"/>
      <c r="I1796" s="1088"/>
      <c r="J1796" s="1088"/>
      <c r="K1796" s="1088"/>
    </row>
    <row r="1797" spans="3:11" ht="12" customHeight="1">
      <c r="C1797" s="891"/>
      <c r="D1797" s="891"/>
      <c r="E1797" s="891"/>
      <c r="F1797" s="891"/>
      <c r="G1797" s="891"/>
      <c r="H1797" s="1088"/>
      <c r="I1797" s="1088"/>
      <c r="J1797" s="1088"/>
      <c r="K1797" s="1088"/>
    </row>
    <row r="1798" spans="3:11" ht="12" customHeight="1">
      <c r="C1798" s="891"/>
      <c r="D1798" s="891"/>
      <c r="E1798" s="891"/>
      <c r="F1798" s="891"/>
      <c r="G1798" s="891"/>
      <c r="H1798" s="1088"/>
      <c r="I1798" s="1088"/>
      <c r="J1798" s="1088"/>
      <c r="K1798" s="1088"/>
    </row>
    <row r="1799" spans="3:11" ht="12" customHeight="1">
      <c r="C1799" s="891"/>
      <c r="D1799" s="891"/>
      <c r="E1799" s="891"/>
      <c r="F1799" s="891"/>
      <c r="G1799" s="891"/>
      <c r="H1799" s="1088"/>
      <c r="I1799" s="1088"/>
      <c r="J1799" s="1088"/>
      <c r="K1799" s="1088"/>
    </row>
    <row r="1800" spans="3:11" ht="12" customHeight="1">
      <c r="C1800" s="891"/>
      <c r="D1800" s="891"/>
      <c r="E1800" s="891"/>
      <c r="F1800" s="891"/>
      <c r="G1800" s="891"/>
      <c r="H1800" s="1088"/>
      <c r="I1800" s="1088"/>
      <c r="J1800" s="1088"/>
      <c r="K1800" s="1088"/>
    </row>
    <row r="1801" spans="3:11" ht="12" customHeight="1">
      <c r="C1801" s="891"/>
      <c r="D1801" s="891"/>
      <c r="E1801" s="891"/>
      <c r="F1801" s="891"/>
      <c r="G1801" s="891"/>
      <c r="H1801" s="1088"/>
      <c r="I1801" s="1088"/>
      <c r="J1801" s="1088"/>
      <c r="K1801" s="1088"/>
    </row>
    <row r="1802" spans="3:11" ht="12" customHeight="1">
      <c r="C1802" s="891"/>
      <c r="D1802" s="891"/>
      <c r="E1802" s="891"/>
      <c r="F1802" s="891"/>
      <c r="G1802" s="891"/>
      <c r="H1802" s="1088"/>
      <c r="I1802" s="1088"/>
      <c r="J1802" s="1088"/>
      <c r="K1802" s="1088"/>
    </row>
    <row r="1803" spans="3:11" ht="12" customHeight="1">
      <c r="C1803" s="891"/>
      <c r="D1803" s="891"/>
      <c r="E1803" s="891"/>
      <c r="F1803" s="891"/>
      <c r="G1803" s="891"/>
      <c r="H1803" s="1088"/>
      <c r="I1803" s="1088"/>
      <c r="J1803" s="1088"/>
      <c r="K1803" s="1088"/>
    </row>
    <row r="1804" spans="3:11" ht="12" customHeight="1">
      <c r="C1804" s="891"/>
      <c r="D1804" s="891"/>
      <c r="E1804" s="891"/>
      <c r="F1804" s="891"/>
      <c r="G1804" s="891"/>
      <c r="H1804" s="1088"/>
      <c r="I1804" s="1088"/>
      <c r="J1804" s="1088"/>
      <c r="K1804" s="1088"/>
    </row>
    <row r="1805" spans="3:11" ht="12" customHeight="1">
      <c r="C1805" s="891"/>
      <c r="D1805" s="891"/>
      <c r="E1805" s="891"/>
      <c r="F1805" s="891"/>
      <c r="G1805" s="891"/>
      <c r="H1805" s="1088"/>
      <c r="I1805" s="1088"/>
      <c r="J1805" s="1088"/>
      <c r="K1805" s="1088"/>
    </row>
    <row r="1806" spans="3:11" ht="12" customHeight="1">
      <c r="C1806" s="891"/>
      <c r="D1806" s="891"/>
      <c r="E1806" s="891"/>
      <c r="F1806" s="891"/>
      <c r="G1806" s="891"/>
      <c r="H1806" s="1088"/>
      <c r="I1806" s="1088"/>
      <c r="J1806" s="1088"/>
      <c r="K1806" s="1088"/>
    </row>
    <row r="1807" spans="3:11" ht="12" customHeight="1">
      <c r="C1807" s="891"/>
      <c r="D1807" s="891"/>
      <c r="E1807" s="891"/>
      <c r="F1807" s="891"/>
      <c r="G1807" s="891"/>
      <c r="H1807" s="1088"/>
      <c r="I1807" s="1088"/>
      <c r="J1807" s="1088"/>
      <c r="K1807" s="1088"/>
    </row>
    <row r="1808" spans="3:11" ht="12" customHeight="1">
      <c r="C1808" s="891"/>
      <c r="D1808" s="891"/>
      <c r="E1808" s="891"/>
      <c r="F1808" s="891"/>
      <c r="G1808" s="891"/>
      <c r="H1808" s="1088"/>
      <c r="I1808" s="1088"/>
      <c r="J1808" s="1088"/>
      <c r="K1808" s="1088"/>
    </row>
    <row r="1809" spans="3:11" ht="12" customHeight="1">
      <c r="C1809" s="891"/>
      <c r="D1809" s="891"/>
      <c r="E1809" s="891"/>
      <c r="F1809" s="891"/>
      <c r="G1809" s="891"/>
      <c r="H1809" s="1088"/>
      <c r="I1809" s="1088"/>
      <c r="J1809" s="1088"/>
      <c r="K1809" s="1088"/>
    </row>
    <row r="1810" spans="3:11" ht="12" customHeight="1">
      <c r="C1810" s="891"/>
      <c r="D1810" s="891"/>
      <c r="E1810" s="891"/>
      <c r="F1810" s="891"/>
      <c r="G1810" s="891"/>
      <c r="H1810" s="1088"/>
      <c r="I1810" s="1088"/>
      <c r="J1810" s="1088"/>
      <c r="K1810" s="1088"/>
    </row>
    <row r="1811" spans="3:11" ht="12" customHeight="1">
      <c r="C1811" s="891"/>
      <c r="D1811" s="891"/>
      <c r="E1811" s="891"/>
      <c r="F1811" s="891"/>
      <c r="G1811" s="891"/>
      <c r="H1811" s="1088"/>
      <c r="I1811" s="1088"/>
      <c r="J1811" s="1088"/>
      <c r="K1811" s="1088"/>
    </row>
    <row r="1812" spans="3:11" ht="12" customHeight="1">
      <c r="C1812" s="891"/>
      <c r="D1812" s="891"/>
      <c r="E1812" s="891"/>
      <c r="F1812" s="891"/>
      <c r="G1812" s="891"/>
      <c r="H1812" s="1088"/>
      <c r="I1812" s="1088"/>
      <c r="J1812" s="1088"/>
      <c r="K1812" s="1088"/>
    </row>
    <row r="1813" spans="3:11" ht="12" customHeight="1">
      <c r="C1813" s="891"/>
      <c r="D1813" s="891"/>
      <c r="E1813" s="891"/>
      <c r="F1813" s="891"/>
      <c r="G1813" s="891"/>
      <c r="H1813" s="1088"/>
      <c r="I1813" s="1088"/>
      <c r="J1813" s="1088"/>
      <c r="K1813" s="1088"/>
    </row>
    <row r="1814" spans="3:11" ht="12" customHeight="1">
      <c r="C1814" s="891"/>
      <c r="D1814" s="891"/>
      <c r="E1814" s="891"/>
      <c r="F1814" s="891"/>
      <c r="G1814" s="891"/>
      <c r="H1814" s="1088"/>
      <c r="I1814" s="1088"/>
      <c r="J1814" s="1088"/>
      <c r="K1814" s="1088"/>
    </row>
    <row r="1815" spans="3:11" ht="12" customHeight="1">
      <c r="C1815" s="891"/>
      <c r="D1815" s="891"/>
      <c r="E1815" s="891"/>
      <c r="F1815" s="891"/>
      <c r="G1815" s="891"/>
      <c r="H1815" s="1088"/>
      <c r="I1815" s="1088"/>
      <c r="J1815" s="1088"/>
      <c r="K1815" s="1088"/>
    </row>
    <row r="1816" spans="3:11" ht="12" customHeight="1">
      <c r="C1816" s="891"/>
      <c r="D1816" s="891"/>
      <c r="E1816" s="891"/>
      <c r="F1816" s="891"/>
      <c r="G1816" s="891"/>
      <c r="H1816" s="1088"/>
      <c r="I1816" s="1088"/>
      <c r="J1816" s="1088"/>
      <c r="K1816" s="1088"/>
    </row>
    <row r="1817" spans="3:11" ht="12" customHeight="1">
      <c r="C1817" s="891"/>
      <c r="D1817" s="891"/>
      <c r="E1817" s="891"/>
      <c r="F1817" s="891"/>
      <c r="G1817" s="891"/>
      <c r="H1817" s="1088"/>
      <c r="I1817" s="1088"/>
      <c r="J1817" s="1088"/>
      <c r="K1817" s="1088"/>
    </row>
    <row r="1818" spans="3:11" ht="12" customHeight="1">
      <c r="C1818" s="891"/>
      <c r="D1818" s="891"/>
      <c r="E1818" s="891"/>
      <c r="F1818" s="891"/>
      <c r="G1818" s="891"/>
      <c r="H1818" s="1088"/>
      <c r="I1818" s="1088"/>
      <c r="J1818" s="1088"/>
      <c r="K1818" s="1088"/>
    </row>
    <row r="1819" spans="3:11" ht="12" customHeight="1">
      <c r="C1819" s="891"/>
      <c r="D1819" s="891"/>
      <c r="E1819" s="891"/>
      <c r="F1819" s="891"/>
      <c r="G1819" s="891"/>
      <c r="H1819" s="1088"/>
      <c r="I1819" s="1088"/>
      <c r="J1819" s="1088"/>
      <c r="K1819" s="1088"/>
    </row>
    <row r="1820" spans="3:11" ht="12" customHeight="1">
      <c r="C1820" s="891"/>
      <c r="D1820" s="891"/>
      <c r="E1820" s="891"/>
      <c r="F1820" s="891"/>
      <c r="G1820" s="891"/>
      <c r="H1820" s="1088"/>
      <c r="I1820" s="1088"/>
      <c r="J1820" s="1088"/>
      <c r="K1820" s="1088"/>
    </row>
    <row r="1821" spans="3:11" ht="12" customHeight="1">
      <c r="C1821" s="891"/>
      <c r="D1821" s="891"/>
      <c r="E1821" s="891"/>
      <c r="F1821" s="891"/>
      <c r="G1821" s="891"/>
      <c r="H1821" s="1088"/>
      <c r="I1821" s="1088"/>
      <c r="J1821" s="1088"/>
      <c r="K1821" s="1088"/>
    </row>
    <row r="1822" spans="3:11" ht="12" customHeight="1">
      <c r="C1822" s="891"/>
      <c r="D1822" s="891"/>
      <c r="E1822" s="891"/>
      <c r="F1822" s="891"/>
      <c r="G1822" s="891"/>
      <c r="H1822" s="1088"/>
      <c r="I1822" s="1088"/>
      <c r="J1822" s="1088"/>
      <c r="K1822" s="1088"/>
    </row>
    <row r="1823" spans="3:11" ht="12" customHeight="1">
      <c r="C1823" s="891"/>
      <c r="D1823" s="891"/>
      <c r="E1823" s="891"/>
      <c r="F1823" s="891"/>
      <c r="G1823" s="891"/>
      <c r="H1823" s="1088"/>
      <c r="I1823" s="1088"/>
      <c r="J1823" s="1088"/>
      <c r="K1823" s="1088"/>
    </row>
    <row r="1824" spans="3:11" ht="12" customHeight="1">
      <c r="C1824" s="891"/>
      <c r="D1824" s="891"/>
      <c r="E1824" s="891"/>
      <c r="F1824" s="891"/>
      <c r="G1824" s="891"/>
      <c r="H1824" s="1088"/>
      <c r="I1824" s="1088"/>
      <c r="J1824" s="1088"/>
      <c r="K1824" s="1088"/>
    </row>
    <row r="1825" spans="3:11" ht="12" customHeight="1">
      <c r="C1825" s="891"/>
      <c r="D1825" s="891"/>
      <c r="E1825" s="891"/>
      <c r="F1825" s="891"/>
      <c r="G1825" s="891"/>
      <c r="H1825" s="1088"/>
      <c r="I1825" s="1088"/>
      <c r="J1825" s="1088"/>
      <c r="K1825" s="1088"/>
    </row>
    <row r="1826" spans="3:11" ht="12" customHeight="1">
      <c r="C1826" s="891"/>
      <c r="D1826" s="891"/>
      <c r="E1826" s="891"/>
      <c r="F1826" s="891"/>
      <c r="G1826" s="891"/>
      <c r="H1826" s="1088"/>
      <c r="I1826" s="1088"/>
      <c r="J1826" s="1088"/>
      <c r="K1826" s="1088"/>
    </row>
    <row r="1827" spans="3:11" ht="12" customHeight="1">
      <c r="C1827" s="891"/>
      <c r="D1827" s="891"/>
      <c r="E1827" s="891"/>
      <c r="F1827" s="891"/>
      <c r="G1827" s="891"/>
      <c r="H1827" s="1088"/>
      <c r="I1827" s="1088"/>
      <c r="J1827" s="1088"/>
      <c r="K1827" s="1088"/>
    </row>
    <row r="1828" spans="3:11" ht="12" customHeight="1">
      <c r="C1828" s="891"/>
      <c r="D1828" s="891"/>
      <c r="E1828" s="891"/>
      <c r="F1828" s="891"/>
      <c r="G1828" s="891"/>
      <c r="H1828" s="1088"/>
      <c r="I1828" s="1088"/>
      <c r="J1828" s="1088"/>
      <c r="K1828" s="1088"/>
    </row>
    <row r="1829" spans="3:11" ht="12" customHeight="1">
      <c r="C1829" s="891"/>
      <c r="D1829" s="891"/>
      <c r="E1829" s="891"/>
      <c r="F1829" s="891"/>
      <c r="G1829" s="891"/>
      <c r="H1829" s="1088"/>
      <c r="I1829" s="1088"/>
      <c r="J1829" s="1088"/>
      <c r="K1829" s="1088"/>
    </row>
    <row r="1830" spans="3:11" ht="12" customHeight="1">
      <c r="C1830" s="891"/>
      <c r="D1830" s="891"/>
      <c r="E1830" s="891"/>
      <c r="F1830" s="891"/>
      <c r="G1830" s="891"/>
      <c r="H1830" s="1088"/>
      <c r="I1830" s="1088"/>
      <c r="J1830" s="1088"/>
      <c r="K1830" s="1088"/>
    </row>
    <row r="1831" spans="3:11" ht="12" customHeight="1">
      <c r="C1831" s="891"/>
      <c r="D1831" s="891"/>
      <c r="E1831" s="891"/>
      <c r="F1831" s="891"/>
      <c r="G1831" s="891"/>
      <c r="H1831" s="1088"/>
      <c r="I1831" s="1088"/>
      <c r="J1831" s="1088"/>
      <c r="K1831" s="1088"/>
    </row>
    <row r="1832" spans="3:11" ht="12" customHeight="1">
      <c r="C1832" s="891"/>
      <c r="D1832" s="891"/>
      <c r="E1832" s="891"/>
      <c r="F1832" s="891"/>
      <c r="G1832" s="891"/>
      <c r="H1832" s="1088"/>
      <c r="I1832" s="1088"/>
      <c r="J1832" s="1088"/>
      <c r="K1832" s="1088"/>
    </row>
    <row r="1833" spans="3:11" ht="12" customHeight="1">
      <c r="C1833" s="891"/>
      <c r="D1833" s="891"/>
      <c r="E1833" s="891"/>
      <c r="F1833" s="891"/>
      <c r="G1833" s="891"/>
      <c r="H1833" s="1088"/>
      <c r="I1833" s="1088"/>
      <c r="J1833" s="1088"/>
      <c r="K1833" s="1088"/>
    </row>
    <row r="1834" spans="3:11" ht="12" customHeight="1">
      <c r="C1834" s="891"/>
      <c r="D1834" s="891"/>
      <c r="E1834" s="891"/>
      <c r="F1834" s="891"/>
      <c r="G1834" s="891"/>
      <c r="H1834" s="1088"/>
      <c r="I1834" s="1088"/>
      <c r="J1834" s="1088"/>
      <c r="K1834" s="1088"/>
    </row>
    <row r="1835" spans="3:11" ht="12" customHeight="1">
      <c r="C1835" s="891"/>
      <c r="D1835" s="891"/>
      <c r="E1835" s="891"/>
      <c r="F1835" s="891"/>
      <c r="G1835" s="891"/>
      <c r="H1835" s="1088"/>
      <c r="I1835" s="1088"/>
      <c r="J1835" s="1088"/>
      <c r="K1835" s="1088"/>
    </row>
    <row r="1836" spans="3:11" ht="12" customHeight="1">
      <c r="C1836" s="891"/>
      <c r="D1836" s="891"/>
      <c r="E1836" s="891"/>
      <c r="F1836" s="891"/>
      <c r="G1836" s="891"/>
      <c r="H1836" s="1088"/>
      <c r="I1836" s="1088"/>
      <c r="J1836" s="1088"/>
      <c r="K1836" s="1088"/>
    </row>
    <row r="1837" spans="3:11" ht="12" customHeight="1">
      <c r="C1837" s="891"/>
      <c r="D1837" s="891"/>
      <c r="E1837" s="891"/>
      <c r="F1837" s="891"/>
      <c r="G1837" s="891"/>
      <c r="H1837" s="1088"/>
      <c r="I1837" s="1088"/>
      <c r="J1837" s="1088"/>
      <c r="K1837" s="1088"/>
    </row>
    <row r="1838" spans="3:11" ht="12" customHeight="1">
      <c r="C1838" s="891"/>
      <c r="D1838" s="891"/>
      <c r="E1838" s="891"/>
      <c r="F1838" s="891"/>
      <c r="G1838" s="891"/>
      <c r="H1838" s="1088"/>
      <c r="I1838" s="1088"/>
      <c r="J1838" s="1088"/>
      <c r="K1838" s="1088"/>
    </row>
    <row r="1839" spans="3:11" ht="12" customHeight="1">
      <c r="C1839" s="891"/>
      <c r="D1839" s="891"/>
      <c r="E1839" s="891"/>
      <c r="F1839" s="891"/>
      <c r="G1839" s="891"/>
      <c r="H1839" s="1088"/>
      <c r="I1839" s="1088"/>
      <c r="J1839" s="1088"/>
      <c r="K1839" s="1088"/>
    </row>
    <row r="1840" spans="3:11" ht="12" customHeight="1">
      <c r="C1840" s="891"/>
      <c r="D1840" s="891"/>
      <c r="E1840" s="891"/>
      <c r="F1840" s="891"/>
      <c r="G1840" s="891"/>
      <c r="H1840" s="1088"/>
      <c r="I1840" s="1088"/>
      <c r="J1840" s="1088"/>
      <c r="K1840" s="1088"/>
    </row>
    <row r="1841" spans="3:11" ht="12" customHeight="1">
      <c r="C1841" s="891"/>
      <c r="D1841" s="891"/>
      <c r="E1841" s="891"/>
      <c r="F1841" s="891"/>
      <c r="G1841" s="891"/>
      <c r="H1841" s="1088"/>
      <c r="I1841" s="1088"/>
      <c r="J1841" s="1088"/>
      <c r="K1841" s="1088"/>
    </row>
    <row r="1842" spans="3:11" ht="12" customHeight="1">
      <c r="C1842" s="891"/>
      <c r="D1842" s="891"/>
      <c r="E1842" s="891"/>
      <c r="F1842" s="891"/>
      <c r="G1842" s="891"/>
      <c r="H1842" s="1088"/>
      <c r="I1842" s="1088"/>
      <c r="J1842" s="1088"/>
      <c r="K1842" s="1088"/>
    </row>
    <row r="1843" spans="3:11" ht="12" customHeight="1">
      <c r="C1843" s="891"/>
      <c r="D1843" s="891"/>
      <c r="E1843" s="891"/>
      <c r="F1843" s="891"/>
      <c r="G1843" s="891"/>
      <c r="H1843" s="1088"/>
      <c r="I1843" s="1088"/>
      <c r="J1843" s="1088"/>
      <c r="K1843" s="1088"/>
    </row>
    <row r="1844" spans="3:11" ht="12" customHeight="1">
      <c r="C1844" s="891"/>
      <c r="D1844" s="891"/>
      <c r="E1844" s="891"/>
      <c r="F1844" s="891"/>
      <c r="G1844" s="891"/>
      <c r="H1844" s="1088"/>
      <c r="I1844" s="1088"/>
      <c r="J1844" s="1088"/>
      <c r="K1844" s="1088"/>
    </row>
    <row r="1845" spans="3:11" ht="12" customHeight="1">
      <c r="C1845" s="891"/>
      <c r="D1845" s="891"/>
      <c r="E1845" s="891"/>
      <c r="F1845" s="891"/>
      <c r="G1845" s="891"/>
      <c r="H1845" s="1088"/>
      <c r="I1845" s="1088"/>
      <c r="J1845" s="1088"/>
      <c r="K1845" s="1088"/>
    </row>
    <row r="1846" spans="3:11" ht="12" customHeight="1">
      <c r="C1846" s="891"/>
      <c r="D1846" s="891"/>
      <c r="E1846" s="891"/>
      <c r="F1846" s="891"/>
      <c r="G1846" s="891"/>
      <c r="H1846" s="1088"/>
      <c r="I1846" s="1088"/>
      <c r="J1846" s="1088"/>
      <c r="K1846" s="1088"/>
    </row>
    <row r="1847" spans="3:11" ht="12" customHeight="1">
      <c r="C1847" s="891"/>
      <c r="D1847" s="891"/>
      <c r="E1847" s="891"/>
      <c r="F1847" s="891"/>
      <c r="G1847" s="891"/>
      <c r="H1847" s="1088"/>
      <c r="I1847" s="1088"/>
      <c r="J1847" s="1088"/>
      <c r="K1847" s="1088"/>
    </row>
    <row r="1848" spans="3:11" ht="12" customHeight="1">
      <c r="C1848" s="891"/>
      <c r="D1848" s="891"/>
      <c r="E1848" s="891"/>
      <c r="F1848" s="891"/>
      <c r="G1848" s="891"/>
      <c r="H1848" s="1088"/>
      <c r="I1848" s="1088"/>
      <c r="J1848" s="1088"/>
      <c r="K1848" s="1088"/>
    </row>
    <row r="1849" spans="3:11" ht="12" customHeight="1">
      <c r="C1849" s="891"/>
      <c r="D1849" s="891"/>
      <c r="E1849" s="891"/>
      <c r="F1849" s="891"/>
      <c r="G1849" s="891"/>
      <c r="H1849" s="1088"/>
      <c r="I1849" s="1088"/>
      <c r="J1849" s="1088"/>
      <c r="K1849" s="1088"/>
    </row>
    <row r="1850" spans="3:11" ht="12" customHeight="1">
      <c r="C1850" s="891"/>
      <c r="D1850" s="891"/>
      <c r="E1850" s="891"/>
      <c r="F1850" s="891"/>
      <c r="G1850" s="891"/>
      <c r="H1850" s="1088"/>
      <c r="I1850" s="1088"/>
      <c r="J1850" s="1088"/>
      <c r="K1850" s="1088"/>
    </row>
    <row r="1851" spans="3:11" ht="12" customHeight="1">
      <c r="C1851" s="891"/>
      <c r="D1851" s="891"/>
      <c r="E1851" s="891"/>
      <c r="F1851" s="891"/>
      <c r="G1851" s="891"/>
      <c r="H1851" s="1088"/>
      <c r="I1851" s="1088"/>
      <c r="J1851" s="1088"/>
      <c r="K1851" s="1088"/>
    </row>
    <row r="1852" spans="3:11" ht="12" customHeight="1">
      <c r="C1852" s="891"/>
      <c r="D1852" s="891"/>
      <c r="E1852" s="891"/>
      <c r="F1852" s="891"/>
      <c r="G1852" s="891"/>
      <c r="H1852" s="1088"/>
      <c r="I1852" s="1088"/>
      <c r="J1852" s="1088"/>
      <c r="K1852" s="1088"/>
    </row>
    <row r="1853" spans="3:11" ht="12" customHeight="1">
      <c r="C1853" s="891"/>
      <c r="D1853" s="891"/>
      <c r="E1853" s="891"/>
      <c r="F1853" s="891"/>
      <c r="G1853" s="891"/>
      <c r="H1853" s="1088"/>
      <c r="I1853" s="1088"/>
      <c r="J1853" s="1088"/>
      <c r="K1853" s="1088"/>
    </row>
    <row r="1854" spans="3:11" ht="12" customHeight="1">
      <c r="C1854" s="891"/>
      <c r="D1854" s="891"/>
      <c r="E1854" s="891"/>
      <c r="F1854" s="891"/>
      <c r="G1854" s="891"/>
      <c r="H1854" s="1088"/>
      <c r="I1854" s="1088"/>
      <c r="J1854" s="1088"/>
      <c r="K1854" s="1088"/>
    </row>
    <row r="1855" spans="3:11" ht="12" customHeight="1">
      <c r="C1855" s="891"/>
      <c r="D1855" s="891"/>
      <c r="E1855" s="891"/>
      <c r="F1855" s="891"/>
      <c r="G1855" s="891"/>
      <c r="H1855" s="1088"/>
      <c r="I1855" s="1088"/>
      <c r="J1855" s="1088"/>
      <c r="K1855" s="1088"/>
    </row>
    <row r="1856" spans="3:11" ht="12" customHeight="1">
      <c r="C1856" s="891"/>
      <c r="D1856" s="891"/>
      <c r="E1856" s="891"/>
      <c r="F1856" s="891"/>
      <c r="G1856" s="891"/>
      <c r="H1856" s="1088"/>
      <c r="I1856" s="1088"/>
      <c r="J1856" s="1088"/>
      <c r="K1856" s="1088"/>
    </row>
    <row r="1857" spans="3:11" ht="12" customHeight="1">
      <c r="C1857" s="891"/>
      <c r="D1857" s="891"/>
      <c r="E1857" s="891"/>
      <c r="F1857" s="891"/>
      <c r="G1857" s="891"/>
      <c r="H1857" s="1088"/>
      <c r="I1857" s="1088"/>
      <c r="J1857" s="1088"/>
      <c r="K1857" s="1088"/>
    </row>
    <row r="1858" spans="3:11" ht="12" customHeight="1">
      <c r="C1858" s="891"/>
      <c r="D1858" s="891"/>
      <c r="E1858" s="891"/>
      <c r="F1858" s="891"/>
      <c r="G1858" s="891"/>
      <c r="H1858" s="1088"/>
      <c r="I1858" s="1088"/>
      <c r="J1858" s="1088"/>
      <c r="K1858" s="1088"/>
    </row>
    <row r="1859" spans="3:11" ht="12" customHeight="1">
      <c r="C1859" s="891"/>
      <c r="D1859" s="891"/>
      <c r="E1859" s="891"/>
      <c r="F1859" s="891"/>
      <c r="G1859" s="891"/>
      <c r="H1859" s="1088"/>
      <c r="I1859" s="1088"/>
      <c r="J1859" s="1088"/>
      <c r="K1859" s="1088"/>
    </row>
    <row r="1860" spans="3:11" ht="12" customHeight="1">
      <c r="C1860" s="891"/>
      <c r="D1860" s="891"/>
      <c r="E1860" s="891"/>
      <c r="F1860" s="891"/>
      <c r="G1860" s="891"/>
      <c r="H1860" s="1088"/>
      <c r="I1860" s="1088"/>
      <c r="J1860" s="1088"/>
      <c r="K1860" s="1088"/>
    </row>
    <row r="1861" spans="3:11" ht="12" customHeight="1">
      <c r="C1861" s="891"/>
      <c r="D1861" s="891"/>
      <c r="E1861" s="891"/>
      <c r="F1861" s="891"/>
      <c r="G1861" s="891"/>
      <c r="H1861" s="1088"/>
      <c r="I1861" s="1088"/>
      <c r="J1861" s="1088"/>
      <c r="K1861" s="1088"/>
    </row>
    <row r="1862" spans="3:11" ht="12" customHeight="1">
      <c r="C1862" s="891"/>
      <c r="D1862" s="891"/>
      <c r="E1862" s="891"/>
      <c r="F1862" s="891"/>
      <c r="G1862" s="891"/>
      <c r="H1862" s="1088"/>
      <c r="I1862" s="1088"/>
      <c r="J1862" s="1088"/>
      <c r="K1862" s="1088"/>
    </row>
    <row r="1863" spans="3:11" ht="12" customHeight="1">
      <c r="C1863" s="891"/>
      <c r="D1863" s="891"/>
      <c r="E1863" s="891"/>
      <c r="F1863" s="891"/>
      <c r="G1863" s="891"/>
      <c r="H1863" s="1088"/>
      <c r="I1863" s="1088"/>
      <c r="J1863" s="1088"/>
      <c r="K1863" s="1088"/>
    </row>
    <row r="1864" spans="3:11" ht="12" customHeight="1">
      <c r="C1864" s="891"/>
      <c r="D1864" s="891"/>
      <c r="E1864" s="891"/>
      <c r="F1864" s="891"/>
      <c r="G1864" s="891"/>
      <c r="H1864" s="1088"/>
      <c r="I1864" s="1088"/>
      <c r="J1864" s="1088"/>
      <c r="K1864" s="1088"/>
    </row>
    <row r="1865" spans="3:11" ht="12" customHeight="1">
      <c r="C1865" s="891"/>
      <c r="D1865" s="891"/>
      <c r="E1865" s="891"/>
      <c r="F1865" s="891"/>
      <c r="G1865" s="891"/>
      <c r="H1865" s="1088"/>
      <c r="I1865" s="1088"/>
      <c r="J1865" s="1088"/>
      <c r="K1865" s="1088"/>
    </row>
    <row r="1866" spans="3:11" ht="12" customHeight="1">
      <c r="C1866" s="891"/>
      <c r="D1866" s="891"/>
      <c r="E1866" s="891"/>
      <c r="F1866" s="891"/>
      <c r="G1866" s="891"/>
      <c r="H1866" s="1088"/>
      <c r="I1866" s="1088"/>
      <c r="J1866" s="1088"/>
      <c r="K1866" s="1088"/>
    </row>
    <row r="1867" spans="3:11" ht="12" customHeight="1">
      <c r="C1867" s="891"/>
      <c r="D1867" s="891"/>
      <c r="E1867" s="891"/>
      <c r="F1867" s="891"/>
      <c r="G1867" s="891"/>
      <c r="H1867" s="1088"/>
      <c r="I1867" s="1088"/>
      <c r="J1867" s="1088"/>
      <c r="K1867" s="1088"/>
    </row>
    <row r="1868" spans="3:11" ht="12" customHeight="1">
      <c r="C1868" s="891"/>
      <c r="D1868" s="891"/>
      <c r="E1868" s="891"/>
      <c r="F1868" s="891"/>
      <c r="G1868" s="891"/>
      <c r="H1868" s="1088"/>
      <c r="I1868" s="1088"/>
      <c r="J1868" s="1088"/>
      <c r="K1868" s="1088"/>
    </row>
    <row r="1869" spans="3:11" ht="12" customHeight="1">
      <c r="C1869" s="891"/>
      <c r="D1869" s="891"/>
      <c r="E1869" s="891"/>
      <c r="F1869" s="891"/>
      <c r="G1869" s="891"/>
      <c r="H1869" s="1088"/>
      <c r="I1869" s="1088"/>
      <c r="J1869" s="1088"/>
      <c r="K1869" s="1088"/>
    </row>
    <row r="1870" spans="3:11" ht="12" customHeight="1">
      <c r="C1870" s="891"/>
      <c r="D1870" s="891"/>
      <c r="E1870" s="891"/>
      <c r="F1870" s="891"/>
      <c r="G1870" s="891"/>
      <c r="H1870" s="1088"/>
      <c r="I1870" s="1088"/>
      <c r="J1870" s="1088"/>
      <c r="K1870" s="1088"/>
    </row>
    <row r="1871" spans="3:11" ht="12" customHeight="1">
      <c r="C1871" s="891"/>
      <c r="D1871" s="891"/>
      <c r="E1871" s="891"/>
      <c r="F1871" s="891"/>
      <c r="G1871" s="891"/>
      <c r="H1871" s="1088"/>
      <c r="I1871" s="1088"/>
      <c r="J1871" s="1088"/>
      <c r="K1871" s="1088"/>
    </row>
    <row r="1872" spans="3:11" ht="12" customHeight="1">
      <c r="C1872" s="891"/>
      <c r="D1872" s="891"/>
      <c r="E1872" s="891"/>
      <c r="F1872" s="891"/>
      <c r="G1872" s="891"/>
      <c r="H1872" s="1088"/>
      <c r="I1872" s="1088"/>
      <c r="J1872" s="1088"/>
      <c r="K1872" s="1088"/>
    </row>
    <row r="1873" spans="3:11" ht="12" customHeight="1">
      <c r="C1873" s="891"/>
      <c r="D1873" s="891"/>
      <c r="E1873" s="891"/>
      <c r="F1873" s="891"/>
      <c r="G1873" s="891"/>
      <c r="H1873" s="1088"/>
      <c r="I1873" s="1088"/>
      <c r="J1873" s="1088"/>
      <c r="K1873" s="1088"/>
    </row>
    <row r="1874" spans="3:11" ht="12" customHeight="1">
      <c r="C1874" s="891"/>
      <c r="D1874" s="891"/>
      <c r="E1874" s="891"/>
      <c r="F1874" s="891"/>
      <c r="G1874" s="891"/>
      <c r="H1874" s="1088"/>
      <c r="I1874" s="1088"/>
      <c r="J1874" s="1088"/>
      <c r="K1874" s="1088"/>
    </row>
    <row r="1875" spans="3:11" ht="12" customHeight="1">
      <c r="C1875" s="891"/>
      <c r="D1875" s="891"/>
      <c r="E1875" s="891"/>
      <c r="F1875" s="891"/>
      <c r="G1875" s="891"/>
      <c r="H1875" s="1088"/>
      <c r="I1875" s="1088"/>
      <c r="J1875" s="1088"/>
      <c r="K1875" s="1088"/>
    </row>
    <row r="1876" spans="3:11" ht="12" customHeight="1">
      <c r="C1876" s="891"/>
      <c r="D1876" s="891"/>
      <c r="E1876" s="891"/>
      <c r="F1876" s="891"/>
      <c r="G1876" s="891"/>
      <c r="H1876" s="1088"/>
      <c r="I1876" s="1088"/>
      <c r="J1876" s="1088"/>
      <c r="K1876" s="1088"/>
    </row>
    <row r="1877" spans="3:11" ht="12" customHeight="1">
      <c r="C1877" s="891"/>
      <c r="D1877" s="891"/>
      <c r="E1877" s="891"/>
      <c r="F1877" s="891"/>
      <c r="G1877" s="891"/>
      <c r="H1877" s="1088"/>
      <c r="I1877" s="1088"/>
      <c r="J1877" s="1088"/>
      <c r="K1877" s="1088"/>
    </row>
    <row r="1878" spans="3:11" ht="12" customHeight="1">
      <c r="C1878" s="891"/>
      <c r="D1878" s="891"/>
      <c r="E1878" s="891"/>
      <c r="F1878" s="891"/>
      <c r="G1878" s="891"/>
      <c r="H1878" s="1088"/>
      <c r="I1878" s="1088"/>
      <c r="J1878" s="1088"/>
      <c r="K1878" s="1088"/>
    </row>
    <row r="1879" spans="3:11" ht="12" customHeight="1">
      <c r="C1879" s="891"/>
      <c r="D1879" s="891"/>
      <c r="E1879" s="891"/>
      <c r="F1879" s="891"/>
      <c r="G1879" s="891"/>
      <c r="H1879" s="1088"/>
      <c r="I1879" s="1088"/>
      <c r="J1879" s="1088"/>
      <c r="K1879" s="1088"/>
    </row>
    <row r="1880" spans="3:11" ht="12" customHeight="1">
      <c r="C1880" s="891"/>
      <c r="D1880" s="891"/>
      <c r="E1880" s="891"/>
      <c r="F1880" s="891"/>
      <c r="G1880" s="891"/>
      <c r="H1880" s="1088"/>
      <c r="I1880" s="1088"/>
      <c r="J1880" s="1088"/>
      <c r="K1880" s="1088"/>
    </row>
    <row r="1881" spans="3:11" ht="12" customHeight="1">
      <c r="C1881" s="891"/>
      <c r="D1881" s="891"/>
      <c r="E1881" s="891"/>
      <c r="F1881" s="891"/>
      <c r="G1881" s="891"/>
      <c r="H1881" s="1088"/>
      <c r="I1881" s="1088"/>
      <c r="J1881" s="1088"/>
      <c r="K1881" s="1088"/>
    </row>
    <row r="1882" spans="3:11" ht="12" customHeight="1">
      <c r="C1882" s="891"/>
      <c r="D1882" s="891"/>
      <c r="E1882" s="891"/>
      <c r="F1882" s="891"/>
      <c r="G1882" s="891"/>
      <c r="H1882" s="1088"/>
      <c r="I1882" s="1088"/>
      <c r="J1882" s="1088"/>
      <c r="K1882" s="1088"/>
    </row>
    <row r="1883" spans="3:11" ht="12" customHeight="1">
      <c r="C1883" s="891"/>
      <c r="D1883" s="891"/>
      <c r="E1883" s="891"/>
      <c r="F1883" s="891"/>
      <c r="G1883" s="891"/>
      <c r="H1883" s="1088"/>
      <c r="I1883" s="1088"/>
      <c r="J1883" s="1088"/>
      <c r="K1883" s="1088"/>
    </row>
    <row r="1884" spans="3:11" ht="12" customHeight="1">
      <c r="C1884" s="891"/>
      <c r="D1884" s="891"/>
      <c r="E1884" s="891"/>
      <c r="F1884" s="891"/>
      <c r="G1884" s="891"/>
      <c r="H1884" s="1088"/>
      <c r="I1884" s="1088"/>
      <c r="J1884" s="1088"/>
      <c r="K1884" s="1088"/>
    </row>
    <row r="1885" spans="3:11" ht="12" customHeight="1">
      <c r="C1885" s="891"/>
      <c r="D1885" s="891"/>
      <c r="E1885" s="891"/>
      <c r="F1885" s="891"/>
      <c r="G1885" s="891"/>
      <c r="H1885" s="1088"/>
      <c r="I1885" s="1088"/>
      <c r="J1885" s="1088"/>
      <c r="K1885" s="1088"/>
    </row>
    <row r="1886" spans="3:11" ht="12" customHeight="1">
      <c r="C1886" s="891"/>
      <c r="D1886" s="891"/>
      <c r="E1886" s="891"/>
      <c r="F1886" s="891"/>
      <c r="G1886" s="891"/>
      <c r="H1886" s="1088"/>
      <c r="I1886" s="1088"/>
      <c r="J1886" s="1088"/>
      <c r="K1886" s="1088"/>
    </row>
    <row r="1887" spans="3:11" ht="12" customHeight="1">
      <c r="C1887" s="891"/>
      <c r="D1887" s="891"/>
      <c r="E1887" s="891"/>
      <c r="F1887" s="891"/>
      <c r="G1887" s="891"/>
      <c r="H1887" s="1088"/>
      <c r="I1887" s="1088"/>
      <c r="J1887" s="1088"/>
      <c r="K1887" s="1088"/>
    </row>
    <row r="1888" spans="3:11" ht="12" customHeight="1">
      <c r="C1888" s="891"/>
      <c r="D1888" s="891"/>
      <c r="E1888" s="891"/>
      <c r="F1888" s="891"/>
      <c r="G1888" s="891"/>
      <c r="H1888" s="1088"/>
      <c r="I1888" s="1088"/>
      <c r="J1888" s="1088"/>
      <c r="K1888" s="1088"/>
    </row>
    <row r="1889" spans="3:11" ht="12" customHeight="1">
      <c r="C1889" s="891"/>
      <c r="D1889" s="891"/>
      <c r="E1889" s="891"/>
      <c r="F1889" s="891"/>
      <c r="G1889" s="891"/>
      <c r="H1889" s="1088"/>
      <c r="I1889" s="1088"/>
      <c r="J1889" s="1088"/>
      <c r="K1889" s="1088"/>
    </row>
    <row r="1890" spans="3:11" ht="12" customHeight="1">
      <c r="C1890" s="891"/>
      <c r="D1890" s="891"/>
      <c r="E1890" s="891"/>
      <c r="F1890" s="891"/>
      <c r="G1890" s="891"/>
      <c r="H1890" s="1088"/>
      <c r="I1890" s="1088"/>
      <c r="J1890" s="1088"/>
      <c r="K1890" s="1088"/>
    </row>
    <row r="1891" spans="3:11" ht="12" customHeight="1">
      <c r="C1891" s="891"/>
      <c r="D1891" s="891"/>
      <c r="E1891" s="891"/>
      <c r="F1891" s="891"/>
      <c r="G1891" s="891"/>
      <c r="H1891" s="1088"/>
      <c r="I1891" s="1088"/>
      <c r="J1891" s="1088"/>
      <c r="K1891" s="1088"/>
    </row>
    <row r="1892" spans="3:11" ht="12" customHeight="1">
      <c r="C1892" s="891"/>
      <c r="D1892" s="891"/>
      <c r="E1892" s="891"/>
      <c r="F1892" s="891"/>
      <c r="G1892" s="891"/>
      <c r="H1892" s="1088"/>
      <c r="I1892" s="1088"/>
      <c r="J1892" s="1088"/>
      <c r="K1892" s="1088"/>
    </row>
    <row r="1893" spans="3:11" ht="12" customHeight="1">
      <c r="C1893" s="891"/>
      <c r="D1893" s="891"/>
      <c r="E1893" s="891"/>
      <c r="F1893" s="891"/>
      <c r="G1893" s="891"/>
      <c r="H1893" s="1088"/>
      <c r="I1893" s="1088"/>
      <c r="J1893" s="1088"/>
      <c r="K1893" s="1088"/>
    </row>
    <row r="1894" spans="3:11" ht="12" customHeight="1">
      <c r="C1894" s="891"/>
      <c r="D1894" s="891"/>
      <c r="E1894" s="891"/>
      <c r="F1894" s="891"/>
      <c r="G1894" s="891"/>
      <c r="H1894" s="1088"/>
      <c r="I1894" s="1088"/>
      <c r="J1894" s="1088"/>
      <c r="K1894" s="1088"/>
    </row>
    <row r="1895" spans="3:11" ht="12" customHeight="1">
      <c r="C1895" s="891"/>
      <c r="D1895" s="891"/>
      <c r="E1895" s="891"/>
      <c r="F1895" s="891"/>
      <c r="G1895" s="891"/>
      <c r="H1895" s="1088"/>
      <c r="I1895" s="1088"/>
      <c r="J1895" s="1088"/>
      <c r="K1895" s="1088"/>
    </row>
    <row r="1896" spans="3:11" ht="12" customHeight="1">
      <c r="C1896" s="891"/>
      <c r="D1896" s="891"/>
      <c r="E1896" s="891"/>
      <c r="F1896" s="891"/>
      <c r="G1896" s="891"/>
      <c r="H1896" s="1088"/>
      <c r="I1896" s="1088"/>
      <c r="J1896" s="1088"/>
      <c r="K1896" s="1088"/>
    </row>
    <row r="1897" spans="3:11" ht="12" customHeight="1">
      <c r="C1897" s="891"/>
      <c r="D1897" s="891"/>
      <c r="E1897" s="891"/>
      <c r="F1897" s="891"/>
      <c r="G1897" s="891"/>
      <c r="H1897" s="1088"/>
      <c r="I1897" s="1088"/>
      <c r="J1897" s="1088"/>
      <c r="K1897" s="1088"/>
    </row>
    <row r="1898" spans="3:11" ht="12" customHeight="1">
      <c r="C1898" s="891"/>
      <c r="D1898" s="891"/>
      <c r="E1898" s="891"/>
      <c r="F1898" s="891"/>
      <c r="G1898" s="891"/>
      <c r="H1898" s="1088"/>
      <c r="I1898" s="1088"/>
      <c r="J1898" s="1088"/>
      <c r="K1898" s="1088"/>
    </row>
    <row r="1899" spans="3:11" ht="12" customHeight="1">
      <c r="C1899" s="891"/>
      <c r="D1899" s="891"/>
      <c r="E1899" s="891"/>
      <c r="F1899" s="891"/>
      <c r="G1899" s="891"/>
      <c r="H1899" s="1088"/>
      <c r="I1899" s="1088"/>
      <c r="J1899" s="1088"/>
      <c r="K1899" s="1088"/>
    </row>
    <row r="1900" spans="3:11" ht="12" customHeight="1">
      <c r="C1900" s="891"/>
      <c r="D1900" s="891"/>
      <c r="E1900" s="891"/>
      <c r="F1900" s="891"/>
      <c r="G1900" s="891"/>
      <c r="H1900" s="1088"/>
      <c r="I1900" s="1088"/>
      <c r="J1900" s="1088"/>
      <c r="K1900" s="1088"/>
    </row>
    <row r="1901" spans="3:11" ht="12" customHeight="1">
      <c r="C1901" s="891"/>
      <c r="D1901" s="891"/>
      <c r="E1901" s="891"/>
      <c r="F1901" s="891"/>
      <c r="G1901" s="891"/>
      <c r="H1901" s="1088"/>
      <c r="I1901" s="1088"/>
      <c r="J1901" s="1088"/>
      <c r="K1901" s="1088"/>
    </row>
    <row r="1902" spans="3:11" ht="12" customHeight="1">
      <c r="C1902" s="891"/>
      <c r="D1902" s="891"/>
      <c r="E1902" s="891"/>
      <c r="F1902" s="891"/>
      <c r="G1902" s="891"/>
      <c r="H1902" s="1088"/>
      <c r="I1902" s="1088"/>
      <c r="J1902" s="1088"/>
      <c r="K1902" s="1088"/>
    </row>
    <row r="1903" spans="3:11" ht="12" customHeight="1">
      <c r="C1903" s="891"/>
      <c r="D1903" s="891"/>
      <c r="E1903" s="891"/>
      <c r="F1903" s="891"/>
      <c r="G1903" s="891"/>
      <c r="H1903" s="1088"/>
      <c r="I1903" s="1088"/>
      <c r="J1903" s="1088"/>
      <c r="K1903" s="1088"/>
    </row>
    <row r="1904" spans="3:11" ht="12" customHeight="1">
      <c r="C1904" s="891"/>
      <c r="D1904" s="891"/>
      <c r="E1904" s="891"/>
      <c r="F1904" s="891"/>
      <c r="G1904" s="891"/>
      <c r="H1904" s="1088"/>
      <c r="I1904" s="1088"/>
      <c r="J1904" s="1088"/>
      <c r="K1904" s="1088"/>
    </row>
    <row r="1905" spans="3:11" ht="12" customHeight="1">
      <c r="C1905" s="891"/>
      <c r="D1905" s="891"/>
      <c r="E1905" s="891"/>
      <c r="F1905" s="891"/>
      <c r="G1905" s="891"/>
      <c r="H1905" s="1088"/>
      <c r="I1905" s="1088"/>
      <c r="J1905" s="1088"/>
      <c r="K1905" s="1088"/>
    </row>
    <row r="1906" spans="3:11" ht="12" customHeight="1">
      <c r="C1906" s="891"/>
      <c r="D1906" s="891"/>
      <c r="E1906" s="891"/>
      <c r="F1906" s="891"/>
      <c r="G1906" s="891"/>
      <c r="H1906" s="1088"/>
      <c r="I1906" s="1088"/>
      <c r="J1906" s="1088"/>
      <c r="K1906" s="1088"/>
    </row>
    <row r="1907" spans="3:11" ht="12" customHeight="1">
      <c r="C1907" s="891"/>
      <c r="D1907" s="891"/>
      <c r="E1907" s="891"/>
      <c r="F1907" s="891"/>
      <c r="G1907" s="891"/>
      <c r="H1907" s="1088"/>
      <c r="I1907" s="1088"/>
      <c r="J1907" s="1088"/>
      <c r="K1907" s="1088"/>
    </row>
    <row r="1908" spans="3:11" ht="12" customHeight="1">
      <c r="C1908" s="891"/>
      <c r="D1908" s="891"/>
      <c r="E1908" s="891"/>
      <c r="F1908" s="891"/>
      <c r="G1908" s="891"/>
      <c r="H1908" s="1088"/>
      <c r="I1908" s="1088"/>
      <c r="J1908" s="1088"/>
      <c r="K1908" s="1088"/>
    </row>
    <row r="1909" spans="3:11" ht="12" customHeight="1">
      <c r="C1909" s="891"/>
      <c r="D1909" s="891"/>
      <c r="E1909" s="891"/>
      <c r="F1909" s="891"/>
      <c r="G1909" s="891"/>
      <c r="H1909" s="1088"/>
      <c r="I1909" s="1088"/>
      <c r="J1909" s="1088"/>
      <c r="K1909" s="1088"/>
    </row>
    <row r="1910" spans="3:11" ht="12" customHeight="1">
      <c r="C1910" s="891"/>
      <c r="D1910" s="891"/>
      <c r="E1910" s="891"/>
      <c r="F1910" s="891"/>
      <c r="G1910" s="891"/>
      <c r="H1910" s="1088"/>
      <c r="I1910" s="1088"/>
      <c r="J1910" s="1088"/>
      <c r="K1910" s="1088"/>
    </row>
    <row r="1911" spans="3:11" ht="12" customHeight="1">
      <c r="C1911" s="891"/>
      <c r="D1911" s="891"/>
      <c r="E1911" s="891"/>
      <c r="F1911" s="891"/>
      <c r="G1911" s="891"/>
      <c r="H1911" s="1088"/>
      <c r="I1911" s="1088"/>
      <c r="J1911" s="1088"/>
      <c r="K1911" s="1088"/>
    </row>
    <row r="1912" spans="3:11" ht="12" customHeight="1">
      <c r="C1912" s="891"/>
      <c r="D1912" s="891"/>
      <c r="E1912" s="891"/>
      <c r="F1912" s="891"/>
      <c r="G1912" s="891"/>
      <c r="H1912" s="1088"/>
      <c r="I1912" s="1088"/>
      <c r="J1912" s="1088"/>
      <c r="K1912" s="1088"/>
    </row>
    <row r="1913" spans="3:11" ht="12" customHeight="1">
      <c r="C1913" s="891"/>
      <c r="D1913" s="891"/>
      <c r="E1913" s="891"/>
      <c r="F1913" s="891"/>
      <c r="G1913" s="891"/>
      <c r="H1913" s="1088"/>
      <c r="I1913" s="1088"/>
      <c r="J1913" s="1088"/>
      <c r="K1913" s="1088"/>
    </row>
    <row r="1914" spans="3:11" ht="12" customHeight="1">
      <c r="C1914" s="891"/>
      <c r="D1914" s="891"/>
      <c r="E1914" s="891"/>
      <c r="F1914" s="891"/>
      <c r="G1914" s="891"/>
      <c r="H1914" s="1088"/>
      <c r="I1914" s="1088"/>
      <c r="J1914" s="1088"/>
      <c r="K1914" s="1088"/>
    </row>
    <row r="1915" spans="3:11" ht="12" customHeight="1">
      <c r="C1915" s="891"/>
      <c r="D1915" s="891"/>
      <c r="E1915" s="891"/>
      <c r="F1915" s="891"/>
      <c r="G1915" s="891"/>
      <c r="H1915" s="1088"/>
      <c r="I1915" s="1088"/>
      <c r="J1915" s="1088"/>
      <c r="K1915" s="1088"/>
    </row>
    <row r="1916" spans="3:11" ht="12" customHeight="1">
      <c r="C1916" s="891"/>
      <c r="D1916" s="891"/>
      <c r="E1916" s="891"/>
      <c r="F1916" s="891"/>
      <c r="G1916" s="891"/>
      <c r="H1916" s="1088"/>
      <c r="I1916" s="1088"/>
      <c r="J1916" s="1088"/>
      <c r="K1916" s="1088"/>
    </row>
    <row r="1917" spans="3:11" ht="12" customHeight="1">
      <c r="C1917" s="891"/>
      <c r="D1917" s="891"/>
      <c r="E1917" s="891"/>
      <c r="F1917" s="891"/>
      <c r="G1917" s="891"/>
      <c r="H1917" s="1088"/>
      <c r="I1917" s="1088"/>
      <c r="J1917" s="1088"/>
      <c r="K1917" s="1088"/>
    </row>
    <row r="1918" spans="3:11" ht="12" customHeight="1">
      <c r="C1918" s="891"/>
      <c r="D1918" s="891"/>
      <c r="E1918" s="891"/>
      <c r="F1918" s="891"/>
      <c r="G1918" s="891"/>
      <c r="H1918" s="1088"/>
      <c r="I1918" s="1088"/>
      <c r="J1918" s="1088"/>
      <c r="K1918" s="1088"/>
    </row>
    <row r="1919" spans="3:11" ht="12" customHeight="1">
      <c r="C1919" s="891"/>
      <c r="D1919" s="891"/>
      <c r="E1919" s="891"/>
      <c r="F1919" s="891"/>
      <c r="G1919" s="891"/>
      <c r="H1919" s="1088"/>
      <c r="I1919" s="1088"/>
      <c r="J1919" s="1088"/>
      <c r="K1919" s="1088"/>
    </row>
    <row r="1920" spans="3:11" ht="12" customHeight="1">
      <c r="C1920" s="891"/>
      <c r="D1920" s="891"/>
      <c r="E1920" s="891"/>
      <c r="F1920" s="891"/>
      <c r="G1920" s="891"/>
      <c r="H1920" s="1088"/>
      <c r="I1920" s="1088"/>
      <c r="J1920" s="1088"/>
      <c r="K1920" s="1088"/>
    </row>
    <row r="1921" spans="3:11" ht="12" customHeight="1">
      <c r="C1921" s="891"/>
      <c r="D1921" s="891"/>
      <c r="E1921" s="891"/>
      <c r="F1921" s="891"/>
      <c r="G1921" s="891"/>
      <c r="H1921" s="1088"/>
      <c r="I1921" s="1088"/>
      <c r="J1921" s="1088"/>
      <c r="K1921" s="1088"/>
    </row>
    <row r="1922" spans="3:11" ht="12" customHeight="1">
      <c r="C1922" s="891"/>
      <c r="D1922" s="891"/>
      <c r="E1922" s="891"/>
      <c r="F1922" s="891"/>
      <c r="G1922" s="891"/>
      <c r="H1922" s="1088"/>
      <c r="I1922" s="1088"/>
      <c r="J1922" s="1088"/>
      <c r="K1922" s="1088"/>
    </row>
    <row r="1923" spans="3:11" ht="12" customHeight="1">
      <c r="C1923" s="891"/>
      <c r="D1923" s="891"/>
      <c r="E1923" s="891"/>
      <c r="F1923" s="891"/>
      <c r="G1923" s="891"/>
      <c r="H1923" s="1088"/>
      <c r="I1923" s="1088"/>
      <c r="J1923" s="1088"/>
      <c r="K1923" s="1088"/>
    </row>
    <row r="1924" spans="3:11" ht="12" customHeight="1">
      <c r="C1924" s="891"/>
      <c r="D1924" s="891"/>
      <c r="E1924" s="891"/>
      <c r="F1924" s="891"/>
      <c r="G1924" s="891"/>
      <c r="H1924" s="1088"/>
      <c r="I1924" s="1088"/>
      <c r="J1924" s="1088"/>
      <c r="K1924" s="1088"/>
    </row>
    <row r="1925" spans="3:11" ht="12" customHeight="1">
      <c r="C1925" s="891"/>
      <c r="D1925" s="891"/>
      <c r="E1925" s="891"/>
      <c r="F1925" s="891"/>
      <c r="G1925" s="891"/>
      <c r="H1925" s="1088"/>
      <c r="I1925" s="1088"/>
      <c r="J1925" s="1088"/>
      <c r="K1925" s="1088"/>
    </row>
    <row r="1926" spans="3:11" ht="12" customHeight="1">
      <c r="C1926" s="891"/>
      <c r="D1926" s="891"/>
      <c r="E1926" s="891"/>
      <c r="F1926" s="891"/>
      <c r="G1926" s="891"/>
      <c r="H1926" s="1088"/>
      <c r="I1926" s="1088"/>
      <c r="J1926" s="1088"/>
      <c r="K1926" s="1088"/>
    </row>
    <row r="1927" spans="3:11" ht="12" customHeight="1">
      <c r="C1927" s="891"/>
      <c r="D1927" s="891"/>
      <c r="E1927" s="891"/>
      <c r="F1927" s="891"/>
      <c r="G1927" s="891"/>
      <c r="H1927" s="1088"/>
      <c r="I1927" s="1088"/>
      <c r="J1927" s="1088"/>
      <c r="K1927" s="1088"/>
    </row>
    <row r="1928" spans="3:11" ht="12" customHeight="1">
      <c r="C1928" s="891"/>
      <c r="D1928" s="891"/>
      <c r="E1928" s="891"/>
      <c r="F1928" s="891"/>
      <c r="G1928" s="891"/>
      <c r="H1928" s="1088"/>
      <c r="I1928" s="1088"/>
      <c r="J1928" s="1088"/>
      <c r="K1928" s="1088"/>
    </row>
    <row r="1929" spans="3:11" ht="12" customHeight="1">
      <c r="C1929" s="891"/>
      <c r="D1929" s="891"/>
      <c r="E1929" s="891"/>
      <c r="F1929" s="891"/>
      <c r="G1929" s="891"/>
      <c r="H1929" s="1088"/>
      <c r="I1929" s="1088"/>
      <c r="J1929" s="1088"/>
      <c r="K1929" s="1088"/>
    </row>
    <row r="1930" spans="3:11" ht="12" customHeight="1">
      <c r="C1930" s="891"/>
      <c r="D1930" s="891"/>
      <c r="E1930" s="891"/>
      <c r="F1930" s="891"/>
      <c r="G1930" s="891"/>
      <c r="H1930" s="1088"/>
      <c r="I1930" s="1088"/>
      <c r="J1930" s="1088"/>
      <c r="K1930" s="1088"/>
    </row>
    <row r="1931" spans="3:11" ht="12" customHeight="1">
      <c r="C1931" s="891"/>
      <c r="D1931" s="891"/>
      <c r="E1931" s="891"/>
      <c r="F1931" s="891"/>
      <c r="G1931" s="891"/>
      <c r="H1931" s="1088"/>
      <c r="I1931" s="1088"/>
      <c r="J1931" s="1088"/>
      <c r="K1931" s="1088"/>
    </row>
    <row r="1932" spans="3:11" ht="12" customHeight="1">
      <c r="C1932" s="891"/>
      <c r="D1932" s="891"/>
      <c r="E1932" s="891"/>
      <c r="F1932" s="891"/>
      <c r="G1932" s="891"/>
      <c r="H1932" s="1088"/>
      <c r="I1932" s="1088"/>
      <c r="J1932" s="1088"/>
      <c r="K1932" s="1088"/>
    </row>
    <row r="1933" spans="3:11" ht="12" customHeight="1">
      <c r="C1933" s="891"/>
      <c r="D1933" s="891"/>
      <c r="E1933" s="891"/>
      <c r="F1933" s="891"/>
      <c r="G1933" s="891"/>
      <c r="H1933" s="1088"/>
      <c r="I1933" s="1088"/>
      <c r="J1933" s="1088"/>
      <c r="K1933" s="1088"/>
    </row>
    <row r="1934" spans="3:11" ht="12" customHeight="1">
      <c r="C1934" s="891"/>
      <c r="D1934" s="891"/>
      <c r="E1934" s="891"/>
      <c r="F1934" s="891"/>
      <c r="G1934" s="891"/>
      <c r="H1934" s="1088"/>
      <c r="I1934" s="1088"/>
      <c r="J1934" s="1088"/>
      <c r="K1934" s="1088"/>
    </row>
    <row r="1935" spans="3:11" ht="12" customHeight="1">
      <c r="C1935" s="891"/>
      <c r="D1935" s="891"/>
      <c r="E1935" s="891"/>
      <c r="F1935" s="891"/>
      <c r="G1935" s="891"/>
      <c r="H1935" s="1088"/>
      <c r="I1935" s="1088"/>
      <c r="J1935" s="1088"/>
      <c r="K1935" s="1088"/>
    </row>
    <row r="1936" spans="3:11" ht="12" customHeight="1">
      <c r="C1936" s="891"/>
      <c r="D1936" s="891"/>
      <c r="E1936" s="891"/>
      <c r="F1936" s="891"/>
      <c r="G1936" s="891"/>
      <c r="H1936" s="1088"/>
      <c r="I1936" s="1088"/>
      <c r="J1936" s="1088"/>
      <c r="K1936" s="1088"/>
    </row>
    <row r="1937" spans="3:11" ht="12" customHeight="1">
      <c r="C1937" s="891"/>
      <c r="D1937" s="891"/>
      <c r="E1937" s="891"/>
      <c r="F1937" s="891"/>
      <c r="G1937" s="891"/>
      <c r="H1937" s="1088"/>
      <c r="I1937" s="1088"/>
      <c r="J1937" s="1088"/>
      <c r="K1937" s="1088"/>
    </row>
    <row r="1938" spans="3:11" ht="12" customHeight="1">
      <c r="C1938" s="891"/>
      <c r="D1938" s="891"/>
      <c r="E1938" s="891"/>
      <c r="F1938" s="891"/>
      <c r="G1938" s="891"/>
      <c r="H1938" s="1088"/>
      <c r="I1938" s="1088"/>
      <c r="J1938" s="1088"/>
      <c r="K1938" s="1088"/>
    </row>
    <row r="1939" spans="3:11" ht="12" customHeight="1">
      <c r="C1939" s="891"/>
      <c r="D1939" s="891"/>
      <c r="E1939" s="891"/>
      <c r="F1939" s="891"/>
      <c r="G1939" s="891"/>
      <c r="H1939" s="1088"/>
      <c r="I1939" s="1088"/>
      <c r="J1939" s="1088"/>
      <c r="K1939" s="1088"/>
    </row>
    <row r="1940" spans="3:11" ht="12" customHeight="1">
      <c r="C1940" s="891"/>
      <c r="D1940" s="891"/>
      <c r="E1940" s="891"/>
      <c r="F1940" s="891"/>
      <c r="G1940" s="891"/>
      <c r="H1940" s="1088"/>
      <c r="I1940" s="1088"/>
      <c r="J1940" s="1088"/>
      <c r="K1940" s="1088"/>
    </row>
    <row r="1941" spans="3:11" ht="12" customHeight="1">
      <c r="C1941" s="891"/>
      <c r="D1941" s="891"/>
      <c r="E1941" s="891"/>
      <c r="F1941" s="891"/>
      <c r="G1941" s="891"/>
      <c r="H1941" s="1088"/>
      <c r="I1941" s="1088"/>
      <c r="J1941" s="1088"/>
      <c r="K1941" s="1088"/>
    </row>
    <row r="1942" spans="3:11" ht="12" customHeight="1">
      <c r="C1942" s="891"/>
      <c r="D1942" s="891"/>
      <c r="E1942" s="891"/>
      <c r="F1942" s="891"/>
      <c r="G1942" s="891"/>
      <c r="H1942" s="1088"/>
      <c r="I1942" s="1088"/>
      <c r="J1942" s="1088"/>
      <c r="K1942" s="1088"/>
    </row>
    <row r="1943" spans="3:11" ht="12" customHeight="1">
      <c r="C1943" s="891"/>
      <c r="D1943" s="891"/>
      <c r="E1943" s="891"/>
      <c r="F1943" s="891"/>
      <c r="G1943" s="891"/>
      <c r="H1943" s="1088"/>
      <c r="I1943" s="1088"/>
      <c r="J1943" s="1088"/>
      <c r="K1943" s="1088"/>
    </row>
    <row r="1944" spans="3:11" ht="12" customHeight="1">
      <c r="C1944" s="891"/>
      <c r="D1944" s="891"/>
      <c r="E1944" s="891"/>
      <c r="F1944" s="891"/>
      <c r="G1944" s="891"/>
      <c r="H1944" s="1088"/>
      <c r="I1944" s="1088"/>
      <c r="J1944" s="1088"/>
      <c r="K1944" s="1088"/>
    </row>
    <row r="1945" spans="3:11" ht="12" customHeight="1">
      <c r="C1945" s="891"/>
      <c r="D1945" s="891"/>
      <c r="E1945" s="891"/>
      <c r="F1945" s="891"/>
      <c r="G1945" s="891"/>
      <c r="H1945" s="1088"/>
      <c r="I1945" s="1088"/>
      <c r="J1945" s="1088"/>
      <c r="K1945" s="1088"/>
    </row>
    <row r="1946" spans="3:11" ht="12" customHeight="1">
      <c r="C1946" s="891"/>
      <c r="D1946" s="891"/>
      <c r="E1946" s="891"/>
      <c r="F1946" s="891"/>
      <c r="G1946" s="891"/>
      <c r="H1946" s="1088"/>
      <c r="I1946" s="1088"/>
      <c r="J1946" s="1088"/>
      <c r="K1946" s="1088"/>
    </row>
    <row r="1947" spans="3:11" ht="12" customHeight="1">
      <c r="C1947" s="891"/>
      <c r="D1947" s="891"/>
      <c r="E1947" s="891"/>
      <c r="F1947" s="891"/>
      <c r="G1947" s="891"/>
      <c r="H1947" s="1088"/>
      <c r="I1947" s="1088"/>
      <c r="J1947" s="1088"/>
      <c r="K1947" s="1088"/>
    </row>
    <row r="1948" spans="3:11" ht="12" customHeight="1">
      <c r="C1948" s="891"/>
      <c r="D1948" s="891"/>
      <c r="E1948" s="891"/>
      <c r="F1948" s="891"/>
      <c r="G1948" s="891"/>
      <c r="H1948" s="1088"/>
      <c r="I1948" s="1088"/>
      <c r="J1948" s="1088"/>
      <c r="K1948" s="1088"/>
    </row>
    <row r="1949" spans="3:11" ht="12" customHeight="1">
      <c r="C1949" s="891"/>
      <c r="D1949" s="891"/>
      <c r="E1949" s="891"/>
      <c r="F1949" s="891"/>
      <c r="G1949" s="891"/>
      <c r="H1949" s="1088"/>
      <c r="I1949" s="1088"/>
      <c r="J1949" s="1088"/>
      <c r="K1949" s="1088"/>
    </row>
    <row r="1950" spans="3:11" ht="12" customHeight="1">
      <c r="C1950" s="891"/>
      <c r="D1950" s="891"/>
      <c r="E1950" s="891"/>
      <c r="F1950" s="891"/>
      <c r="G1950" s="891"/>
      <c r="H1950" s="1088"/>
      <c r="I1950" s="1088"/>
      <c r="J1950" s="1088"/>
      <c r="K1950" s="1088"/>
    </row>
    <row r="1951" spans="3:11" ht="12" customHeight="1">
      <c r="C1951" s="891"/>
      <c r="D1951" s="891"/>
      <c r="E1951" s="891"/>
      <c r="F1951" s="891"/>
      <c r="G1951" s="891"/>
      <c r="H1951" s="1088"/>
      <c r="I1951" s="1088"/>
      <c r="J1951" s="1088"/>
      <c r="K1951" s="1088"/>
    </row>
    <row r="1952" spans="3:11" ht="12" customHeight="1">
      <c r="C1952" s="891"/>
      <c r="D1952" s="891"/>
      <c r="E1952" s="891"/>
      <c r="F1952" s="891"/>
      <c r="G1952" s="891"/>
      <c r="H1952" s="1088"/>
      <c r="I1952" s="1088"/>
      <c r="J1952" s="1088"/>
      <c r="K1952" s="1088"/>
    </row>
    <row r="1953" spans="3:11" ht="12" customHeight="1">
      <c r="C1953" s="891"/>
      <c r="D1953" s="891"/>
      <c r="E1953" s="891"/>
      <c r="F1953" s="891"/>
      <c r="G1953" s="891"/>
      <c r="H1953" s="1088"/>
      <c r="I1953" s="1088"/>
      <c r="J1953" s="1088"/>
      <c r="K1953" s="1088"/>
    </row>
    <row r="1954" spans="3:11" ht="12" customHeight="1">
      <c r="C1954" s="891"/>
      <c r="D1954" s="891"/>
      <c r="E1954" s="891"/>
      <c r="F1954" s="891"/>
      <c r="G1954" s="891"/>
      <c r="H1954" s="1088"/>
      <c r="I1954" s="1088"/>
      <c r="J1954" s="1088"/>
      <c r="K1954" s="1088"/>
    </row>
    <row r="1955" spans="3:11" ht="12" customHeight="1">
      <c r="C1955" s="891"/>
      <c r="D1955" s="891"/>
      <c r="E1955" s="891"/>
      <c r="F1955" s="891"/>
      <c r="G1955" s="891"/>
      <c r="H1955" s="1088"/>
      <c r="I1955" s="1088"/>
      <c r="J1955" s="1088"/>
      <c r="K1955" s="1088"/>
    </row>
    <row r="1956" spans="3:11" ht="12" customHeight="1">
      <c r="C1956" s="891"/>
      <c r="D1956" s="891"/>
      <c r="E1956" s="891"/>
      <c r="F1956" s="891"/>
      <c r="G1956" s="891"/>
      <c r="H1956" s="1088"/>
      <c r="I1956" s="1088"/>
      <c r="J1956" s="1088"/>
      <c r="K1956" s="1088"/>
    </row>
    <row r="1957" spans="3:11" ht="12" customHeight="1">
      <c r="C1957" s="891"/>
      <c r="D1957" s="891"/>
      <c r="E1957" s="891"/>
      <c r="F1957" s="891"/>
      <c r="G1957" s="891"/>
      <c r="H1957" s="1088"/>
      <c r="I1957" s="1088"/>
      <c r="J1957" s="1088"/>
      <c r="K1957" s="1088"/>
    </row>
    <row r="1958" spans="3:11" ht="12" customHeight="1">
      <c r="C1958" s="891"/>
      <c r="D1958" s="891"/>
      <c r="E1958" s="891"/>
      <c r="F1958" s="891"/>
      <c r="G1958" s="891"/>
      <c r="H1958" s="1088"/>
      <c r="I1958" s="1088"/>
      <c r="J1958" s="1088"/>
      <c r="K1958" s="1088"/>
    </row>
    <row r="1959" spans="3:11" ht="12" customHeight="1">
      <c r="C1959" s="891"/>
      <c r="D1959" s="891"/>
      <c r="E1959" s="891"/>
      <c r="F1959" s="891"/>
      <c r="G1959" s="891"/>
      <c r="H1959" s="1088"/>
      <c r="I1959" s="1088"/>
      <c r="J1959" s="1088"/>
      <c r="K1959" s="1088"/>
    </row>
    <row r="1960" spans="3:11" ht="12" customHeight="1">
      <c r="C1960" s="891"/>
      <c r="D1960" s="891"/>
      <c r="E1960" s="891"/>
      <c r="F1960" s="891"/>
      <c r="G1960" s="891"/>
      <c r="H1960" s="1088"/>
      <c r="I1960" s="1088"/>
      <c r="J1960" s="1088"/>
      <c r="K1960" s="1088"/>
    </row>
    <row r="1961" spans="3:11" ht="12" customHeight="1">
      <c r="C1961" s="891"/>
      <c r="D1961" s="891"/>
      <c r="E1961" s="891"/>
      <c r="F1961" s="891"/>
      <c r="G1961" s="891"/>
      <c r="H1961" s="1088"/>
      <c r="I1961" s="1088"/>
      <c r="J1961" s="1088"/>
      <c r="K1961" s="1088"/>
    </row>
    <row r="1962" spans="3:11" ht="12" customHeight="1">
      <c r="C1962" s="891"/>
      <c r="D1962" s="891"/>
      <c r="E1962" s="891"/>
      <c r="F1962" s="891"/>
      <c r="G1962" s="891"/>
      <c r="H1962" s="1088"/>
      <c r="I1962" s="1088"/>
      <c r="J1962" s="1088"/>
      <c r="K1962" s="1088"/>
    </row>
    <row r="1963" spans="3:11" ht="12" customHeight="1">
      <c r="C1963" s="891"/>
      <c r="D1963" s="891"/>
      <c r="E1963" s="891"/>
      <c r="F1963" s="891"/>
      <c r="G1963" s="891"/>
      <c r="H1963" s="1088"/>
      <c r="I1963" s="1088"/>
      <c r="J1963" s="1088"/>
      <c r="K1963" s="1088"/>
    </row>
    <row r="1964" spans="3:11" ht="12" customHeight="1">
      <c r="C1964" s="891"/>
      <c r="D1964" s="891"/>
      <c r="E1964" s="891"/>
      <c r="F1964" s="891"/>
      <c r="G1964" s="891"/>
      <c r="H1964" s="1088"/>
      <c r="I1964" s="1088"/>
      <c r="J1964" s="1088"/>
      <c r="K1964" s="1088"/>
    </row>
    <row r="1965" spans="3:11" ht="12" customHeight="1">
      <c r="C1965" s="891"/>
      <c r="D1965" s="891"/>
      <c r="E1965" s="891"/>
      <c r="F1965" s="891"/>
      <c r="G1965" s="891"/>
      <c r="H1965" s="1088"/>
      <c r="I1965" s="1088"/>
      <c r="J1965" s="1088"/>
      <c r="K1965" s="1088"/>
    </row>
    <row r="1966" spans="3:11" ht="12" customHeight="1">
      <c r="C1966" s="891"/>
      <c r="D1966" s="891"/>
      <c r="E1966" s="891"/>
      <c r="F1966" s="891"/>
      <c r="G1966" s="891"/>
      <c r="H1966" s="1088"/>
      <c r="I1966" s="1088"/>
      <c r="J1966" s="1088"/>
      <c r="K1966" s="1088"/>
    </row>
    <row r="1967" spans="3:11" ht="12" customHeight="1">
      <c r="C1967" s="891"/>
      <c r="D1967" s="891"/>
      <c r="E1967" s="891"/>
      <c r="F1967" s="891"/>
      <c r="G1967" s="891"/>
      <c r="H1967" s="1088"/>
      <c r="I1967" s="1088"/>
      <c r="J1967" s="1088"/>
      <c r="K1967" s="1088"/>
    </row>
    <row r="1968" spans="3:11" ht="12" customHeight="1">
      <c r="C1968" s="891"/>
      <c r="D1968" s="891"/>
      <c r="E1968" s="891"/>
      <c r="F1968" s="891"/>
      <c r="G1968" s="891"/>
      <c r="H1968" s="1088"/>
      <c r="I1968" s="1088"/>
      <c r="J1968" s="1088"/>
      <c r="K1968" s="1088"/>
    </row>
    <row r="1969" spans="3:11" ht="12" customHeight="1">
      <c r="C1969" s="891"/>
      <c r="D1969" s="891"/>
      <c r="E1969" s="891"/>
      <c r="F1969" s="891"/>
      <c r="G1969" s="891"/>
      <c r="H1969" s="1088"/>
      <c r="I1969" s="1088"/>
      <c r="J1969" s="1088"/>
      <c r="K1969" s="1088"/>
    </row>
    <row r="1970" spans="3:11" ht="12" customHeight="1">
      <c r="C1970" s="891"/>
      <c r="D1970" s="891"/>
      <c r="E1970" s="891"/>
      <c r="F1970" s="891"/>
      <c r="G1970" s="891"/>
      <c r="H1970" s="1088"/>
      <c r="I1970" s="1088"/>
      <c r="J1970" s="1088"/>
      <c r="K1970" s="1088"/>
    </row>
    <row r="1971" spans="3:11" ht="12" customHeight="1">
      <c r="C1971" s="891"/>
      <c r="D1971" s="891"/>
      <c r="E1971" s="891"/>
      <c r="F1971" s="891"/>
      <c r="G1971" s="891"/>
      <c r="H1971" s="1088"/>
      <c r="I1971" s="1088"/>
      <c r="J1971" s="1088"/>
      <c r="K1971" s="1088"/>
    </row>
    <row r="1972" spans="3:11" ht="12" customHeight="1">
      <c r="C1972" s="891"/>
      <c r="D1972" s="891"/>
      <c r="E1972" s="891"/>
      <c r="F1972" s="891"/>
      <c r="G1972" s="891"/>
      <c r="H1972" s="1088"/>
      <c r="I1972" s="1088"/>
      <c r="J1972" s="1088"/>
      <c r="K1972" s="1088"/>
    </row>
    <row r="1973" spans="3:11" ht="12" customHeight="1">
      <c r="C1973" s="891"/>
      <c r="D1973" s="891"/>
      <c r="E1973" s="891"/>
      <c r="F1973" s="891"/>
      <c r="G1973" s="891"/>
      <c r="H1973" s="1088"/>
      <c r="I1973" s="1088"/>
      <c r="J1973" s="1088"/>
      <c r="K1973" s="1088"/>
    </row>
    <row r="1974" spans="3:11" ht="12" customHeight="1">
      <c r="C1974" s="891"/>
      <c r="D1974" s="891"/>
      <c r="E1974" s="891"/>
      <c r="F1974" s="891"/>
      <c r="G1974" s="891"/>
      <c r="H1974" s="1088"/>
      <c r="I1974" s="1088"/>
      <c r="J1974" s="1088"/>
      <c r="K1974" s="1088"/>
    </row>
    <row r="1975" spans="3:11" ht="12" customHeight="1">
      <c r="C1975" s="891"/>
      <c r="D1975" s="891"/>
      <c r="E1975" s="891"/>
      <c r="F1975" s="891"/>
      <c r="G1975" s="891"/>
      <c r="H1975" s="1088"/>
      <c r="I1975" s="1088"/>
      <c r="J1975" s="1088"/>
      <c r="K1975" s="1088"/>
    </row>
    <row r="1976" spans="3:11" ht="12" customHeight="1">
      <c r="C1976" s="891"/>
      <c r="D1976" s="891"/>
      <c r="E1976" s="891"/>
      <c r="F1976" s="891"/>
      <c r="G1976" s="891"/>
      <c r="H1976" s="1088"/>
      <c r="I1976" s="1088"/>
      <c r="J1976" s="1088"/>
      <c r="K1976" s="1088"/>
    </row>
    <row r="1977" spans="3:11" ht="12" customHeight="1">
      <c r="C1977" s="891"/>
      <c r="D1977" s="891"/>
      <c r="E1977" s="891"/>
      <c r="F1977" s="891"/>
      <c r="G1977" s="891"/>
      <c r="H1977" s="1088"/>
      <c r="I1977" s="1088"/>
      <c r="J1977" s="1088"/>
      <c r="K1977" s="1088"/>
    </row>
    <row r="1978" spans="3:11" ht="12" customHeight="1">
      <c r="C1978" s="891"/>
      <c r="D1978" s="891"/>
      <c r="E1978" s="891"/>
      <c r="F1978" s="891"/>
      <c r="G1978" s="891"/>
      <c r="H1978" s="1088"/>
      <c r="I1978" s="1088"/>
      <c r="J1978" s="1088"/>
      <c r="K1978" s="1088"/>
    </row>
    <row r="1979" spans="3:11" ht="12" customHeight="1">
      <c r="C1979" s="891"/>
      <c r="D1979" s="891"/>
      <c r="E1979" s="891"/>
      <c r="F1979" s="891"/>
      <c r="G1979" s="891"/>
      <c r="H1979" s="1088"/>
      <c r="I1979" s="1088"/>
      <c r="J1979" s="1088"/>
      <c r="K1979" s="1088"/>
    </row>
    <row r="1980" spans="3:11" ht="12" customHeight="1">
      <c r="C1980" s="891"/>
      <c r="D1980" s="891"/>
      <c r="E1980" s="891"/>
      <c r="F1980" s="891"/>
      <c r="G1980" s="891"/>
      <c r="H1980" s="1088"/>
      <c r="I1980" s="1088"/>
      <c r="J1980" s="1088"/>
      <c r="K1980" s="1088"/>
    </row>
    <row r="1981" spans="3:11" ht="12" customHeight="1">
      <c r="C1981" s="891"/>
      <c r="D1981" s="891"/>
      <c r="E1981" s="891"/>
      <c r="F1981" s="891"/>
      <c r="G1981" s="891"/>
      <c r="H1981" s="1088"/>
      <c r="I1981" s="1088"/>
      <c r="J1981" s="1088"/>
      <c r="K1981" s="1088"/>
    </row>
    <row r="1982" spans="3:11" ht="12" customHeight="1">
      <c r="C1982" s="891"/>
      <c r="D1982" s="891"/>
      <c r="E1982" s="891"/>
      <c r="F1982" s="891"/>
      <c r="G1982" s="891"/>
      <c r="H1982" s="1088"/>
      <c r="I1982" s="1088"/>
      <c r="J1982" s="1088"/>
      <c r="K1982" s="1088"/>
    </row>
    <row r="1983" spans="3:11" ht="12" customHeight="1">
      <c r="C1983" s="891"/>
      <c r="D1983" s="891"/>
      <c r="E1983" s="891"/>
      <c r="F1983" s="891"/>
      <c r="G1983" s="891"/>
      <c r="H1983" s="1088"/>
      <c r="I1983" s="1088"/>
      <c r="J1983" s="1088"/>
      <c r="K1983" s="1088"/>
    </row>
    <row r="1984" spans="3:11" ht="12" customHeight="1">
      <c r="C1984" s="891"/>
      <c r="D1984" s="891"/>
      <c r="E1984" s="891"/>
      <c r="F1984" s="891"/>
      <c r="G1984" s="891"/>
      <c r="H1984" s="1088"/>
      <c r="I1984" s="1088"/>
      <c r="J1984" s="1088"/>
      <c r="K1984" s="1088"/>
    </row>
    <row r="1985" spans="3:11" ht="12" customHeight="1">
      <c r="C1985" s="891"/>
      <c r="D1985" s="891"/>
      <c r="E1985" s="891"/>
      <c r="F1985" s="891"/>
      <c r="G1985" s="891"/>
      <c r="H1985" s="1088"/>
      <c r="I1985" s="1088"/>
      <c r="J1985" s="1088"/>
      <c r="K1985" s="1088"/>
    </row>
    <row r="1986" spans="3:11" ht="12" customHeight="1">
      <c r="C1986" s="891"/>
      <c r="D1986" s="891"/>
      <c r="E1986" s="891"/>
      <c r="F1986" s="891"/>
      <c r="G1986" s="891"/>
      <c r="H1986" s="1088"/>
      <c r="I1986" s="1088"/>
      <c r="J1986" s="1088"/>
      <c r="K1986" s="1088"/>
    </row>
    <row r="1987" spans="3:11" ht="12" customHeight="1">
      <c r="C1987" s="891"/>
      <c r="D1987" s="891"/>
      <c r="E1987" s="891"/>
      <c r="F1987" s="891"/>
      <c r="G1987" s="891"/>
      <c r="H1987" s="1088"/>
      <c r="I1987" s="1088"/>
      <c r="J1987" s="1088"/>
      <c r="K1987" s="1088"/>
    </row>
    <row r="1988" spans="3:11" ht="12" customHeight="1">
      <c r="C1988" s="891"/>
      <c r="D1988" s="891"/>
      <c r="E1988" s="891"/>
      <c r="F1988" s="891"/>
      <c r="G1988" s="891"/>
      <c r="H1988" s="1088"/>
      <c r="I1988" s="1088"/>
      <c r="J1988" s="1088"/>
      <c r="K1988" s="1088"/>
    </row>
    <row r="1989" spans="3:11" ht="12" customHeight="1">
      <c r="C1989" s="891"/>
      <c r="D1989" s="891"/>
      <c r="E1989" s="891"/>
      <c r="F1989" s="891"/>
      <c r="G1989" s="891"/>
      <c r="H1989" s="1088"/>
      <c r="I1989" s="1088"/>
      <c r="J1989" s="1088"/>
      <c r="K1989" s="1088"/>
    </row>
    <row r="1990" spans="3:11" ht="12" customHeight="1">
      <c r="C1990" s="891"/>
      <c r="D1990" s="891"/>
      <c r="E1990" s="891"/>
      <c r="F1990" s="891"/>
      <c r="G1990" s="891"/>
      <c r="H1990" s="1088"/>
      <c r="I1990" s="1088"/>
      <c r="J1990" s="1088"/>
      <c r="K1990" s="1088"/>
    </row>
    <row r="1991" spans="3:11" ht="12" customHeight="1">
      <c r="C1991" s="891"/>
      <c r="D1991" s="891"/>
      <c r="E1991" s="891"/>
      <c r="F1991" s="891"/>
      <c r="G1991" s="891"/>
      <c r="H1991" s="1088"/>
      <c r="I1991" s="1088"/>
      <c r="J1991" s="1088"/>
      <c r="K1991" s="1088"/>
    </row>
    <row r="1992" spans="3:11" ht="12" customHeight="1">
      <c r="C1992" s="891"/>
      <c r="D1992" s="891"/>
      <c r="E1992" s="891"/>
      <c r="F1992" s="891"/>
      <c r="G1992" s="891"/>
      <c r="H1992" s="1088"/>
      <c r="I1992" s="1088"/>
      <c r="J1992" s="1088"/>
      <c r="K1992" s="1088"/>
    </row>
    <row r="1993" spans="3:11" ht="12" customHeight="1">
      <c r="C1993" s="891"/>
      <c r="D1993" s="891"/>
      <c r="E1993" s="891"/>
      <c r="F1993" s="891"/>
      <c r="G1993" s="891"/>
      <c r="H1993" s="1088"/>
      <c r="I1993" s="1088"/>
      <c r="J1993" s="1088"/>
      <c r="K1993" s="1088"/>
    </row>
    <row r="1994" spans="3:11" ht="12" customHeight="1">
      <c r="C1994" s="891"/>
      <c r="D1994" s="891"/>
      <c r="E1994" s="891"/>
      <c r="F1994" s="891"/>
      <c r="G1994" s="891"/>
      <c r="H1994" s="1088"/>
      <c r="I1994" s="1088"/>
      <c r="J1994" s="1088"/>
      <c r="K1994" s="1088"/>
    </row>
    <row r="1995" spans="3:11" ht="12" customHeight="1">
      <c r="C1995" s="891"/>
      <c r="D1995" s="891"/>
      <c r="E1995" s="891"/>
      <c r="F1995" s="891"/>
      <c r="G1995" s="891"/>
      <c r="H1995" s="1088"/>
      <c r="I1995" s="1088"/>
      <c r="J1995" s="1088"/>
      <c r="K1995" s="1088"/>
    </row>
    <row r="1996" spans="3:11" ht="12" customHeight="1">
      <c r="C1996" s="891"/>
      <c r="D1996" s="891"/>
      <c r="E1996" s="891"/>
      <c r="F1996" s="891"/>
      <c r="G1996" s="891"/>
      <c r="H1996" s="1088"/>
      <c r="I1996" s="1088"/>
      <c r="J1996" s="1088"/>
      <c r="K1996" s="1088"/>
    </row>
    <row r="1997" spans="3:11" ht="12" customHeight="1">
      <c r="C1997" s="891"/>
      <c r="D1997" s="891"/>
      <c r="E1997" s="891"/>
      <c r="F1997" s="891"/>
      <c r="G1997" s="891"/>
      <c r="H1997" s="1088"/>
      <c r="I1997" s="1088"/>
      <c r="J1997" s="1088"/>
      <c r="K1997" s="1088"/>
    </row>
    <row r="1998" spans="3:11" ht="12" customHeight="1">
      <c r="C1998" s="891"/>
      <c r="D1998" s="891"/>
      <c r="E1998" s="891"/>
      <c r="F1998" s="891"/>
      <c r="G1998" s="891"/>
      <c r="H1998" s="1088"/>
      <c r="I1998" s="1088"/>
      <c r="J1998" s="1088"/>
      <c r="K1998" s="1088"/>
    </row>
    <row r="1999" spans="3:11" ht="12" customHeight="1">
      <c r="C1999" s="891"/>
      <c r="D1999" s="891"/>
      <c r="E1999" s="891"/>
      <c r="F1999" s="891"/>
      <c r="G1999" s="891"/>
      <c r="H1999" s="1088"/>
      <c r="I1999" s="1088"/>
      <c r="J1999" s="1088"/>
      <c r="K1999" s="1088"/>
    </row>
    <row r="2000" spans="3:11" ht="12" customHeight="1">
      <c r="C2000" s="891"/>
      <c r="D2000" s="891"/>
      <c r="E2000" s="891"/>
      <c r="F2000" s="891"/>
      <c r="G2000" s="891"/>
      <c r="H2000" s="1088"/>
      <c r="I2000" s="1088"/>
      <c r="J2000" s="1088"/>
      <c r="K2000" s="1088"/>
    </row>
    <row r="2001" spans="3:11" ht="12" customHeight="1">
      <c r="C2001" s="891"/>
      <c r="D2001" s="891"/>
      <c r="E2001" s="891"/>
      <c r="F2001" s="891"/>
      <c r="G2001" s="891"/>
      <c r="H2001" s="1088"/>
      <c r="I2001" s="1088"/>
      <c r="J2001" s="1088"/>
      <c r="K2001" s="1088"/>
    </row>
    <row r="2002" spans="3:11" ht="12" customHeight="1">
      <c r="C2002" s="891"/>
      <c r="D2002" s="891"/>
      <c r="E2002" s="891"/>
      <c r="F2002" s="891"/>
      <c r="G2002" s="891"/>
      <c r="H2002" s="1088"/>
      <c r="I2002" s="1088"/>
      <c r="J2002" s="1088"/>
      <c r="K2002" s="1088"/>
    </row>
    <row r="2003" spans="3:11" ht="12" customHeight="1">
      <c r="C2003" s="891"/>
      <c r="D2003" s="891"/>
      <c r="E2003" s="891"/>
      <c r="F2003" s="891"/>
      <c r="G2003" s="891"/>
      <c r="H2003" s="1088"/>
      <c r="I2003" s="1088"/>
      <c r="J2003" s="1088"/>
      <c r="K2003" s="1088"/>
    </row>
    <row r="2004" spans="3:11" ht="12" customHeight="1">
      <c r="C2004" s="891"/>
      <c r="D2004" s="891"/>
      <c r="E2004" s="891"/>
      <c r="F2004" s="891"/>
      <c r="G2004" s="891"/>
      <c r="H2004" s="1088"/>
      <c r="I2004" s="1088"/>
      <c r="J2004" s="1088"/>
      <c r="K2004" s="1088"/>
    </row>
    <row r="2005" spans="3:11" ht="12" customHeight="1">
      <c r="C2005" s="891"/>
      <c r="D2005" s="891"/>
      <c r="E2005" s="891"/>
      <c r="F2005" s="891"/>
      <c r="G2005" s="891"/>
      <c r="H2005" s="1088"/>
      <c r="I2005" s="1088"/>
      <c r="J2005" s="1088"/>
      <c r="K2005" s="1088"/>
    </row>
    <row r="2006" spans="3:11" ht="12" customHeight="1">
      <c r="C2006" s="891"/>
      <c r="D2006" s="891"/>
      <c r="E2006" s="891"/>
      <c r="F2006" s="891"/>
      <c r="G2006" s="891"/>
      <c r="H2006" s="1088"/>
      <c r="I2006" s="1088"/>
      <c r="J2006" s="1088"/>
      <c r="K2006" s="1088"/>
    </row>
    <row r="2007" spans="3:11" ht="12" customHeight="1">
      <c r="C2007" s="891"/>
      <c r="D2007" s="891"/>
      <c r="E2007" s="891"/>
      <c r="F2007" s="891"/>
      <c r="G2007" s="891"/>
      <c r="H2007" s="1088"/>
      <c r="I2007" s="1088"/>
      <c r="J2007" s="1088"/>
      <c r="K2007" s="1088"/>
    </row>
    <row r="2008" spans="3:11" ht="12" customHeight="1">
      <c r="C2008" s="891"/>
      <c r="D2008" s="891"/>
      <c r="E2008" s="891"/>
      <c r="F2008" s="891"/>
      <c r="G2008" s="891"/>
      <c r="H2008" s="1088"/>
      <c r="I2008" s="1088"/>
      <c r="J2008" s="1088"/>
      <c r="K2008" s="1088"/>
    </row>
    <row r="2009" spans="3:11" ht="12" customHeight="1">
      <c r="C2009" s="891"/>
      <c r="D2009" s="891"/>
      <c r="E2009" s="891"/>
      <c r="F2009" s="891"/>
      <c r="G2009" s="891"/>
      <c r="H2009" s="1088"/>
      <c r="I2009" s="1088"/>
      <c r="J2009" s="1088"/>
      <c r="K2009" s="1088"/>
    </row>
    <row r="2010" spans="3:11" ht="12" customHeight="1">
      <c r="C2010" s="891"/>
      <c r="D2010" s="891"/>
      <c r="E2010" s="891"/>
      <c r="F2010" s="891"/>
      <c r="G2010" s="891"/>
      <c r="H2010" s="1088"/>
      <c r="I2010" s="1088"/>
      <c r="J2010" s="1088"/>
      <c r="K2010" s="1088"/>
    </row>
    <row r="2011" spans="3:11" ht="12" customHeight="1">
      <c r="C2011" s="891"/>
      <c r="D2011" s="891"/>
      <c r="E2011" s="891"/>
      <c r="F2011" s="891"/>
      <c r="G2011" s="891"/>
      <c r="H2011" s="1088"/>
      <c r="I2011" s="1088"/>
      <c r="J2011" s="1088"/>
      <c r="K2011" s="1088"/>
    </row>
    <row r="2012" spans="3:11" ht="12" customHeight="1">
      <c r="C2012" s="891"/>
      <c r="D2012" s="891"/>
      <c r="E2012" s="891"/>
      <c r="F2012" s="891"/>
      <c r="G2012" s="891"/>
      <c r="H2012" s="1088"/>
      <c r="I2012" s="1088"/>
      <c r="J2012" s="1088"/>
      <c r="K2012" s="1088"/>
    </row>
    <row r="2013" spans="3:11" ht="12" customHeight="1">
      <c r="C2013" s="891"/>
      <c r="D2013" s="891"/>
      <c r="E2013" s="891"/>
      <c r="F2013" s="891"/>
      <c r="G2013" s="891"/>
      <c r="H2013" s="1088"/>
      <c r="I2013" s="1088"/>
      <c r="J2013" s="1088"/>
      <c r="K2013" s="1088"/>
    </row>
    <row r="2014" spans="3:11" ht="12" customHeight="1">
      <c r="C2014" s="891"/>
      <c r="D2014" s="891"/>
      <c r="E2014" s="891"/>
      <c r="F2014" s="891"/>
      <c r="G2014" s="891"/>
      <c r="H2014" s="1088"/>
      <c r="I2014" s="1088"/>
      <c r="J2014" s="1088"/>
      <c r="K2014" s="1088"/>
    </row>
    <row r="2015" spans="3:11" ht="12" customHeight="1">
      <c r="C2015" s="891"/>
      <c r="D2015" s="891"/>
      <c r="E2015" s="891"/>
      <c r="F2015" s="891"/>
      <c r="G2015" s="891"/>
      <c r="H2015" s="1088"/>
      <c r="I2015" s="1088"/>
      <c r="J2015" s="1088"/>
      <c r="K2015" s="1088"/>
    </row>
    <row r="2016" spans="3:11" ht="12" customHeight="1">
      <c r="C2016" s="891"/>
      <c r="D2016" s="891"/>
      <c r="E2016" s="891"/>
      <c r="F2016" s="891"/>
      <c r="G2016" s="891"/>
      <c r="H2016" s="1088"/>
      <c r="I2016" s="1088"/>
      <c r="J2016" s="1088"/>
      <c r="K2016" s="1088"/>
    </row>
    <row r="2017" spans="3:11" ht="12" customHeight="1">
      <c r="C2017" s="891"/>
      <c r="D2017" s="891"/>
      <c r="E2017" s="891"/>
      <c r="F2017" s="891"/>
      <c r="G2017" s="891"/>
      <c r="H2017" s="1088"/>
      <c r="I2017" s="1088"/>
      <c r="J2017" s="1088"/>
      <c r="K2017" s="1088"/>
    </row>
    <row r="2018" spans="3:11" ht="12" customHeight="1">
      <c r="C2018" s="891"/>
      <c r="D2018" s="891"/>
      <c r="E2018" s="891"/>
      <c r="F2018" s="891"/>
      <c r="G2018" s="891"/>
      <c r="H2018" s="1088"/>
      <c r="I2018" s="1088"/>
      <c r="J2018" s="1088"/>
      <c r="K2018" s="1088"/>
    </row>
    <row r="2019" spans="3:11" ht="12" customHeight="1">
      <c r="C2019" s="891"/>
      <c r="D2019" s="891"/>
      <c r="E2019" s="891"/>
      <c r="F2019" s="891"/>
      <c r="G2019" s="891"/>
      <c r="H2019" s="1088"/>
      <c r="I2019" s="1088"/>
      <c r="J2019" s="1088"/>
      <c r="K2019" s="1088"/>
    </row>
    <row r="2020" spans="3:11" ht="12" customHeight="1">
      <c r="C2020" s="891"/>
      <c r="D2020" s="891"/>
      <c r="E2020" s="891"/>
      <c r="F2020" s="891"/>
      <c r="G2020" s="891"/>
      <c r="H2020" s="1088"/>
      <c r="I2020" s="1088"/>
      <c r="J2020" s="1088"/>
      <c r="K2020" s="1088"/>
    </row>
    <row r="2021" spans="3:11" ht="12" customHeight="1">
      <c r="C2021" s="891"/>
      <c r="D2021" s="891"/>
      <c r="E2021" s="891"/>
      <c r="F2021" s="891"/>
      <c r="G2021" s="891"/>
      <c r="H2021" s="1088"/>
      <c r="I2021" s="1088"/>
      <c r="J2021" s="1088"/>
      <c r="K2021" s="1088"/>
    </row>
    <row r="2022" spans="3:11" ht="12" customHeight="1">
      <c r="C2022" s="891"/>
      <c r="D2022" s="891"/>
      <c r="E2022" s="891"/>
      <c r="F2022" s="891"/>
      <c r="G2022" s="891"/>
      <c r="H2022" s="1088"/>
      <c r="I2022" s="1088"/>
      <c r="J2022" s="1088"/>
      <c r="K2022" s="1088"/>
    </row>
    <row r="2023" spans="3:11" ht="12" customHeight="1">
      <c r="C2023" s="891"/>
      <c r="D2023" s="891"/>
      <c r="E2023" s="891"/>
      <c r="F2023" s="891"/>
      <c r="G2023" s="891"/>
      <c r="H2023" s="1088"/>
      <c r="I2023" s="1088"/>
      <c r="J2023" s="1088"/>
      <c r="K2023" s="1088"/>
    </row>
    <row r="2024" spans="3:11" ht="12" customHeight="1">
      <c r="C2024" s="891"/>
      <c r="D2024" s="891"/>
      <c r="E2024" s="891"/>
      <c r="F2024" s="891"/>
      <c r="G2024" s="891"/>
      <c r="H2024" s="1088"/>
      <c r="I2024" s="1088"/>
      <c r="J2024" s="1088"/>
      <c r="K2024" s="1088"/>
    </row>
    <row r="2025" spans="3:11" ht="12" customHeight="1">
      <c r="C2025" s="891"/>
      <c r="D2025" s="891"/>
      <c r="E2025" s="891"/>
      <c r="F2025" s="891"/>
      <c r="G2025" s="891"/>
      <c r="H2025" s="1088"/>
      <c r="I2025" s="1088"/>
      <c r="J2025" s="1088"/>
      <c r="K2025" s="1088"/>
    </row>
    <row r="2026" spans="3:11" ht="12" customHeight="1">
      <c r="C2026" s="891"/>
      <c r="D2026" s="891"/>
      <c r="E2026" s="891"/>
      <c r="F2026" s="891"/>
      <c r="G2026" s="891"/>
      <c r="H2026" s="1088"/>
      <c r="I2026" s="1088"/>
      <c r="J2026" s="1088"/>
      <c r="K2026" s="1088"/>
    </row>
    <row r="2027" spans="3:11" ht="12" customHeight="1">
      <c r="C2027" s="891"/>
      <c r="D2027" s="891"/>
      <c r="E2027" s="891"/>
      <c r="F2027" s="891"/>
      <c r="G2027" s="891"/>
      <c r="H2027" s="1088"/>
      <c r="I2027" s="1088"/>
      <c r="J2027" s="1088"/>
      <c r="K2027" s="1088"/>
    </row>
    <row r="2028" spans="3:11" ht="12" customHeight="1">
      <c r="C2028" s="891"/>
      <c r="D2028" s="891"/>
      <c r="E2028" s="891"/>
      <c r="F2028" s="891"/>
      <c r="G2028" s="891"/>
      <c r="H2028" s="1088"/>
      <c r="I2028" s="1088"/>
      <c r="J2028" s="1088"/>
      <c r="K2028" s="1088"/>
    </row>
    <row r="2029" spans="3:11" ht="12" customHeight="1">
      <c r="C2029" s="891"/>
      <c r="D2029" s="891"/>
      <c r="E2029" s="891"/>
      <c r="F2029" s="891"/>
      <c r="G2029" s="891"/>
      <c r="H2029" s="1088"/>
      <c r="I2029" s="1088"/>
      <c r="J2029" s="1088"/>
      <c r="K2029" s="1088"/>
    </row>
    <row r="2030" spans="3:11" ht="12" customHeight="1">
      <c r="C2030" s="891"/>
      <c r="D2030" s="891"/>
      <c r="E2030" s="891"/>
      <c r="F2030" s="891"/>
      <c r="G2030" s="891"/>
      <c r="H2030" s="1088"/>
      <c r="I2030" s="1088"/>
      <c r="J2030" s="1088"/>
      <c r="K2030" s="1088"/>
    </row>
    <row r="2031" spans="3:11" ht="12" customHeight="1">
      <c r="C2031" s="891"/>
      <c r="D2031" s="891"/>
      <c r="E2031" s="891"/>
      <c r="F2031" s="891"/>
      <c r="G2031" s="891"/>
      <c r="H2031" s="1088"/>
      <c r="I2031" s="1088"/>
      <c r="J2031" s="1088"/>
      <c r="K2031" s="1088"/>
    </row>
    <row r="2032" spans="3:11" ht="12" customHeight="1">
      <c r="C2032" s="891"/>
      <c r="D2032" s="891"/>
      <c r="E2032" s="891"/>
      <c r="F2032" s="891"/>
      <c r="G2032" s="891"/>
      <c r="H2032" s="1088"/>
      <c r="I2032" s="1088"/>
      <c r="J2032" s="1088"/>
      <c r="K2032" s="1088"/>
    </row>
    <row r="2033" spans="3:11" ht="12" customHeight="1">
      <c r="C2033" s="891"/>
      <c r="D2033" s="891"/>
      <c r="E2033" s="891"/>
      <c r="F2033" s="891"/>
      <c r="G2033" s="891"/>
      <c r="H2033" s="1088"/>
      <c r="I2033" s="1088"/>
      <c r="J2033" s="1088"/>
      <c r="K2033" s="1088"/>
    </row>
    <row r="2034" spans="3:11" ht="12" customHeight="1">
      <c r="C2034" s="891"/>
      <c r="D2034" s="891"/>
      <c r="E2034" s="891"/>
      <c r="F2034" s="891"/>
      <c r="G2034" s="891"/>
      <c r="H2034" s="1088"/>
      <c r="I2034" s="1088"/>
      <c r="J2034" s="1088"/>
      <c r="K2034" s="1088"/>
    </row>
    <row r="2035" spans="3:11" ht="12" customHeight="1">
      <c r="C2035" s="891"/>
      <c r="D2035" s="891"/>
      <c r="E2035" s="891"/>
      <c r="F2035" s="891"/>
      <c r="G2035" s="891"/>
      <c r="H2035" s="1088"/>
      <c r="I2035" s="1088"/>
      <c r="J2035" s="1088"/>
      <c r="K2035" s="1088"/>
    </row>
    <row r="2036" spans="3:11" ht="12" customHeight="1">
      <c r="C2036" s="891"/>
      <c r="D2036" s="891"/>
      <c r="E2036" s="891"/>
      <c r="F2036" s="891"/>
      <c r="G2036" s="891"/>
      <c r="H2036" s="1088"/>
      <c r="I2036" s="1088"/>
      <c r="J2036" s="1088"/>
      <c r="K2036" s="1088"/>
    </row>
    <row r="2037" spans="3:11" ht="12" customHeight="1">
      <c r="C2037" s="891"/>
      <c r="D2037" s="891"/>
      <c r="E2037" s="891"/>
      <c r="F2037" s="891"/>
      <c r="G2037" s="891"/>
      <c r="H2037" s="1088"/>
      <c r="I2037" s="1088"/>
      <c r="J2037" s="1088"/>
      <c r="K2037" s="1088"/>
    </row>
    <row r="2038" spans="3:11" ht="12" customHeight="1">
      <c r="C2038" s="891"/>
      <c r="D2038" s="891"/>
      <c r="E2038" s="891"/>
      <c r="F2038" s="891"/>
      <c r="G2038" s="891"/>
      <c r="H2038" s="1088"/>
      <c r="I2038" s="1088"/>
      <c r="J2038" s="1088"/>
      <c r="K2038" s="1088"/>
    </row>
    <row r="2039" spans="3:11" ht="12" customHeight="1">
      <c r="C2039" s="891"/>
      <c r="D2039" s="891"/>
      <c r="E2039" s="891"/>
      <c r="F2039" s="891"/>
      <c r="G2039" s="891"/>
      <c r="H2039" s="1088"/>
      <c r="I2039" s="1088"/>
      <c r="J2039" s="1088"/>
      <c r="K2039" s="1088"/>
    </row>
    <row r="2040" spans="3:11" ht="12" customHeight="1">
      <c r="C2040" s="891"/>
      <c r="D2040" s="891"/>
      <c r="E2040" s="891"/>
      <c r="F2040" s="891"/>
      <c r="G2040" s="891"/>
      <c r="H2040" s="1088"/>
      <c r="I2040" s="1088"/>
      <c r="J2040" s="1088"/>
      <c r="K2040" s="1088"/>
    </row>
    <row r="2041" spans="3:11" ht="12" customHeight="1">
      <c r="C2041" s="891"/>
      <c r="D2041" s="891"/>
      <c r="E2041" s="891"/>
      <c r="F2041" s="891"/>
      <c r="G2041" s="891"/>
      <c r="H2041" s="1088"/>
      <c r="I2041" s="1088"/>
      <c r="J2041" s="1088"/>
      <c r="K2041" s="1088"/>
    </row>
    <row r="2042" spans="3:11" ht="12" customHeight="1">
      <c r="C2042" s="891"/>
      <c r="D2042" s="891"/>
      <c r="E2042" s="891"/>
      <c r="F2042" s="891"/>
      <c r="G2042" s="891"/>
      <c r="H2042" s="1088"/>
      <c r="I2042" s="1088"/>
      <c r="J2042" s="1088"/>
      <c r="K2042" s="1088"/>
    </row>
    <row r="2043" spans="3:11" ht="12" customHeight="1">
      <c r="C2043" s="891"/>
      <c r="D2043" s="891"/>
      <c r="E2043" s="891"/>
      <c r="F2043" s="891"/>
      <c r="G2043" s="891"/>
      <c r="H2043" s="1088"/>
      <c r="I2043" s="1088"/>
      <c r="J2043" s="1088"/>
      <c r="K2043" s="1088"/>
    </row>
    <row r="2044" spans="3:11" ht="12" customHeight="1">
      <c r="C2044" s="891"/>
      <c r="D2044" s="891"/>
      <c r="E2044" s="891"/>
      <c r="F2044" s="891"/>
      <c r="G2044" s="891"/>
      <c r="H2044" s="1088"/>
      <c r="I2044" s="1088"/>
      <c r="J2044" s="1088"/>
      <c r="K2044" s="1088"/>
    </row>
    <row r="2045" spans="3:11" ht="12" customHeight="1">
      <c r="C2045" s="891"/>
      <c r="D2045" s="891"/>
      <c r="E2045" s="891"/>
      <c r="F2045" s="891"/>
      <c r="G2045" s="891"/>
      <c r="H2045" s="1088"/>
      <c r="I2045" s="1088"/>
      <c r="J2045" s="1088"/>
      <c r="K2045" s="1088"/>
    </row>
    <row r="2046" spans="3:11" ht="12" customHeight="1">
      <c r="C2046" s="891"/>
      <c r="D2046" s="891"/>
      <c r="E2046" s="891"/>
      <c r="F2046" s="891"/>
      <c r="G2046" s="891"/>
      <c r="H2046" s="1088"/>
      <c r="I2046" s="1088"/>
      <c r="J2046" s="1088"/>
      <c r="K2046" s="1088"/>
    </row>
    <row r="2047" spans="3:11" ht="12" customHeight="1">
      <c r="C2047" s="891"/>
      <c r="D2047" s="891"/>
      <c r="E2047" s="891"/>
      <c r="F2047" s="891"/>
      <c r="G2047" s="891"/>
      <c r="H2047" s="1088"/>
      <c r="I2047" s="1088"/>
      <c r="J2047" s="1088"/>
      <c r="K2047" s="1088"/>
    </row>
    <row r="2048" spans="3:11" ht="12" customHeight="1">
      <c r="C2048" s="891"/>
      <c r="D2048" s="891"/>
      <c r="E2048" s="891"/>
      <c r="F2048" s="891"/>
      <c r="G2048" s="891"/>
      <c r="H2048" s="1088"/>
      <c r="I2048" s="1088"/>
      <c r="J2048" s="1088"/>
      <c r="K2048" s="1088"/>
    </row>
    <row r="2049" spans="3:11" ht="12" customHeight="1">
      <c r="C2049" s="891"/>
      <c r="D2049" s="891"/>
      <c r="E2049" s="891"/>
      <c r="F2049" s="891"/>
      <c r="G2049" s="891"/>
      <c r="H2049" s="1088"/>
      <c r="I2049" s="1088"/>
      <c r="J2049" s="1088"/>
      <c r="K2049" s="1088"/>
    </row>
    <row r="2050" spans="3:11" ht="12" customHeight="1">
      <c r="C2050" s="891"/>
      <c r="D2050" s="891"/>
      <c r="E2050" s="891"/>
      <c r="F2050" s="891"/>
      <c r="G2050" s="891"/>
      <c r="H2050" s="1088"/>
      <c r="I2050" s="1088"/>
      <c r="J2050" s="1088"/>
      <c r="K2050" s="1088"/>
    </row>
    <row r="2051" spans="3:11" ht="12" customHeight="1">
      <c r="C2051" s="891"/>
      <c r="D2051" s="891"/>
      <c r="E2051" s="891"/>
      <c r="F2051" s="891"/>
      <c r="G2051" s="891"/>
      <c r="H2051" s="1088"/>
      <c r="I2051" s="1088"/>
      <c r="J2051" s="1088"/>
      <c r="K2051" s="1088"/>
    </row>
    <row r="2052" spans="3:11" ht="12" customHeight="1">
      <c r="C2052" s="891"/>
      <c r="D2052" s="891"/>
      <c r="E2052" s="891"/>
      <c r="F2052" s="891"/>
      <c r="G2052" s="891"/>
      <c r="H2052" s="1088"/>
      <c r="I2052" s="1088"/>
      <c r="J2052" s="1088"/>
      <c r="K2052" s="1088"/>
    </row>
    <row r="2053" spans="3:11" ht="12" customHeight="1">
      <c r="C2053" s="891"/>
      <c r="D2053" s="891"/>
      <c r="E2053" s="891"/>
      <c r="F2053" s="891"/>
      <c r="G2053" s="891"/>
      <c r="H2053" s="1088"/>
      <c r="I2053" s="1088"/>
      <c r="J2053" s="1088"/>
      <c r="K2053" s="1088"/>
    </row>
    <row r="2054" spans="3:11" ht="12" customHeight="1">
      <c r="C2054" s="891"/>
      <c r="D2054" s="891"/>
      <c r="E2054" s="891"/>
      <c r="F2054" s="891"/>
      <c r="G2054" s="891"/>
      <c r="H2054" s="1088"/>
      <c r="I2054" s="1088"/>
      <c r="J2054" s="1088"/>
      <c r="K2054" s="1088"/>
    </row>
    <row r="2055" spans="3:11" ht="12" customHeight="1">
      <c r="C2055" s="891"/>
      <c r="D2055" s="891"/>
      <c r="E2055" s="891"/>
      <c r="F2055" s="891"/>
      <c r="G2055" s="891"/>
      <c r="H2055" s="1088"/>
      <c r="I2055" s="1088"/>
      <c r="J2055" s="1088"/>
      <c r="K2055" s="1088"/>
    </row>
    <row r="2056" spans="3:11" ht="12" customHeight="1">
      <c r="C2056" s="891"/>
      <c r="D2056" s="891"/>
      <c r="E2056" s="891"/>
      <c r="F2056" s="891"/>
      <c r="G2056" s="891"/>
      <c r="H2056" s="1088"/>
      <c r="I2056" s="1088"/>
      <c r="J2056" s="1088"/>
      <c r="K2056" s="1088"/>
    </row>
    <row r="2057" spans="3:11" ht="12" customHeight="1">
      <c r="C2057" s="891"/>
      <c r="D2057" s="891"/>
      <c r="E2057" s="891"/>
      <c r="F2057" s="891"/>
      <c r="G2057" s="891"/>
      <c r="H2057" s="1088"/>
      <c r="I2057" s="1088"/>
      <c r="J2057" s="1088"/>
      <c r="K2057" s="1088"/>
    </row>
    <row r="2058" spans="3:11" ht="12" customHeight="1">
      <c r="C2058" s="891"/>
      <c r="D2058" s="891"/>
      <c r="E2058" s="891"/>
      <c r="F2058" s="891"/>
      <c r="G2058" s="891"/>
      <c r="H2058" s="1088"/>
      <c r="I2058" s="1088"/>
      <c r="J2058" s="1088"/>
      <c r="K2058" s="1088"/>
    </row>
    <row r="2059" spans="3:11" ht="12" customHeight="1">
      <c r="C2059" s="891"/>
      <c r="D2059" s="891"/>
      <c r="E2059" s="891"/>
      <c r="F2059" s="891"/>
      <c r="G2059" s="891"/>
      <c r="H2059" s="1088"/>
      <c r="I2059" s="1088"/>
      <c r="J2059" s="1088"/>
      <c r="K2059" s="1088"/>
    </row>
    <row r="2060" spans="3:11" ht="12" customHeight="1">
      <c r="C2060" s="891"/>
      <c r="D2060" s="891"/>
      <c r="E2060" s="891"/>
      <c r="F2060" s="891"/>
      <c r="G2060" s="891"/>
      <c r="H2060" s="1088"/>
      <c r="I2060" s="1088"/>
      <c r="J2060" s="1088"/>
      <c r="K2060" s="1088"/>
    </row>
    <row r="2061" spans="3:11" ht="12" customHeight="1">
      <c r="C2061" s="891"/>
      <c r="D2061" s="891"/>
      <c r="E2061" s="891"/>
      <c r="F2061" s="891"/>
      <c r="G2061" s="891"/>
      <c r="H2061" s="1088"/>
      <c r="I2061" s="1088"/>
      <c r="J2061" s="1088"/>
      <c r="K2061" s="1088"/>
    </row>
    <row r="2062" spans="3:11" ht="12" customHeight="1">
      <c r="C2062" s="891"/>
      <c r="D2062" s="891"/>
      <c r="E2062" s="891"/>
      <c r="F2062" s="891"/>
      <c r="G2062" s="891"/>
      <c r="H2062" s="1088"/>
      <c r="I2062" s="1088"/>
      <c r="J2062" s="1088"/>
      <c r="K2062" s="1088"/>
    </row>
    <row r="2063" spans="3:11" ht="12" customHeight="1">
      <c r="C2063" s="891"/>
      <c r="D2063" s="891"/>
      <c r="E2063" s="891"/>
      <c r="F2063" s="891"/>
      <c r="G2063" s="891"/>
      <c r="H2063" s="1088"/>
      <c r="I2063" s="1088"/>
      <c r="J2063" s="1088"/>
      <c r="K2063" s="1088"/>
    </row>
    <row r="2064" spans="3:11" ht="12" customHeight="1">
      <c r="C2064" s="891"/>
      <c r="D2064" s="891"/>
      <c r="E2064" s="891"/>
      <c r="F2064" s="891"/>
      <c r="G2064" s="891"/>
      <c r="H2064" s="1088"/>
      <c r="I2064" s="1088"/>
      <c r="J2064" s="1088"/>
      <c r="K2064" s="1088"/>
    </row>
    <row r="2065" spans="3:11" ht="12" customHeight="1">
      <c r="C2065" s="891"/>
      <c r="D2065" s="891"/>
      <c r="E2065" s="891"/>
      <c r="F2065" s="891"/>
      <c r="G2065" s="891"/>
      <c r="H2065" s="1088"/>
      <c r="I2065" s="1088"/>
      <c r="J2065" s="1088"/>
      <c r="K2065" s="1088"/>
    </row>
    <row r="2066" spans="3:11" ht="12" customHeight="1">
      <c r="C2066" s="891"/>
      <c r="D2066" s="891"/>
      <c r="E2066" s="891"/>
      <c r="F2066" s="891"/>
      <c r="G2066" s="891"/>
      <c r="H2066" s="1088"/>
      <c r="I2066" s="1088"/>
      <c r="J2066" s="1088"/>
      <c r="K2066" s="1088"/>
    </row>
    <row r="2067" spans="3:11" ht="12" customHeight="1">
      <c r="C2067" s="891"/>
      <c r="D2067" s="891"/>
      <c r="E2067" s="891"/>
      <c r="F2067" s="891"/>
      <c r="G2067" s="891"/>
      <c r="H2067" s="1088"/>
      <c r="I2067" s="1088"/>
      <c r="J2067" s="1088"/>
      <c r="K2067" s="1088"/>
    </row>
    <row r="2068" spans="3:11" ht="12" customHeight="1">
      <c r="C2068" s="891"/>
      <c r="D2068" s="891"/>
      <c r="E2068" s="891"/>
      <c r="F2068" s="891"/>
      <c r="G2068" s="891"/>
      <c r="H2068" s="1088"/>
      <c r="I2068" s="1088"/>
      <c r="J2068" s="1088"/>
      <c r="K2068" s="1088"/>
    </row>
    <row r="2069" spans="3:11" ht="12" customHeight="1">
      <c r="C2069" s="891"/>
      <c r="D2069" s="891"/>
      <c r="E2069" s="891"/>
      <c r="F2069" s="891"/>
      <c r="G2069" s="891"/>
      <c r="H2069" s="1088"/>
      <c r="I2069" s="1088"/>
      <c r="J2069" s="1088"/>
      <c r="K2069" s="1088"/>
    </row>
    <row r="2070" spans="3:11" ht="12" customHeight="1">
      <c r="C2070" s="891"/>
      <c r="D2070" s="891"/>
      <c r="E2070" s="891"/>
      <c r="F2070" s="891"/>
      <c r="G2070" s="891"/>
      <c r="H2070" s="1088"/>
      <c r="I2070" s="1088"/>
      <c r="J2070" s="1088"/>
      <c r="K2070" s="1088"/>
    </row>
    <row r="2071" spans="3:11" ht="12" customHeight="1">
      <c r="C2071" s="891"/>
      <c r="D2071" s="891"/>
      <c r="E2071" s="891"/>
      <c r="F2071" s="891"/>
      <c r="G2071" s="891"/>
      <c r="H2071" s="1088"/>
      <c r="I2071" s="1088"/>
      <c r="J2071" s="1088"/>
      <c r="K2071" s="1088"/>
    </row>
    <row r="2072" spans="3:11" ht="12" customHeight="1">
      <c r="C2072" s="891"/>
      <c r="D2072" s="891"/>
      <c r="E2072" s="891"/>
      <c r="F2072" s="891"/>
      <c r="G2072" s="891"/>
      <c r="H2072" s="1088"/>
      <c r="I2072" s="1088"/>
      <c r="J2072" s="1088"/>
      <c r="K2072" s="1088"/>
    </row>
    <row r="2073" spans="3:11" ht="12" customHeight="1">
      <c r="C2073" s="891"/>
      <c r="D2073" s="891"/>
      <c r="E2073" s="891"/>
      <c r="F2073" s="891"/>
      <c r="G2073" s="891"/>
      <c r="H2073" s="1088"/>
      <c r="I2073" s="1088"/>
      <c r="J2073" s="1088"/>
      <c r="K2073" s="1088"/>
    </row>
    <row r="2074" spans="3:11" ht="12" customHeight="1">
      <c r="C2074" s="891"/>
      <c r="D2074" s="891"/>
      <c r="E2074" s="891"/>
      <c r="F2074" s="891"/>
      <c r="G2074" s="891"/>
      <c r="H2074" s="1088"/>
      <c r="I2074" s="1088"/>
      <c r="J2074" s="1088"/>
      <c r="K2074" s="1088"/>
    </row>
    <row r="2075" spans="3:11" ht="12" customHeight="1">
      <c r="C2075" s="891"/>
      <c r="D2075" s="891"/>
      <c r="E2075" s="891"/>
      <c r="F2075" s="891"/>
      <c r="G2075" s="891"/>
      <c r="H2075" s="1088"/>
      <c r="I2075" s="1088"/>
      <c r="J2075" s="1088"/>
      <c r="K2075" s="1088"/>
    </row>
    <row r="2076" spans="3:11" ht="12" customHeight="1">
      <c r="C2076" s="891"/>
      <c r="D2076" s="891"/>
      <c r="E2076" s="891"/>
      <c r="F2076" s="891"/>
      <c r="G2076" s="891"/>
      <c r="H2076" s="1088"/>
      <c r="I2076" s="1088"/>
      <c r="J2076" s="1088"/>
      <c r="K2076" s="1088"/>
    </row>
    <row r="2077" spans="3:11" ht="12" customHeight="1">
      <c r="C2077" s="891"/>
      <c r="D2077" s="891"/>
      <c r="E2077" s="891"/>
      <c r="F2077" s="891"/>
      <c r="G2077" s="891"/>
      <c r="H2077" s="1088"/>
      <c r="I2077" s="1088"/>
      <c r="J2077" s="1088"/>
      <c r="K2077" s="1088"/>
    </row>
    <row r="2078" spans="3:11" ht="12" customHeight="1">
      <c r="C2078" s="891"/>
      <c r="D2078" s="891"/>
      <c r="E2078" s="891"/>
      <c r="F2078" s="891"/>
      <c r="G2078" s="891"/>
      <c r="H2078" s="1088"/>
      <c r="I2078" s="1088"/>
      <c r="J2078" s="1088"/>
      <c r="K2078" s="1088"/>
    </row>
    <row r="2079" spans="3:11" ht="12" customHeight="1">
      <c r="C2079" s="891"/>
      <c r="D2079" s="891"/>
      <c r="E2079" s="891"/>
      <c r="F2079" s="891"/>
      <c r="G2079" s="891"/>
      <c r="H2079" s="1088"/>
      <c r="I2079" s="1088"/>
      <c r="J2079" s="1088"/>
      <c r="K2079" s="1088"/>
    </row>
    <row r="2080" spans="3:11" ht="12" customHeight="1">
      <c r="C2080" s="891"/>
      <c r="D2080" s="891"/>
      <c r="E2080" s="891"/>
      <c r="F2080" s="891"/>
      <c r="G2080" s="891"/>
      <c r="H2080" s="1088"/>
      <c r="I2080" s="1088"/>
      <c r="J2080" s="1088"/>
      <c r="K2080" s="1088"/>
    </row>
    <row r="2081" spans="3:11" ht="12" customHeight="1">
      <c r="C2081" s="891"/>
      <c r="D2081" s="891"/>
      <c r="E2081" s="891"/>
      <c r="F2081" s="891"/>
      <c r="G2081" s="891"/>
      <c r="H2081" s="1088"/>
      <c r="I2081" s="1088"/>
      <c r="J2081" s="1088"/>
      <c r="K2081" s="1088"/>
    </row>
    <row r="2082" spans="3:11" ht="12" customHeight="1">
      <c r="C2082" s="891"/>
      <c r="D2082" s="891"/>
      <c r="E2082" s="891"/>
      <c r="F2082" s="891"/>
      <c r="G2082" s="891"/>
      <c r="H2082" s="1088"/>
      <c r="I2082" s="1088"/>
      <c r="J2082" s="1088"/>
      <c r="K2082" s="1088"/>
    </row>
    <row r="2083" spans="3:11" ht="12" customHeight="1">
      <c r="C2083" s="891"/>
      <c r="D2083" s="891"/>
      <c r="E2083" s="891"/>
      <c r="F2083" s="891"/>
      <c r="G2083" s="891"/>
      <c r="H2083" s="1088"/>
      <c r="I2083" s="1088"/>
      <c r="J2083" s="1088"/>
      <c r="K2083" s="1088"/>
    </row>
    <row r="2084" spans="3:11" ht="12" customHeight="1">
      <c r="C2084" s="891"/>
      <c r="D2084" s="891"/>
      <c r="E2084" s="891"/>
      <c r="F2084" s="891"/>
      <c r="G2084" s="891"/>
      <c r="H2084" s="1088"/>
      <c r="I2084" s="1088"/>
      <c r="J2084" s="1088"/>
      <c r="K2084" s="1088"/>
    </row>
    <row r="2085" spans="3:11" ht="12" customHeight="1">
      <c r="C2085" s="891"/>
      <c r="D2085" s="891"/>
      <c r="E2085" s="891"/>
      <c r="F2085" s="891"/>
      <c r="G2085" s="891"/>
      <c r="H2085" s="1088"/>
      <c r="I2085" s="1088"/>
      <c r="J2085" s="1088"/>
      <c r="K2085" s="1088"/>
    </row>
    <row r="2086" spans="3:11" ht="12" customHeight="1">
      <c r="C2086" s="891"/>
      <c r="D2086" s="891"/>
      <c r="E2086" s="891"/>
      <c r="F2086" s="891"/>
      <c r="G2086" s="891"/>
      <c r="H2086" s="1088"/>
      <c r="I2086" s="1088"/>
      <c r="J2086" s="1088"/>
      <c r="K2086" s="1088"/>
    </row>
    <row r="2087" spans="3:11" ht="12" customHeight="1">
      <c r="C2087" s="891"/>
      <c r="D2087" s="891"/>
      <c r="E2087" s="891"/>
      <c r="F2087" s="891"/>
      <c r="G2087" s="891"/>
      <c r="H2087" s="1088"/>
      <c r="I2087" s="1088"/>
      <c r="J2087" s="1088"/>
      <c r="K2087" s="1088"/>
    </row>
    <row r="2088" spans="3:11" ht="12" customHeight="1">
      <c r="C2088" s="891"/>
      <c r="D2088" s="891"/>
      <c r="E2088" s="891"/>
      <c r="F2088" s="891"/>
      <c r="G2088" s="891"/>
      <c r="H2088" s="1088"/>
      <c r="I2088" s="1088"/>
      <c r="J2088" s="1088"/>
      <c r="K2088" s="1088"/>
    </row>
    <row r="2089" spans="3:11" ht="12" customHeight="1">
      <c r="C2089" s="891"/>
      <c r="D2089" s="891"/>
      <c r="E2089" s="891"/>
      <c r="F2089" s="891"/>
      <c r="G2089" s="891"/>
      <c r="H2089" s="1088"/>
      <c r="I2089" s="1088"/>
      <c r="J2089" s="1088"/>
      <c r="K2089" s="1088"/>
    </row>
    <row r="2090" spans="3:11" ht="12" customHeight="1">
      <c r="C2090" s="891"/>
      <c r="D2090" s="891"/>
      <c r="E2090" s="891"/>
      <c r="F2090" s="891"/>
      <c r="G2090" s="891"/>
      <c r="H2090" s="1088"/>
      <c r="I2090" s="1088"/>
      <c r="J2090" s="1088"/>
      <c r="K2090" s="1088"/>
    </row>
    <row r="2091" spans="3:11" ht="12" customHeight="1">
      <c r="C2091" s="891"/>
      <c r="D2091" s="891"/>
      <c r="E2091" s="891"/>
      <c r="F2091" s="891"/>
      <c r="G2091" s="891"/>
      <c r="H2091" s="1088"/>
      <c r="I2091" s="1088"/>
      <c r="J2091" s="1088"/>
      <c r="K2091" s="1088"/>
    </row>
    <row r="2092" spans="3:11" ht="12" customHeight="1">
      <c r="C2092" s="891"/>
      <c r="D2092" s="891"/>
      <c r="E2092" s="891"/>
      <c r="F2092" s="891"/>
      <c r="G2092" s="891"/>
      <c r="H2092" s="1088"/>
      <c r="I2092" s="1088"/>
      <c r="J2092" s="1088"/>
      <c r="K2092" s="1088"/>
    </row>
    <row r="2093" spans="3:11" ht="12" customHeight="1">
      <c r="C2093" s="891"/>
      <c r="D2093" s="891"/>
      <c r="E2093" s="891"/>
      <c r="F2093" s="891"/>
      <c r="G2093" s="891"/>
      <c r="H2093" s="1088"/>
      <c r="I2093" s="1088"/>
      <c r="J2093" s="1088"/>
      <c r="K2093" s="1088"/>
    </row>
    <row r="2094" spans="3:11" ht="12" customHeight="1">
      <c r="C2094" s="891"/>
      <c r="D2094" s="891"/>
      <c r="E2094" s="891"/>
      <c r="F2094" s="891"/>
      <c r="G2094" s="891"/>
      <c r="H2094" s="1088"/>
      <c r="I2094" s="1088"/>
      <c r="J2094" s="1088"/>
      <c r="K2094" s="1088"/>
    </row>
    <row r="2095" spans="3:11" ht="12" customHeight="1">
      <c r="C2095" s="891"/>
      <c r="D2095" s="891"/>
      <c r="E2095" s="891"/>
      <c r="F2095" s="891"/>
      <c r="G2095" s="891"/>
      <c r="H2095" s="1088"/>
      <c r="I2095" s="1088"/>
      <c r="J2095" s="1088"/>
      <c r="K2095" s="1088"/>
    </row>
    <row r="2096" spans="3:11" ht="12" customHeight="1">
      <c r="C2096" s="891"/>
      <c r="D2096" s="891"/>
      <c r="E2096" s="891"/>
      <c r="F2096" s="891"/>
      <c r="G2096" s="891"/>
      <c r="H2096" s="1088"/>
      <c r="I2096" s="1088"/>
      <c r="J2096" s="1088"/>
      <c r="K2096" s="1088"/>
    </row>
    <row r="2097" spans="3:11" ht="12" customHeight="1">
      <c r="C2097" s="891"/>
      <c r="D2097" s="891"/>
      <c r="E2097" s="891"/>
      <c r="F2097" s="891"/>
      <c r="G2097" s="891"/>
      <c r="H2097" s="1088"/>
      <c r="I2097" s="1088"/>
      <c r="J2097" s="1088"/>
      <c r="K2097" s="1088"/>
    </row>
    <row r="2098" spans="3:11" ht="12" customHeight="1">
      <c r="C2098" s="891"/>
      <c r="D2098" s="891"/>
      <c r="E2098" s="891"/>
      <c r="F2098" s="891"/>
      <c r="G2098" s="891"/>
      <c r="H2098" s="1088"/>
      <c r="I2098" s="1088"/>
      <c r="J2098" s="1088"/>
      <c r="K2098" s="1088"/>
    </row>
    <row r="2099" spans="3:11" ht="12" customHeight="1">
      <c r="C2099" s="891"/>
      <c r="D2099" s="891"/>
      <c r="E2099" s="891"/>
      <c r="F2099" s="891"/>
      <c r="G2099" s="891"/>
      <c r="H2099" s="1088"/>
      <c r="I2099" s="1088"/>
      <c r="J2099" s="1088"/>
      <c r="K2099" s="1088"/>
    </row>
    <row r="2100" spans="3:11" ht="12" customHeight="1">
      <c r="C2100" s="891"/>
      <c r="D2100" s="891"/>
      <c r="E2100" s="891"/>
      <c r="F2100" s="891"/>
      <c r="G2100" s="891"/>
      <c r="H2100" s="1088"/>
      <c r="I2100" s="1088"/>
      <c r="J2100" s="1088"/>
      <c r="K2100" s="1088"/>
    </row>
    <row r="2101" spans="3:11" ht="12" customHeight="1">
      <c r="C2101" s="891"/>
      <c r="D2101" s="891"/>
      <c r="E2101" s="891"/>
      <c r="F2101" s="891"/>
      <c r="G2101" s="891"/>
      <c r="H2101" s="1088"/>
      <c r="I2101" s="1088"/>
      <c r="J2101" s="1088"/>
      <c r="K2101" s="1088"/>
    </row>
    <row r="2102" spans="3:11" ht="12" customHeight="1">
      <c r="C2102" s="891"/>
      <c r="D2102" s="891"/>
      <c r="E2102" s="891"/>
      <c r="F2102" s="891"/>
      <c r="G2102" s="891"/>
      <c r="H2102" s="1088"/>
      <c r="I2102" s="1088"/>
      <c r="J2102" s="1088"/>
      <c r="K2102" s="1088"/>
    </row>
    <row r="2103" spans="3:11" ht="12" customHeight="1">
      <c r="C2103" s="891"/>
      <c r="D2103" s="891"/>
      <c r="E2103" s="891"/>
      <c r="F2103" s="891"/>
      <c r="G2103" s="891"/>
      <c r="H2103" s="1088"/>
      <c r="I2103" s="1088"/>
      <c r="J2103" s="1088"/>
      <c r="K2103" s="1088"/>
    </row>
    <row r="2104" spans="3:11" ht="12" customHeight="1">
      <c r="C2104" s="891"/>
      <c r="D2104" s="891"/>
      <c r="E2104" s="891"/>
      <c r="F2104" s="891"/>
      <c r="G2104" s="891"/>
      <c r="H2104" s="1088"/>
      <c r="I2104" s="1088"/>
      <c r="J2104" s="1088"/>
      <c r="K2104" s="1088"/>
    </row>
    <row r="2105" spans="3:11" ht="12" customHeight="1">
      <c r="C2105" s="891"/>
      <c r="D2105" s="891"/>
      <c r="E2105" s="891"/>
      <c r="F2105" s="891"/>
      <c r="G2105" s="891"/>
      <c r="H2105" s="1088"/>
      <c r="I2105" s="1088"/>
      <c r="J2105" s="1088"/>
      <c r="K2105" s="1088"/>
    </row>
    <row r="2106" spans="3:11" ht="12" customHeight="1">
      <c r="C2106" s="891"/>
      <c r="D2106" s="891"/>
      <c r="E2106" s="891"/>
      <c r="F2106" s="891"/>
      <c r="G2106" s="891"/>
      <c r="H2106" s="1088"/>
      <c r="I2106" s="1088"/>
      <c r="J2106" s="1088"/>
      <c r="K2106" s="1088"/>
    </row>
    <row r="2107" spans="3:11" ht="12" customHeight="1">
      <c r="C2107" s="891"/>
      <c r="D2107" s="891"/>
      <c r="E2107" s="891"/>
      <c r="F2107" s="891"/>
      <c r="G2107" s="891"/>
      <c r="H2107" s="1088"/>
      <c r="I2107" s="1088"/>
      <c r="J2107" s="1088"/>
      <c r="K2107" s="1088"/>
    </row>
    <row r="2108" spans="3:11" ht="12" customHeight="1">
      <c r="C2108" s="891"/>
      <c r="D2108" s="891"/>
      <c r="E2108" s="891"/>
      <c r="F2108" s="891"/>
      <c r="G2108" s="891"/>
      <c r="H2108" s="1088"/>
      <c r="I2108" s="1088"/>
      <c r="J2108" s="1088"/>
      <c r="K2108" s="1088"/>
    </row>
    <row r="2109" spans="3:11" ht="12" customHeight="1">
      <c r="C2109" s="891"/>
      <c r="D2109" s="891"/>
      <c r="E2109" s="891"/>
      <c r="F2109" s="891"/>
      <c r="G2109" s="891"/>
      <c r="H2109" s="1088"/>
      <c r="I2109" s="1088"/>
      <c r="J2109" s="1088"/>
      <c r="K2109" s="1088"/>
    </row>
    <row r="2110" spans="3:11" ht="12" customHeight="1">
      <c r="C2110" s="891"/>
      <c r="D2110" s="891"/>
      <c r="E2110" s="891"/>
      <c r="F2110" s="891"/>
      <c r="G2110" s="891"/>
      <c r="H2110" s="1088"/>
      <c r="I2110" s="1088"/>
      <c r="J2110" s="1088"/>
      <c r="K2110" s="1088"/>
    </row>
    <row r="2111" spans="3:11" ht="12" customHeight="1">
      <c r="C2111" s="891"/>
      <c r="D2111" s="891"/>
      <c r="E2111" s="891"/>
      <c r="F2111" s="891"/>
      <c r="G2111" s="891"/>
      <c r="H2111" s="1088"/>
      <c r="I2111" s="1088"/>
      <c r="J2111" s="1088"/>
      <c r="K2111" s="1088"/>
    </row>
    <row r="2112" spans="3:11" ht="12" customHeight="1">
      <c r="C2112" s="891"/>
      <c r="D2112" s="891"/>
      <c r="E2112" s="891"/>
      <c r="F2112" s="891"/>
      <c r="G2112" s="891"/>
      <c r="H2112" s="1088"/>
      <c r="I2112" s="1088"/>
      <c r="J2112" s="1088"/>
      <c r="K2112" s="1088"/>
    </row>
    <row r="2113" spans="3:11" ht="12" customHeight="1">
      <c r="C2113" s="891"/>
      <c r="D2113" s="891"/>
      <c r="E2113" s="891"/>
      <c r="F2113" s="891"/>
      <c r="G2113" s="891"/>
      <c r="H2113" s="1088"/>
      <c r="I2113" s="1088"/>
      <c r="J2113" s="1088"/>
      <c r="K2113" s="1088"/>
    </row>
    <row r="2114" spans="3:11" ht="12" customHeight="1">
      <c r="C2114" s="891"/>
      <c r="D2114" s="891"/>
      <c r="E2114" s="891"/>
      <c r="F2114" s="891"/>
      <c r="G2114" s="891"/>
      <c r="H2114" s="1088"/>
      <c r="I2114" s="1088"/>
      <c r="J2114" s="1088"/>
      <c r="K2114" s="1088"/>
    </row>
    <row r="2115" spans="3:11" ht="12" customHeight="1">
      <c r="C2115" s="891"/>
      <c r="D2115" s="891"/>
      <c r="E2115" s="891"/>
      <c r="F2115" s="891"/>
      <c r="G2115" s="891"/>
      <c r="H2115" s="1088"/>
      <c r="I2115" s="1088"/>
      <c r="J2115" s="1088"/>
      <c r="K2115" s="1088"/>
    </row>
    <row r="2116" spans="3:11" ht="12" customHeight="1">
      <c r="C2116" s="891"/>
      <c r="D2116" s="891"/>
      <c r="E2116" s="891"/>
      <c r="F2116" s="891"/>
      <c r="G2116" s="891"/>
      <c r="H2116" s="1088"/>
      <c r="I2116" s="1088"/>
      <c r="J2116" s="1088"/>
      <c r="K2116" s="1088"/>
    </row>
    <row r="2117" spans="3:11" ht="12" customHeight="1">
      <c r="C2117" s="891"/>
      <c r="D2117" s="891"/>
      <c r="E2117" s="891"/>
      <c r="F2117" s="891"/>
      <c r="G2117" s="891"/>
      <c r="H2117" s="1088"/>
      <c r="I2117" s="1088"/>
      <c r="J2117" s="1088"/>
      <c r="K2117" s="1088"/>
    </row>
    <row r="2118" spans="3:11" ht="12" customHeight="1">
      <c r="C2118" s="891"/>
      <c r="D2118" s="891"/>
      <c r="E2118" s="891"/>
      <c r="F2118" s="891"/>
      <c r="G2118" s="891"/>
      <c r="H2118" s="1088"/>
      <c r="I2118" s="1088"/>
      <c r="J2118" s="1088"/>
      <c r="K2118" s="1088"/>
    </row>
    <row r="2119" spans="3:11" ht="12" customHeight="1">
      <c r="C2119" s="891"/>
      <c r="D2119" s="891"/>
      <c r="E2119" s="891"/>
      <c r="F2119" s="891"/>
      <c r="G2119" s="891"/>
      <c r="H2119" s="1088"/>
      <c r="I2119" s="1088"/>
      <c r="J2119" s="1088"/>
      <c r="K2119" s="1088"/>
    </row>
    <row r="2120" spans="3:11" ht="12" customHeight="1">
      <c r="C2120" s="891"/>
      <c r="D2120" s="891"/>
      <c r="E2120" s="891"/>
      <c r="F2120" s="891"/>
      <c r="G2120" s="891"/>
      <c r="H2120" s="1088"/>
      <c r="I2120" s="1088"/>
      <c r="J2120" s="1088"/>
      <c r="K2120" s="1088"/>
    </row>
    <row r="2121" spans="3:11" ht="12" customHeight="1">
      <c r="C2121" s="891"/>
      <c r="D2121" s="891"/>
      <c r="E2121" s="891"/>
      <c r="F2121" s="891"/>
      <c r="G2121" s="891"/>
      <c r="H2121" s="1088"/>
      <c r="I2121" s="1088"/>
      <c r="J2121" s="1088"/>
      <c r="K2121" s="1088"/>
    </row>
    <row r="2122" spans="3:11" ht="12" customHeight="1">
      <c r="C2122" s="891"/>
      <c r="D2122" s="891"/>
      <c r="E2122" s="891"/>
      <c r="F2122" s="891"/>
      <c r="G2122" s="891"/>
      <c r="H2122" s="1088"/>
      <c r="I2122" s="1088"/>
      <c r="J2122" s="1088"/>
      <c r="K2122" s="1088"/>
    </row>
    <row r="2123" spans="3:11" ht="12" customHeight="1">
      <c r="C2123" s="891"/>
      <c r="D2123" s="891"/>
      <c r="E2123" s="891"/>
      <c r="F2123" s="891"/>
      <c r="G2123" s="891"/>
      <c r="H2123" s="1088"/>
      <c r="I2123" s="1088"/>
      <c r="J2123" s="1088"/>
      <c r="K2123" s="1088"/>
    </row>
    <row r="2124" spans="3:11" ht="12" customHeight="1">
      <c r="C2124" s="891"/>
      <c r="D2124" s="891"/>
      <c r="E2124" s="891"/>
      <c r="F2124" s="891"/>
      <c r="G2124" s="891"/>
      <c r="H2124" s="1088"/>
      <c r="I2124" s="1088"/>
      <c r="J2124" s="1088"/>
      <c r="K2124" s="1088"/>
    </row>
    <row r="2125" spans="3:11" ht="12" customHeight="1">
      <c r="C2125" s="891"/>
      <c r="D2125" s="891"/>
      <c r="E2125" s="891"/>
      <c r="F2125" s="891"/>
      <c r="G2125" s="891"/>
      <c r="H2125" s="1088"/>
      <c r="I2125" s="1088"/>
      <c r="J2125" s="1088"/>
      <c r="K2125" s="1088"/>
    </row>
    <row r="2126" spans="3:11" ht="12" customHeight="1">
      <c r="C2126" s="891"/>
      <c r="D2126" s="891"/>
      <c r="E2126" s="891"/>
      <c r="F2126" s="891"/>
      <c r="G2126" s="891"/>
      <c r="H2126" s="1088"/>
      <c r="I2126" s="1088"/>
      <c r="J2126" s="1088"/>
      <c r="K2126" s="1088"/>
    </row>
    <row r="2127" spans="3:11" ht="12" customHeight="1">
      <c r="C2127" s="891"/>
      <c r="D2127" s="891"/>
      <c r="E2127" s="891"/>
      <c r="F2127" s="891"/>
      <c r="G2127" s="891"/>
      <c r="H2127" s="1088"/>
      <c r="I2127" s="1088"/>
      <c r="J2127" s="1088"/>
      <c r="K2127" s="1088"/>
    </row>
    <row r="2128" spans="3:11" ht="12" customHeight="1">
      <c r="C2128" s="891"/>
      <c r="D2128" s="891"/>
      <c r="E2128" s="891"/>
      <c r="F2128" s="891"/>
      <c r="G2128" s="891"/>
      <c r="H2128" s="1088"/>
      <c r="I2128" s="1088"/>
      <c r="J2128" s="1088"/>
      <c r="K2128" s="1088"/>
    </row>
    <row r="2129" spans="3:11" ht="12" customHeight="1">
      <c r="C2129" s="891"/>
      <c r="D2129" s="891"/>
      <c r="E2129" s="891"/>
      <c r="F2129" s="891"/>
      <c r="G2129" s="891"/>
      <c r="H2129" s="1088"/>
      <c r="I2129" s="1088"/>
      <c r="J2129" s="1088"/>
      <c r="K2129" s="1088"/>
    </row>
    <row r="2130" spans="3:11" ht="12" customHeight="1">
      <c r="C2130" s="891"/>
      <c r="D2130" s="891"/>
      <c r="E2130" s="891"/>
      <c r="F2130" s="891"/>
      <c r="G2130" s="891"/>
      <c r="H2130" s="1088"/>
      <c r="I2130" s="1088"/>
      <c r="J2130" s="1088"/>
      <c r="K2130" s="1088"/>
    </row>
    <row r="2131" spans="3:11" ht="12" customHeight="1">
      <c r="C2131" s="891"/>
      <c r="D2131" s="891"/>
      <c r="E2131" s="891"/>
      <c r="F2131" s="891"/>
      <c r="G2131" s="891"/>
      <c r="H2131" s="1088"/>
      <c r="I2131" s="1088"/>
      <c r="J2131" s="1088"/>
      <c r="K2131" s="1088"/>
    </row>
    <row r="2132" spans="3:11" ht="12" customHeight="1">
      <c r="C2132" s="891"/>
      <c r="D2132" s="891"/>
      <c r="E2132" s="891"/>
      <c r="F2132" s="891"/>
      <c r="G2132" s="891"/>
      <c r="H2132" s="1088"/>
      <c r="I2132" s="1088"/>
      <c r="J2132" s="1088"/>
      <c r="K2132" s="1088"/>
    </row>
    <row r="2133" spans="3:11" ht="12" customHeight="1">
      <c r="C2133" s="891"/>
      <c r="D2133" s="891"/>
      <c r="E2133" s="891"/>
      <c r="F2133" s="891"/>
      <c r="G2133" s="891"/>
      <c r="H2133" s="1088"/>
      <c r="I2133" s="1088"/>
      <c r="J2133" s="1088"/>
      <c r="K2133" s="1088"/>
    </row>
    <row r="2134" spans="3:11" ht="12" customHeight="1">
      <c r="C2134" s="891"/>
      <c r="D2134" s="891"/>
      <c r="E2134" s="891"/>
      <c r="F2134" s="891"/>
      <c r="G2134" s="891"/>
      <c r="H2134" s="1088"/>
      <c r="I2134" s="1088"/>
      <c r="J2134" s="1088"/>
      <c r="K2134" s="1088"/>
    </row>
    <row r="2135" spans="3:11" ht="12" customHeight="1">
      <c r="C2135" s="891"/>
      <c r="D2135" s="891"/>
      <c r="E2135" s="891"/>
      <c r="F2135" s="891"/>
      <c r="G2135" s="891"/>
      <c r="H2135" s="1088"/>
      <c r="I2135" s="1088"/>
      <c r="J2135" s="1088"/>
      <c r="K2135" s="1088"/>
    </row>
    <row r="2136" spans="3:11" ht="12" customHeight="1">
      <c r="C2136" s="891"/>
      <c r="D2136" s="891"/>
      <c r="E2136" s="891"/>
      <c r="F2136" s="891"/>
      <c r="G2136" s="891"/>
      <c r="H2136" s="1088"/>
      <c r="I2136" s="1088"/>
      <c r="J2136" s="1088"/>
      <c r="K2136" s="1088"/>
    </row>
    <row r="2137" spans="3:11" ht="12" customHeight="1">
      <c r="C2137" s="891"/>
      <c r="D2137" s="891"/>
      <c r="E2137" s="891"/>
      <c r="F2137" s="891"/>
      <c r="G2137" s="891"/>
      <c r="H2137" s="1088"/>
      <c r="I2137" s="1088"/>
      <c r="J2137" s="1088"/>
      <c r="K2137" s="1088"/>
    </row>
    <row r="2138" spans="3:11" ht="12" customHeight="1">
      <c r="C2138" s="891"/>
      <c r="D2138" s="891"/>
      <c r="E2138" s="891"/>
      <c r="F2138" s="891"/>
      <c r="G2138" s="891"/>
      <c r="H2138" s="1088"/>
      <c r="I2138" s="1088"/>
      <c r="J2138" s="1088"/>
      <c r="K2138" s="1088"/>
    </row>
    <row r="2139" spans="3:11" ht="12" customHeight="1">
      <c r="C2139" s="891"/>
      <c r="D2139" s="891"/>
      <c r="E2139" s="891"/>
      <c r="F2139" s="891"/>
      <c r="G2139" s="891"/>
      <c r="H2139" s="1088"/>
      <c r="I2139" s="1088"/>
      <c r="J2139" s="1088"/>
      <c r="K2139" s="1088"/>
    </row>
    <row r="2140" spans="3:11" ht="12" customHeight="1">
      <c r="C2140" s="891"/>
      <c r="D2140" s="891"/>
      <c r="E2140" s="891"/>
      <c r="F2140" s="891"/>
      <c r="G2140" s="891"/>
      <c r="H2140" s="1088"/>
      <c r="I2140" s="1088"/>
      <c r="J2140" s="1088"/>
      <c r="K2140" s="1088"/>
    </row>
    <row r="2141" spans="3:11" ht="12" customHeight="1">
      <c r="C2141" s="891"/>
      <c r="D2141" s="891"/>
      <c r="E2141" s="891"/>
      <c r="F2141" s="891"/>
      <c r="G2141" s="891"/>
      <c r="H2141" s="1088"/>
      <c r="I2141" s="1088"/>
      <c r="J2141" s="1088"/>
      <c r="K2141" s="1088"/>
    </row>
    <row r="2142" spans="3:11" ht="12" customHeight="1">
      <c r="C2142" s="891"/>
      <c r="D2142" s="891"/>
      <c r="E2142" s="891"/>
      <c r="F2142" s="891"/>
      <c r="G2142" s="891"/>
      <c r="H2142" s="1088"/>
      <c r="I2142" s="1088"/>
      <c r="J2142" s="1088"/>
      <c r="K2142" s="1088"/>
    </row>
    <row r="2143" spans="3:11" ht="12" customHeight="1">
      <c r="C2143" s="891"/>
      <c r="D2143" s="891"/>
      <c r="E2143" s="891"/>
      <c r="F2143" s="891"/>
      <c r="G2143" s="891"/>
      <c r="H2143" s="1088"/>
      <c r="I2143" s="1088"/>
      <c r="J2143" s="1088"/>
      <c r="K2143" s="1088"/>
    </row>
    <row r="2144" spans="3:11" ht="12" customHeight="1">
      <c r="C2144" s="891"/>
      <c r="D2144" s="891"/>
      <c r="E2144" s="891"/>
      <c r="F2144" s="891"/>
      <c r="G2144" s="891"/>
      <c r="H2144" s="1088"/>
      <c r="I2144" s="1088"/>
      <c r="J2144" s="1088"/>
      <c r="K2144" s="1088"/>
    </row>
    <row r="2145" spans="3:11" ht="12" customHeight="1">
      <c r="C2145" s="891"/>
      <c r="D2145" s="891"/>
      <c r="E2145" s="891"/>
      <c r="F2145" s="891"/>
      <c r="G2145" s="891"/>
      <c r="H2145" s="1088"/>
      <c r="I2145" s="1088"/>
      <c r="J2145" s="1088"/>
      <c r="K2145" s="1088"/>
    </row>
    <row r="2146" spans="3:11" ht="12" customHeight="1">
      <c r="C2146" s="891"/>
      <c r="D2146" s="891"/>
      <c r="E2146" s="891"/>
      <c r="F2146" s="891"/>
      <c r="G2146" s="891"/>
      <c r="H2146" s="1088"/>
      <c r="I2146" s="1088"/>
      <c r="J2146" s="1088"/>
      <c r="K2146" s="1088"/>
    </row>
    <row r="2147" spans="3:11" ht="12" customHeight="1">
      <c r="C2147" s="891"/>
      <c r="D2147" s="891"/>
      <c r="E2147" s="891"/>
      <c r="F2147" s="891"/>
      <c r="G2147" s="891"/>
      <c r="H2147" s="1088"/>
      <c r="I2147" s="1088"/>
      <c r="J2147" s="1088"/>
      <c r="K2147" s="1088"/>
    </row>
    <row r="2148" spans="3:11" ht="12" customHeight="1">
      <c r="C2148" s="891"/>
      <c r="D2148" s="891"/>
      <c r="E2148" s="891"/>
      <c r="F2148" s="891"/>
      <c r="G2148" s="891"/>
      <c r="H2148" s="1088"/>
      <c r="I2148" s="1088"/>
      <c r="J2148" s="1088"/>
      <c r="K2148" s="1088"/>
    </row>
    <row r="2149" spans="3:11" ht="12" customHeight="1">
      <c r="C2149" s="891"/>
      <c r="D2149" s="891"/>
      <c r="E2149" s="891"/>
      <c r="F2149" s="891"/>
      <c r="G2149" s="891"/>
      <c r="H2149" s="1088"/>
      <c r="I2149" s="1088"/>
      <c r="J2149" s="1088"/>
      <c r="K2149" s="1088"/>
    </row>
    <row r="2150" spans="3:11" ht="12" customHeight="1">
      <c r="C2150" s="891"/>
      <c r="D2150" s="891"/>
      <c r="E2150" s="891"/>
      <c r="F2150" s="891"/>
      <c r="G2150" s="891"/>
      <c r="H2150" s="1088"/>
      <c r="I2150" s="1088"/>
      <c r="J2150" s="1088"/>
      <c r="K2150" s="1088"/>
    </row>
    <row r="2151" spans="3:11" ht="12" customHeight="1">
      <c r="C2151" s="891"/>
      <c r="D2151" s="891"/>
      <c r="E2151" s="891"/>
      <c r="F2151" s="891"/>
      <c r="G2151" s="891"/>
      <c r="H2151" s="1088"/>
      <c r="I2151" s="1088"/>
      <c r="J2151" s="1088"/>
      <c r="K2151" s="1088"/>
    </row>
    <row r="2152" spans="3:11" ht="12" customHeight="1">
      <c r="C2152" s="891"/>
      <c r="D2152" s="891"/>
      <c r="E2152" s="891"/>
      <c r="F2152" s="891"/>
      <c r="G2152" s="891"/>
      <c r="H2152" s="1088"/>
      <c r="I2152" s="1088"/>
      <c r="J2152" s="1088"/>
      <c r="K2152" s="1088"/>
    </row>
    <row r="2153" spans="3:11" ht="12" customHeight="1">
      <c r="C2153" s="891"/>
      <c r="D2153" s="891"/>
      <c r="E2153" s="891"/>
      <c r="F2153" s="891"/>
      <c r="G2153" s="891"/>
      <c r="H2153" s="1088"/>
      <c r="I2153" s="1088"/>
      <c r="J2153" s="1088"/>
      <c r="K2153" s="1088"/>
    </row>
    <row r="2154" spans="3:11" ht="12" customHeight="1">
      <c r="C2154" s="891"/>
      <c r="D2154" s="891"/>
      <c r="E2154" s="891"/>
      <c r="F2154" s="891"/>
      <c r="G2154" s="891"/>
      <c r="H2154" s="1088"/>
      <c r="I2154" s="1088"/>
      <c r="J2154" s="1088"/>
      <c r="K2154" s="1088"/>
    </row>
    <row r="2155" spans="3:11" ht="12" customHeight="1">
      <c r="C2155" s="891"/>
      <c r="D2155" s="891"/>
      <c r="E2155" s="891"/>
      <c r="F2155" s="891"/>
      <c r="G2155" s="891"/>
      <c r="H2155" s="1088"/>
      <c r="I2155" s="1088"/>
      <c r="J2155" s="1088"/>
      <c r="K2155" s="1088"/>
    </row>
    <row r="2156" spans="3:11" ht="12" customHeight="1">
      <c r="C2156" s="891"/>
      <c r="D2156" s="891"/>
      <c r="E2156" s="891"/>
      <c r="F2156" s="891"/>
      <c r="G2156" s="891"/>
      <c r="H2156" s="1088"/>
      <c r="I2156" s="1088"/>
      <c r="J2156" s="1088"/>
      <c r="K2156" s="1088"/>
    </row>
    <row r="2157" spans="3:11" ht="12" customHeight="1">
      <c r="C2157" s="891"/>
      <c r="D2157" s="891"/>
      <c r="E2157" s="891"/>
      <c r="F2157" s="891"/>
      <c r="G2157" s="891"/>
      <c r="H2157" s="1088"/>
      <c r="I2157" s="1088"/>
      <c r="J2157" s="1088"/>
      <c r="K2157" s="1088"/>
    </row>
    <row r="2158" spans="3:11" ht="12" customHeight="1">
      <c r="C2158" s="891"/>
      <c r="D2158" s="891"/>
      <c r="E2158" s="891"/>
      <c r="F2158" s="891"/>
      <c r="G2158" s="891"/>
      <c r="H2158" s="1088"/>
      <c r="I2158" s="1088"/>
      <c r="J2158" s="1088"/>
      <c r="K2158" s="1088"/>
    </row>
    <row r="2159" spans="3:11" ht="12" customHeight="1">
      <c r="C2159" s="891"/>
      <c r="D2159" s="891"/>
      <c r="E2159" s="891"/>
      <c r="F2159" s="891"/>
      <c r="G2159" s="891"/>
      <c r="H2159" s="1088"/>
      <c r="I2159" s="1088"/>
      <c r="J2159" s="1088"/>
      <c r="K2159" s="1088"/>
    </row>
    <row r="2160" spans="3:11" ht="12" customHeight="1">
      <c r="C2160" s="891"/>
      <c r="D2160" s="891"/>
      <c r="E2160" s="891"/>
      <c r="F2160" s="891"/>
      <c r="G2160" s="891"/>
      <c r="H2160" s="1088"/>
      <c r="I2160" s="1088"/>
      <c r="J2160" s="1088"/>
      <c r="K2160" s="1088"/>
    </row>
    <row r="2161" spans="3:11" ht="12" customHeight="1">
      <c r="C2161" s="891"/>
      <c r="D2161" s="891"/>
      <c r="E2161" s="891"/>
      <c r="F2161" s="891"/>
      <c r="G2161" s="891"/>
      <c r="H2161" s="1088"/>
      <c r="I2161" s="1088"/>
      <c r="J2161" s="1088"/>
      <c r="K2161" s="1088"/>
    </row>
    <row r="2162" spans="3:11" ht="12" customHeight="1">
      <c r="C2162" s="891"/>
      <c r="D2162" s="891"/>
      <c r="E2162" s="891"/>
      <c r="F2162" s="891"/>
      <c r="G2162" s="891"/>
      <c r="H2162" s="1088"/>
      <c r="I2162" s="1088"/>
      <c r="J2162" s="1088"/>
      <c r="K2162" s="1088"/>
    </row>
    <row r="2163" spans="3:11" ht="12" customHeight="1">
      <c r="C2163" s="891"/>
      <c r="D2163" s="891"/>
      <c r="E2163" s="891"/>
      <c r="F2163" s="891"/>
      <c r="G2163" s="891"/>
      <c r="H2163" s="1088"/>
      <c r="I2163" s="1088"/>
      <c r="J2163" s="1088"/>
      <c r="K2163" s="1088"/>
    </row>
    <row r="2164" spans="3:11" ht="12" customHeight="1">
      <c r="C2164" s="891"/>
      <c r="D2164" s="891"/>
      <c r="E2164" s="891"/>
      <c r="F2164" s="891"/>
      <c r="G2164" s="891"/>
      <c r="H2164" s="1088"/>
      <c r="I2164" s="1088"/>
      <c r="J2164" s="1088"/>
      <c r="K2164" s="1088"/>
    </row>
    <row r="2165" spans="3:11" ht="12" customHeight="1">
      <c r="C2165" s="891"/>
      <c r="D2165" s="891"/>
      <c r="E2165" s="891"/>
      <c r="F2165" s="891"/>
      <c r="G2165" s="891"/>
      <c r="H2165" s="1088"/>
      <c r="I2165" s="1088"/>
      <c r="J2165" s="1088"/>
      <c r="K2165" s="1088"/>
    </row>
    <row r="2166" spans="3:11" ht="12" customHeight="1">
      <c r="C2166" s="891"/>
      <c r="D2166" s="891"/>
      <c r="E2166" s="891"/>
      <c r="F2166" s="891"/>
      <c r="G2166" s="891"/>
      <c r="H2166" s="1088"/>
      <c r="I2166" s="1088"/>
      <c r="J2166" s="1088"/>
      <c r="K2166" s="1088"/>
    </row>
    <row r="2167" spans="3:11" ht="12" customHeight="1">
      <c r="C2167" s="891"/>
      <c r="D2167" s="891"/>
      <c r="E2167" s="891"/>
      <c r="F2167" s="891"/>
      <c r="G2167" s="891"/>
      <c r="H2167" s="1088"/>
      <c r="I2167" s="1088"/>
      <c r="J2167" s="1088"/>
      <c r="K2167" s="1088"/>
    </row>
    <row r="2168" spans="3:11" ht="12" customHeight="1">
      <c r="C2168" s="891"/>
      <c r="D2168" s="891"/>
      <c r="E2168" s="891"/>
      <c r="F2168" s="891"/>
      <c r="G2168" s="891"/>
      <c r="H2168" s="1088"/>
      <c r="I2168" s="1088"/>
      <c r="J2168" s="1088"/>
      <c r="K2168" s="1088"/>
    </row>
    <row r="2169" spans="3:11" ht="12" customHeight="1">
      <c r="C2169" s="891"/>
      <c r="D2169" s="891"/>
      <c r="E2169" s="891"/>
      <c r="F2169" s="891"/>
      <c r="G2169" s="891"/>
      <c r="H2169" s="1088"/>
      <c r="I2169" s="1088"/>
      <c r="J2169" s="1088"/>
      <c r="K2169" s="1088"/>
    </row>
    <row r="2170" spans="3:11" ht="12" customHeight="1">
      <c r="C2170" s="891"/>
      <c r="D2170" s="891"/>
      <c r="E2170" s="891"/>
      <c r="F2170" s="891"/>
      <c r="G2170" s="891"/>
      <c r="H2170" s="1088"/>
      <c r="I2170" s="1088"/>
      <c r="J2170" s="1088"/>
      <c r="K2170" s="1088"/>
    </row>
    <row r="2171" spans="3:11" ht="12" customHeight="1">
      <c r="C2171" s="891"/>
      <c r="D2171" s="891"/>
      <c r="E2171" s="891"/>
      <c r="F2171" s="891"/>
      <c r="G2171" s="891"/>
      <c r="H2171" s="1088"/>
      <c r="I2171" s="1088"/>
      <c r="J2171" s="1088"/>
      <c r="K2171" s="1088"/>
    </row>
    <row r="2172" spans="3:11" ht="12" customHeight="1">
      <c r="C2172" s="891"/>
      <c r="D2172" s="891"/>
      <c r="E2172" s="891"/>
      <c r="F2172" s="891"/>
      <c r="G2172" s="891"/>
      <c r="H2172" s="1088"/>
      <c r="I2172" s="1088"/>
      <c r="J2172" s="1088"/>
      <c r="K2172" s="1088"/>
    </row>
    <row r="2173" spans="3:11" ht="12" customHeight="1">
      <c r="C2173" s="891"/>
      <c r="D2173" s="891"/>
      <c r="E2173" s="891"/>
      <c r="F2173" s="891"/>
      <c r="G2173" s="891"/>
      <c r="H2173" s="1088"/>
      <c r="I2173" s="1088"/>
      <c r="J2173" s="1088"/>
      <c r="K2173" s="1088"/>
    </row>
    <row r="2174" spans="3:11" ht="12" customHeight="1">
      <c r="C2174" s="891"/>
      <c r="D2174" s="891"/>
      <c r="E2174" s="891"/>
      <c r="F2174" s="891"/>
      <c r="G2174" s="891"/>
      <c r="H2174" s="1088"/>
      <c r="I2174" s="1088"/>
      <c r="J2174" s="1088"/>
      <c r="K2174" s="1088"/>
    </row>
    <row r="2175" spans="3:11" ht="12" customHeight="1">
      <c r="C2175" s="891"/>
      <c r="D2175" s="891"/>
      <c r="E2175" s="891"/>
      <c r="F2175" s="891"/>
      <c r="G2175" s="891"/>
      <c r="H2175" s="1088"/>
      <c r="I2175" s="1088"/>
      <c r="J2175" s="1088"/>
      <c r="K2175" s="1088"/>
    </row>
    <row r="2176" spans="3:11" ht="12" customHeight="1">
      <c r="C2176" s="891"/>
      <c r="D2176" s="891"/>
      <c r="E2176" s="891"/>
      <c r="F2176" s="891"/>
      <c r="G2176" s="891"/>
      <c r="H2176" s="1088"/>
      <c r="I2176" s="1088"/>
      <c r="J2176" s="1088"/>
      <c r="K2176" s="1088"/>
    </row>
    <row r="2177" spans="3:11" ht="12" customHeight="1">
      <c r="C2177" s="891"/>
      <c r="D2177" s="891"/>
      <c r="E2177" s="891"/>
      <c r="F2177" s="891"/>
      <c r="G2177" s="891"/>
      <c r="H2177" s="1088"/>
      <c r="I2177" s="1088"/>
      <c r="J2177" s="1088"/>
      <c r="K2177" s="1088"/>
    </row>
    <row r="2178" spans="3:11" ht="12" customHeight="1">
      <c r="C2178" s="891"/>
      <c r="D2178" s="891"/>
      <c r="E2178" s="891"/>
      <c r="F2178" s="891"/>
      <c r="G2178" s="891"/>
      <c r="H2178" s="1088"/>
      <c r="I2178" s="1088"/>
      <c r="J2178" s="1088"/>
      <c r="K2178" s="1088"/>
    </row>
    <row r="2179" spans="3:11" ht="12" customHeight="1">
      <c r="C2179" s="891"/>
      <c r="D2179" s="891"/>
      <c r="E2179" s="891"/>
      <c r="F2179" s="891"/>
      <c r="G2179" s="891"/>
      <c r="H2179" s="1088"/>
      <c r="I2179" s="1088"/>
      <c r="J2179" s="1088"/>
      <c r="K2179" s="1088"/>
    </row>
    <row r="2180" spans="3:11" ht="12" customHeight="1">
      <c r="C2180" s="891"/>
      <c r="D2180" s="891"/>
      <c r="E2180" s="891"/>
      <c r="F2180" s="891"/>
      <c r="G2180" s="891"/>
      <c r="H2180" s="1088"/>
      <c r="I2180" s="1088"/>
      <c r="J2180" s="1088"/>
      <c r="K2180" s="1088"/>
    </row>
    <row r="2181" spans="3:11" ht="12" customHeight="1">
      <c r="C2181" s="891"/>
      <c r="D2181" s="891"/>
      <c r="E2181" s="891"/>
      <c r="F2181" s="891"/>
      <c r="G2181" s="891"/>
      <c r="H2181" s="1088"/>
      <c r="I2181" s="1088"/>
      <c r="J2181" s="1088"/>
      <c r="K2181" s="1088"/>
    </row>
    <row r="2182" spans="3:11" ht="12" customHeight="1">
      <c r="C2182" s="891"/>
      <c r="D2182" s="891"/>
      <c r="E2182" s="891"/>
      <c r="F2182" s="891"/>
      <c r="G2182" s="891"/>
      <c r="H2182" s="1088"/>
      <c r="I2182" s="1088"/>
      <c r="J2182" s="1088"/>
      <c r="K2182" s="1088"/>
    </row>
    <row r="2183" spans="3:11" ht="12" customHeight="1">
      <c r="C2183" s="891"/>
      <c r="D2183" s="891"/>
      <c r="E2183" s="891"/>
      <c r="F2183" s="891"/>
      <c r="G2183" s="891"/>
      <c r="H2183" s="1088"/>
      <c r="I2183" s="1088"/>
      <c r="J2183" s="1088"/>
      <c r="K2183" s="1088"/>
    </row>
    <row r="2184" spans="3:11" ht="12" customHeight="1">
      <c r="C2184" s="891"/>
      <c r="D2184" s="891"/>
      <c r="E2184" s="891"/>
      <c r="F2184" s="891"/>
      <c r="G2184" s="891"/>
      <c r="H2184" s="1088"/>
      <c r="I2184" s="1088"/>
      <c r="J2184" s="1088"/>
      <c r="K2184" s="1088"/>
    </row>
    <row r="2185" spans="3:11" ht="12" customHeight="1">
      <c r="C2185" s="891"/>
      <c r="D2185" s="891"/>
      <c r="E2185" s="891"/>
      <c r="F2185" s="891"/>
      <c r="G2185" s="891"/>
      <c r="H2185" s="1088"/>
      <c r="I2185" s="1088"/>
      <c r="J2185" s="1088"/>
      <c r="K2185" s="1088"/>
    </row>
    <row r="2186" spans="3:11" ht="12" customHeight="1">
      <c r="C2186" s="891"/>
      <c r="D2186" s="891"/>
      <c r="E2186" s="891"/>
      <c r="F2186" s="891"/>
      <c r="G2186" s="891"/>
      <c r="H2186" s="1088"/>
      <c r="I2186" s="1088"/>
      <c r="J2186" s="1088"/>
      <c r="K2186" s="1088"/>
    </row>
    <row r="2187" spans="3:11" ht="12" customHeight="1">
      <c r="C2187" s="891"/>
      <c r="D2187" s="891"/>
      <c r="E2187" s="891"/>
      <c r="F2187" s="891"/>
      <c r="G2187" s="891"/>
      <c r="H2187" s="1088"/>
      <c r="I2187" s="1088"/>
      <c r="J2187" s="1088"/>
      <c r="K2187" s="1088"/>
    </row>
    <row r="2188" spans="3:11" ht="12" customHeight="1">
      <c r="C2188" s="891"/>
      <c r="D2188" s="891"/>
      <c r="E2188" s="891"/>
      <c r="F2188" s="891"/>
      <c r="G2188" s="891"/>
      <c r="H2188" s="1088"/>
      <c r="I2188" s="1088"/>
      <c r="J2188" s="1088"/>
      <c r="K2188" s="1088"/>
    </row>
    <row r="2189" spans="3:11" ht="12" customHeight="1">
      <c r="C2189" s="891"/>
      <c r="D2189" s="891"/>
      <c r="E2189" s="891"/>
      <c r="F2189" s="891"/>
      <c r="G2189" s="891"/>
      <c r="H2189" s="1088"/>
      <c r="I2189" s="1088"/>
      <c r="J2189" s="1088"/>
      <c r="K2189" s="1088"/>
    </row>
    <row r="2190" spans="3:11" ht="12" customHeight="1">
      <c r="C2190" s="891"/>
      <c r="D2190" s="891"/>
      <c r="E2190" s="891"/>
      <c r="F2190" s="891"/>
      <c r="G2190" s="891"/>
      <c r="H2190" s="1088"/>
      <c r="I2190" s="1088"/>
      <c r="J2190" s="1088"/>
      <c r="K2190" s="1088"/>
    </row>
    <row r="2191" spans="3:11" ht="12" customHeight="1">
      <c r="C2191" s="891"/>
      <c r="D2191" s="891"/>
      <c r="E2191" s="891"/>
      <c r="F2191" s="891"/>
      <c r="G2191" s="891"/>
      <c r="H2191" s="1088"/>
      <c r="I2191" s="1088"/>
      <c r="J2191" s="1088"/>
      <c r="K2191" s="1088"/>
    </row>
    <row r="2192" spans="3:11" ht="12" customHeight="1">
      <c r="C2192" s="891"/>
      <c r="D2192" s="891"/>
      <c r="E2192" s="891"/>
      <c r="F2192" s="891"/>
      <c r="G2192" s="891"/>
      <c r="H2192" s="1088"/>
      <c r="I2192" s="1088"/>
      <c r="J2192" s="1088"/>
      <c r="K2192" s="1088"/>
    </row>
    <row r="2193" spans="3:11" ht="12" customHeight="1">
      <c r="C2193" s="891"/>
      <c r="D2193" s="891"/>
      <c r="E2193" s="891"/>
      <c r="F2193" s="891"/>
      <c r="G2193" s="891"/>
      <c r="H2193" s="1088"/>
      <c r="I2193" s="1088"/>
      <c r="J2193" s="1088"/>
      <c r="K2193" s="1088"/>
    </row>
    <row r="2194" spans="3:11" ht="12" customHeight="1">
      <c r="C2194" s="891"/>
      <c r="D2194" s="891"/>
      <c r="E2194" s="891"/>
      <c r="F2194" s="891"/>
      <c r="G2194" s="891"/>
      <c r="H2194" s="1088"/>
      <c r="I2194" s="1088"/>
      <c r="J2194" s="1088"/>
      <c r="K2194" s="1088"/>
    </row>
    <row r="2195" spans="3:11" ht="12" customHeight="1">
      <c r="C2195" s="891"/>
      <c r="D2195" s="891"/>
      <c r="E2195" s="891"/>
      <c r="F2195" s="891"/>
      <c r="G2195" s="891"/>
      <c r="H2195" s="1088"/>
      <c r="I2195" s="1088"/>
      <c r="J2195" s="1088"/>
      <c r="K2195" s="1088"/>
    </row>
    <row r="2196" spans="3:11" ht="12" customHeight="1">
      <c r="C2196" s="891"/>
      <c r="D2196" s="891"/>
      <c r="E2196" s="891"/>
      <c r="F2196" s="891"/>
      <c r="G2196" s="891"/>
      <c r="H2196" s="1088"/>
      <c r="I2196" s="1088"/>
      <c r="J2196" s="1088"/>
      <c r="K2196" s="1088"/>
    </row>
    <row r="2197" spans="3:11" ht="12" customHeight="1">
      <c r="C2197" s="891"/>
      <c r="D2197" s="891"/>
      <c r="E2197" s="891"/>
      <c r="F2197" s="891"/>
      <c r="G2197" s="891"/>
      <c r="H2197" s="1088"/>
      <c r="I2197" s="1088"/>
      <c r="J2197" s="1088"/>
      <c r="K2197" s="1088"/>
    </row>
    <row r="2198" spans="3:11" ht="12" customHeight="1">
      <c r="C2198" s="891"/>
      <c r="D2198" s="891"/>
      <c r="E2198" s="891"/>
      <c r="F2198" s="891"/>
      <c r="G2198" s="891"/>
      <c r="H2198" s="1088"/>
      <c r="I2198" s="1088"/>
      <c r="J2198" s="1088"/>
      <c r="K2198" s="1088"/>
    </row>
    <row r="2199" spans="3:11" ht="12" customHeight="1">
      <c r="C2199" s="891"/>
      <c r="D2199" s="891"/>
      <c r="E2199" s="891"/>
      <c r="F2199" s="891"/>
      <c r="G2199" s="891"/>
      <c r="H2199" s="1088"/>
      <c r="I2199" s="1088"/>
      <c r="J2199" s="1088"/>
      <c r="K2199" s="1088"/>
    </row>
    <row r="2200" spans="3:11" ht="12" customHeight="1">
      <c r="C2200" s="891"/>
      <c r="D2200" s="891"/>
      <c r="E2200" s="891"/>
      <c r="F2200" s="891"/>
      <c r="G2200" s="891"/>
      <c r="H2200" s="1088"/>
      <c r="I2200" s="1088"/>
      <c r="J2200" s="1088"/>
      <c r="K2200" s="1088"/>
    </row>
    <row r="2201" spans="3:11" ht="12" customHeight="1">
      <c r="C2201" s="891"/>
      <c r="D2201" s="891"/>
      <c r="E2201" s="891"/>
      <c r="F2201" s="891"/>
      <c r="G2201" s="891"/>
      <c r="H2201" s="1088"/>
      <c r="I2201" s="1088"/>
      <c r="J2201" s="1088"/>
      <c r="K2201" s="1088"/>
    </row>
    <row r="2202" spans="3:11" ht="12" customHeight="1">
      <c r="C2202" s="891"/>
      <c r="D2202" s="891"/>
      <c r="E2202" s="891"/>
      <c r="F2202" s="891"/>
      <c r="G2202" s="891"/>
      <c r="H2202" s="1088"/>
      <c r="I2202" s="1088"/>
      <c r="J2202" s="1088"/>
      <c r="K2202" s="1088"/>
    </row>
    <row r="2203" spans="3:11" ht="12" customHeight="1">
      <c r="C2203" s="891"/>
      <c r="D2203" s="891"/>
      <c r="E2203" s="891"/>
      <c r="F2203" s="891"/>
      <c r="G2203" s="891"/>
      <c r="H2203" s="1088"/>
      <c r="I2203" s="1088"/>
      <c r="J2203" s="1088"/>
      <c r="K2203" s="1088"/>
    </row>
    <row r="2204" spans="3:11" ht="12" customHeight="1">
      <c r="C2204" s="891"/>
      <c r="D2204" s="891"/>
      <c r="E2204" s="891"/>
      <c r="F2204" s="891"/>
      <c r="G2204" s="891"/>
      <c r="H2204" s="1088"/>
      <c r="I2204" s="1088"/>
      <c r="J2204" s="1088"/>
      <c r="K2204" s="1088"/>
    </row>
    <row r="2205" spans="3:11" ht="12" customHeight="1">
      <c r="C2205" s="891"/>
      <c r="D2205" s="891"/>
      <c r="E2205" s="891"/>
      <c r="F2205" s="891"/>
      <c r="G2205" s="891"/>
      <c r="H2205" s="1088"/>
      <c r="I2205" s="1088"/>
      <c r="J2205" s="1088"/>
      <c r="K2205" s="1088"/>
    </row>
    <row r="2206" spans="3:11" ht="12" customHeight="1">
      <c r="C2206" s="891"/>
      <c r="D2206" s="891"/>
      <c r="E2206" s="891"/>
      <c r="F2206" s="891"/>
      <c r="G2206" s="891"/>
      <c r="H2206" s="1088"/>
      <c r="I2206" s="1088"/>
      <c r="J2206" s="1088"/>
      <c r="K2206" s="1088"/>
    </row>
    <row r="2207" spans="3:11" ht="12" customHeight="1">
      <c r="C2207" s="891"/>
      <c r="D2207" s="891"/>
      <c r="E2207" s="891"/>
      <c r="F2207" s="891"/>
      <c r="G2207" s="891"/>
      <c r="H2207" s="1088"/>
      <c r="I2207" s="1088"/>
      <c r="J2207" s="1088"/>
      <c r="K2207" s="1088"/>
    </row>
    <row r="2208" spans="3:11" ht="12" customHeight="1">
      <c r="C2208" s="891"/>
      <c r="D2208" s="891"/>
      <c r="E2208" s="891"/>
      <c r="F2208" s="891"/>
      <c r="G2208" s="891"/>
      <c r="H2208" s="1088"/>
      <c r="I2208" s="1088"/>
      <c r="J2208" s="1088"/>
      <c r="K2208" s="1088"/>
    </row>
    <row r="2209" spans="3:11" ht="12" customHeight="1">
      <c r="C2209" s="891"/>
      <c r="D2209" s="891"/>
      <c r="E2209" s="891"/>
      <c r="F2209" s="891"/>
      <c r="G2209" s="891"/>
      <c r="H2209" s="1088"/>
      <c r="I2209" s="1088"/>
      <c r="J2209" s="1088"/>
      <c r="K2209" s="1088"/>
    </row>
    <row r="2210" spans="3:11" ht="12" customHeight="1">
      <c r="C2210" s="891"/>
      <c r="D2210" s="891"/>
      <c r="E2210" s="891"/>
      <c r="F2210" s="891"/>
      <c r="G2210" s="891"/>
      <c r="H2210" s="1088"/>
      <c r="I2210" s="1088"/>
      <c r="J2210" s="1088"/>
      <c r="K2210" s="1088"/>
    </row>
    <row r="2211" spans="3:11" ht="12" customHeight="1">
      <c r="C2211" s="891"/>
      <c r="D2211" s="891"/>
      <c r="E2211" s="891"/>
      <c r="F2211" s="891"/>
      <c r="G2211" s="891"/>
      <c r="H2211" s="1088"/>
      <c r="I2211" s="1088"/>
      <c r="J2211" s="1088"/>
      <c r="K2211" s="1088"/>
    </row>
    <row r="2212" spans="3:11" ht="12" customHeight="1">
      <c r="C2212" s="891"/>
      <c r="D2212" s="891"/>
      <c r="E2212" s="891"/>
      <c r="F2212" s="891"/>
      <c r="G2212" s="891"/>
      <c r="H2212" s="1088"/>
      <c r="I2212" s="1088"/>
      <c r="J2212" s="1088"/>
      <c r="K2212" s="1088"/>
    </row>
    <row r="2213" spans="3:11" ht="12" customHeight="1">
      <c r="C2213" s="891"/>
      <c r="D2213" s="891"/>
      <c r="E2213" s="891"/>
      <c r="F2213" s="891"/>
      <c r="G2213" s="891"/>
      <c r="H2213" s="1088"/>
      <c r="I2213" s="1088"/>
      <c r="J2213" s="1088"/>
      <c r="K2213" s="1088"/>
    </row>
    <row r="2214" spans="3:11" ht="12" customHeight="1">
      <c r="C2214" s="891"/>
      <c r="D2214" s="891"/>
      <c r="E2214" s="891"/>
      <c r="F2214" s="891"/>
      <c r="G2214" s="891"/>
      <c r="H2214" s="1088"/>
      <c r="I2214" s="1088"/>
      <c r="J2214" s="1088"/>
      <c r="K2214" s="1088"/>
    </row>
    <row r="2215" spans="3:11" ht="12" customHeight="1">
      <c r="C2215" s="891"/>
      <c r="D2215" s="891"/>
      <c r="E2215" s="891"/>
      <c r="F2215" s="891"/>
      <c r="G2215" s="891"/>
      <c r="H2215" s="1088"/>
      <c r="I2215" s="1088"/>
      <c r="J2215" s="1088"/>
      <c r="K2215" s="1088"/>
    </row>
    <row r="2216" spans="3:11" ht="12" customHeight="1">
      <c r="C2216" s="891"/>
      <c r="D2216" s="891"/>
      <c r="E2216" s="891"/>
      <c r="F2216" s="891"/>
      <c r="G2216" s="891"/>
      <c r="H2216" s="1088"/>
      <c r="I2216" s="1088"/>
      <c r="J2216" s="1088"/>
      <c r="K2216" s="1088"/>
    </row>
    <row r="2217" spans="3:11" ht="12" customHeight="1">
      <c r="C2217" s="891"/>
      <c r="D2217" s="891"/>
      <c r="E2217" s="891"/>
      <c r="F2217" s="891"/>
      <c r="G2217" s="891"/>
      <c r="H2217" s="1088"/>
      <c r="I2217" s="1088"/>
      <c r="J2217" s="1088"/>
      <c r="K2217" s="1088"/>
    </row>
    <row r="2218" spans="3:11" ht="12" customHeight="1">
      <c r="C2218" s="891"/>
      <c r="D2218" s="891"/>
      <c r="E2218" s="891"/>
      <c r="F2218" s="891"/>
      <c r="G2218" s="891"/>
      <c r="H2218" s="1088"/>
      <c r="I2218" s="1088"/>
      <c r="J2218" s="1088"/>
      <c r="K2218" s="1088"/>
    </row>
    <row r="2219" spans="3:11" ht="12" customHeight="1">
      <c r="C2219" s="891"/>
      <c r="D2219" s="891"/>
      <c r="E2219" s="891"/>
      <c r="F2219" s="891"/>
      <c r="G2219" s="891"/>
      <c r="H2219" s="1088"/>
      <c r="I2219" s="1088"/>
      <c r="J2219" s="1088"/>
      <c r="K2219" s="1088"/>
    </row>
    <row r="2220" spans="3:11" ht="12" customHeight="1">
      <c r="C2220" s="891"/>
      <c r="D2220" s="891"/>
      <c r="E2220" s="891"/>
      <c r="F2220" s="891"/>
      <c r="G2220" s="891"/>
      <c r="H2220" s="1088"/>
      <c r="I2220" s="1088"/>
      <c r="J2220" s="1088"/>
      <c r="K2220" s="1088"/>
    </row>
    <row r="2221" spans="3:11" ht="12" customHeight="1">
      <c r="C2221" s="891"/>
      <c r="D2221" s="891"/>
      <c r="E2221" s="891"/>
      <c r="F2221" s="891"/>
      <c r="G2221" s="891"/>
      <c r="H2221" s="1088"/>
      <c r="I2221" s="1088"/>
      <c r="J2221" s="1088"/>
      <c r="K2221" s="1088"/>
    </row>
    <row r="2222" spans="3:11" ht="12" customHeight="1">
      <c r="C2222" s="891"/>
      <c r="D2222" s="891"/>
      <c r="E2222" s="891"/>
      <c r="F2222" s="891"/>
      <c r="G2222" s="891"/>
      <c r="H2222" s="1088"/>
      <c r="I2222" s="1088"/>
      <c r="J2222" s="1088"/>
      <c r="K2222" s="1088"/>
    </row>
    <row r="2223" spans="3:11" ht="12" customHeight="1">
      <c r="C2223" s="891"/>
      <c r="D2223" s="891"/>
      <c r="E2223" s="891"/>
      <c r="F2223" s="891"/>
      <c r="G2223" s="891"/>
      <c r="H2223" s="1088"/>
      <c r="I2223" s="1088"/>
      <c r="J2223" s="1088"/>
      <c r="K2223" s="1088"/>
    </row>
    <row r="2224" spans="3:11" ht="12" customHeight="1">
      <c r="C2224" s="891"/>
      <c r="D2224" s="891"/>
      <c r="E2224" s="891"/>
      <c r="F2224" s="891"/>
      <c r="G2224" s="891"/>
      <c r="H2224" s="1088"/>
      <c r="I2224" s="1088"/>
      <c r="J2224" s="1088"/>
      <c r="K2224" s="1088"/>
    </row>
    <row r="2225" spans="3:11" ht="12" customHeight="1">
      <c r="C2225" s="891"/>
      <c r="D2225" s="891"/>
      <c r="E2225" s="891"/>
      <c r="F2225" s="891"/>
      <c r="G2225" s="891"/>
      <c r="H2225" s="1088"/>
      <c r="I2225" s="1088"/>
      <c r="J2225" s="1088"/>
      <c r="K2225" s="1088"/>
    </row>
    <row r="2226" spans="3:11" ht="12" customHeight="1">
      <c r="C2226" s="891"/>
      <c r="D2226" s="891"/>
      <c r="E2226" s="891"/>
      <c r="F2226" s="891"/>
      <c r="G2226" s="891"/>
      <c r="H2226" s="1088"/>
      <c r="I2226" s="1088"/>
      <c r="J2226" s="1088"/>
      <c r="K2226" s="1088"/>
    </row>
    <row r="2227" spans="3:11" ht="12" customHeight="1">
      <c r="C2227" s="891"/>
      <c r="D2227" s="891"/>
      <c r="E2227" s="891"/>
      <c r="F2227" s="891"/>
      <c r="G2227" s="891"/>
      <c r="H2227" s="1088"/>
      <c r="I2227" s="1088"/>
      <c r="J2227" s="1088"/>
      <c r="K2227" s="1088"/>
    </row>
    <row r="2228" spans="3:11" ht="12" customHeight="1">
      <c r="C2228" s="891"/>
      <c r="D2228" s="891"/>
      <c r="E2228" s="891"/>
      <c r="F2228" s="891"/>
      <c r="G2228" s="891"/>
      <c r="H2228" s="1088"/>
      <c r="I2228" s="1088"/>
      <c r="J2228" s="1088"/>
      <c r="K2228" s="1088"/>
    </row>
    <row r="2229" spans="3:11" ht="12" customHeight="1">
      <c r="C2229" s="891"/>
      <c r="D2229" s="891"/>
      <c r="E2229" s="891"/>
      <c r="F2229" s="891"/>
      <c r="G2229" s="891"/>
      <c r="H2229" s="1088"/>
      <c r="I2229" s="1088"/>
      <c r="J2229" s="1088"/>
      <c r="K2229" s="1088"/>
    </row>
    <row r="2230" spans="3:11" ht="12" customHeight="1">
      <c r="C2230" s="891"/>
      <c r="D2230" s="891"/>
      <c r="E2230" s="891"/>
      <c r="F2230" s="891"/>
      <c r="G2230" s="891"/>
      <c r="H2230" s="1088"/>
      <c r="I2230" s="1088"/>
      <c r="J2230" s="1088"/>
      <c r="K2230" s="1088"/>
    </row>
    <row r="2231" spans="3:11" ht="12" customHeight="1">
      <c r="C2231" s="891"/>
      <c r="D2231" s="891"/>
      <c r="E2231" s="891"/>
      <c r="F2231" s="891"/>
      <c r="G2231" s="891"/>
      <c r="H2231" s="1088"/>
      <c r="I2231" s="1088"/>
      <c r="J2231" s="1088"/>
      <c r="K2231" s="1088"/>
    </row>
    <row r="2232" spans="3:11" ht="12" customHeight="1">
      <c r="C2232" s="891"/>
      <c r="D2232" s="891"/>
      <c r="E2232" s="891"/>
      <c r="F2232" s="891"/>
      <c r="G2232" s="891"/>
      <c r="H2232" s="1088"/>
      <c r="I2232" s="1088"/>
      <c r="J2232" s="1088"/>
      <c r="K2232" s="1088"/>
    </row>
    <row r="2233" spans="3:11" ht="12" customHeight="1">
      <c r="C2233" s="891"/>
      <c r="D2233" s="891"/>
      <c r="E2233" s="891"/>
      <c r="F2233" s="891"/>
      <c r="G2233" s="891"/>
      <c r="H2233" s="1088"/>
      <c r="I2233" s="1088"/>
      <c r="J2233" s="1088"/>
      <c r="K2233" s="1088"/>
    </row>
    <row r="2234" spans="3:11" ht="12" customHeight="1">
      <c r="C2234" s="891"/>
      <c r="D2234" s="891"/>
      <c r="E2234" s="891"/>
      <c r="F2234" s="891"/>
      <c r="G2234" s="891"/>
      <c r="H2234" s="1088"/>
      <c r="I2234" s="1088"/>
      <c r="J2234" s="1088"/>
      <c r="K2234" s="1088"/>
    </row>
    <row r="2235" spans="3:11" ht="12" customHeight="1">
      <c r="C2235" s="891"/>
      <c r="D2235" s="891"/>
      <c r="E2235" s="891"/>
      <c r="F2235" s="891"/>
      <c r="G2235" s="891"/>
      <c r="H2235" s="1088"/>
      <c r="I2235" s="1088"/>
      <c r="J2235" s="1088"/>
      <c r="K2235" s="1088"/>
    </row>
    <row r="2236" spans="3:11" ht="12" customHeight="1">
      <c r="C2236" s="891"/>
      <c r="D2236" s="891"/>
      <c r="E2236" s="891"/>
      <c r="F2236" s="891"/>
      <c r="G2236" s="891"/>
      <c r="H2236" s="1088"/>
      <c r="I2236" s="1088"/>
      <c r="J2236" s="1088"/>
      <c r="K2236" s="1088"/>
    </row>
    <row r="2237" spans="3:11" ht="12" customHeight="1">
      <c r="C2237" s="891"/>
      <c r="D2237" s="891"/>
      <c r="E2237" s="891"/>
      <c r="F2237" s="891"/>
      <c r="G2237" s="891"/>
      <c r="H2237" s="1088"/>
      <c r="I2237" s="1088"/>
      <c r="J2237" s="1088"/>
      <c r="K2237" s="1088"/>
    </row>
    <row r="2238" spans="3:11" ht="12" customHeight="1">
      <c r="C2238" s="891"/>
      <c r="D2238" s="891"/>
      <c r="E2238" s="891"/>
      <c r="F2238" s="891"/>
      <c r="G2238" s="891"/>
      <c r="H2238" s="1088"/>
      <c r="I2238" s="1088"/>
      <c r="J2238" s="1088"/>
      <c r="K2238" s="1088"/>
    </row>
    <row r="2239" spans="3:11" ht="12" customHeight="1">
      <c r="C2239" s="891"/>
      <c r="D2239" s="891"/>
      <c r="E2239" s="891"/>
      <c r="F2239" s="891"/>
      <c r="G2239" s="891"/>
      <c r="H2239" s="1088"/>
      <c r="I2239" s="1088"/>
      <c r="J2239" s="1088"/>
      <c r="K2239" s="1088"/>
    </row>
    <row r="2240" spans="3:11" ht="12" customHeight="1">
      <c r="C2240" s="891"/>
      <c r="D2240" s="891"/>
      <c r="E2240" s="891"/>
      <c r="F2240" s="891"/>
      <c r="G2240" s="891"/>
      <c r="H2240" s="1088"/>
      <c r="I2240" s="1088"/>
      <c r="J2240" s="1088"/>
      <c r="K2240" s="1088"/>
    </row>
    <row r="2241" spans="3:11" ht="12" customHeight="1">
      <c r="C2241" s="891"/>
      <c r="D2241" s="891"/>
      <c r="E2241" s="891"/>
      <c r="F2241" s="891"/>
      <c r="G2241" s="891"/>
      <c r="H2241" s="1088"/>
      <c r="I2241" s="1088"/>
      <c r="J2241" s="1088"/>
      <c r="K2241" s="1088"/>
    </row>
    <row r="2242" spans="3:11" ht="12" customHeight="1">
      <c r="C2242" s="891"/>
      <c r="D2242" s="891"/>
      <c r="E2242" s="891"/>
      <c r="F2242" s="891"/>
      <c r="G2242" s="891"/>
      <c r="H2242" s="1088"/>
      <c r="I2242" s="1088"/>
      <c r="J2242" s="1088"/>
      <c r="K2242" s="1088"/>
    </row>
    <row r="2243" spans="3:11" ht="12" customHeight="1">
      <c r="C2243" s="891"/>
      <c r="D2243" s="891"/>
      <c r="E2243" s="891"/>
      <c r="F2243" s="891"/>
      <c r="G2243" s="891"/>
      <c r="H2243" s="1088"/>
      <c r="I2243" s="1088"/>
      <c r="J2243" s="1088"/>
      <c r="K2243" s="1088"/>
    </row>
    <row r="2244" spans="3:11" ht="12" customHeight="1">
      <c r="C2244" s="891"/>
      <c r="D2244" s="891"/>
      <c r="E2244" s="891"/>
      <c r="F2244" s="891"/>
      <c r="G2244" s="891"/>
      <c r="H2244" s="1088"/>
      <c r="I2244" s="1088"/>
      <c r="J2244" s="1088"/>
      <c r="K2244" s="1088"/>
    </row>
    <row r="2245" spans="3:11" ht="12" customHeight="1">
      <c r="C2245" s="891"/>
      <c r="D2245" s="891"/>
      <c r="E2245" s="891"/>
      <c r="F2245" s="891"/>
      <c r="G2245" s="891"/>
      <c r="H2245" s="1088"/>
      <c r="I2245" s="1088"/>
      <c r="J2245" s="1088"/>
      <c r="K2245" s="1088"/>
    </row>
    <row r="2246" spans="3:11" ht="12" customHeight="1">
      <c r="C2246" s="891"/>
      <c r="D2246" s="891"/>
      <c r="E2246" s="891"/>
      <c r="F2246" s="891"/>
      <c r="G2246" s="891"/>
      <c r="H2246" s="1088"/>
      <c r="I2246" s="1088"/>
      <c r="J2246" s="1088"/>
      <c r="K2246" s="1088"/>
    </row>
    <row r="2247" spans="3:11" ht="12" customHeight="1">
      <c r="C2247" s="891"/>
      <c r="D2247" s="891"/>
      <c r="E2247" s="891"/>
      <c r="F2247" s="891"/>
      <c r="G2247" s="891"/>
      <c r="H2247" s="1088"/>
      <c r="I2247" s="1088"/>
      <c r="J2247" s="1088"/>
      <c r="K2247" s="1088"/>
    </row>
    <row r="2248" spans="3:11" ht="12" customHeight="1">
      <c r="C2248" s="891"/>
      <c r="D2248" s="891"/>
      <c r="E2248" s="891"/>
      <c r="F2248" s="891"/>
      <c r="G2248" s="891"/>
      <c r="H2248" s="1088"/>
      <c r="I2248" s="1088"/>
      <c r="J2248" s="1088"/>
      <c r="K2248" s="1088"/>
    </row>
    <row r="2249" spans="3:11" ht="12" customHeight="1">
      <c r="C2249" s="891"/>
      <c r="D2249" s="891"/>
      <c r="E2249" s="891"/>
      <c r="F2249" s="891"/>
      <c r="G2249" s="891"/>
      <c r="H2249" s="1088"/>
      <c r="I2249" s="1088"/>
      <c r="J2249" s="1088"/>
      <c r="K2249" s="1088"/>
    </row>
    <row r="2250" spans="3:11" ht="12" customHeight="1">
      <c r="C2250" s="891"/>
      <c r="D2250" s="891"/>
      <c r="E2250" s="891"/>
      <c r="F2250" s="891"/>
      <c r="G2250" s="891"/>
      <c r="H2250" s="1088"/>
      <c r="I2250" s="1088"/>
      <c r="J2250" s="1088"/>
      <c r="K2250" s="1088"/>
    </row>
    <row r="2251" spans="3:11" ht="12" customHeight="1">
      <c r="C2251" s="891"/>
      <c r="D2251" s="891"/>
      <c r="E2251" s="891"/>
      <c r="F2251" s="891"/>
      <c r="G2251" s="891"/>
      <c r="H2251" s="1088"/>
      <c r="I2251" s="1088"/>
      <c r="J2251" s="1088"/>
      <c r="K2251" s="1088"/>
    </row>
    <row r="2252" spans="3:11" ht="12" customHeight="1">
      <c r="C2252" s="891"/>
      <c r="D2252" s="891"/>
      <c r="E2252" s="891"/>
      <c r="F2252" s="891"/>
      <c r="G2252" s="891"/>
      <c r="H2252" s="1088"/>
      <c r="I2252" s="1088"/>
      <c r="J2252" s="1088"/>
      <c r="K2252" s="1088"/>
    </row>
    <row r="2253" spans="3:11" ht="12" customHeight="1">
      <c r="C2253" s="891"/>
      <c r="D2253" s="891"/>
      <c r="E2253" s="891"/>
      <c r="F2253" s="891"/>
      <c r="G2253" s="891"/>
      <c r="H2253" s="1088"/>
      <c r="I2253" s="1088"/>
      <c r="J2253" s="1088"/>
      <c r="K2253" s="1088"/>
    </row>
    <row r="2254" spans="3:11" ht="12" customHeight="1">
      <c r="C2254" s="891"/>
      <c r="D2254" s="891"/>
      <c r="E2254" s="891"/>
      <c r="F2254" s="891"/>
      <c r="G2254" s="891"/>
      <c r="H2254" s="1088"/>
      <c r="I2254" s="1088"/>
      <c r="J2254" s="1088"/>
      <c r="K2254" s="1088"/>
    </row>
    <row r="2255" spans="3:11" ht="12" customHeight="1">
      <c r="C2255" s="891"/>
      <c r="D2255" s="891"/>
      <c r="E2255" s="891"/>
      <c r="F2255" s="891"/>
      <c r="G2255" s="891"/>
      <c r="H2255" s="1088"/>
      <c r="I2255" s="1088"/>
      <c r="J2255" s="1088"/>
      <c r="K2255" s="1088"/>
    </row>
    <row r="2256" spans="3:11" ht="12" customHeight="1">
      <c r="C2256" s="891"/>
      <c r="D2256" s="891"/>
      <c r="E2256" s="891"/>
      <c r="F2256" s="891"/>
      <c r="G2256" s="891"/>
      <c r="H2256" s="1088"/>
      <c r="I2256" s="1088"/>
      <c r="J2256" s="1088"/>
      <c r="K2256" s="1088"/>
    </row>
    <row r="2257" spans="3:11" ht="12" customHeight="1">
      <c r="C2257" s="891"/>
      <c r="D2257" s="891"/>
      <c r="E2257" s="891"/>
      <c r="F2257" s="891"/>
      <c r="G2257" s="891"/>
      <c r="H2257" s="1088"/>
      <c r="I2257" s="1088"/>
      <c r="J2257" s="1088"/>
      <c r="K2257" s="1088"/>
    </row>
    <row r="2258" spans="3:11" ht="12" customHeight="1">
      <c r="C2258" s="891"/>
      <c r="D2258" s="891"/>
      <c r="E2258" s="891"/>
      <c r="F2258" s="891"/>
      <c r="G2258" s="891"/>
      <c r="H2258" s="1088"/>
      <c r="I2258" s="1088"/>
      <c r="J2258" s="1088"/>
      <c r="K2258" s="1088"/>
    </row>
    <row r="2259" spans="3:11" ht="12" customHeight="1">
      <c r="C2259" s="891"/>
      <c r="D2259" s="891"/>
      <c r="E2259" s="891"/>
      <c r="F2259" s="891"/>
      <c r="G2259" s="891"/>
      <c r="H2259" s="1088"/>
      <c r="I2259" s="1088"/>
      <c r="J2259" s="1088"/>
      <c r="K2259" s="1088"/>
    </row>
    <row r="2260" spans="3:11" ht="12" customHeight="1">
      <c r="C2260" s="891"/>
      <c r="D2260" s="891"/>
      <c r="E2260" s="891"/>
      <c r="F2260" s="891"/>
      <c r="G2260" s="891"/>
      <c r="H2260" s="1088"/>
      <c r="I2260" s="1088"/>
      <c r="J2260" s="1088"/>
      <c r="K2260" s="1088"/>
    </row>
    <row r="2261" spans="3:11" ht="12" customHeight="1">
      <c r="C2261" s="891"/>
      <c r="D2261" s="891"/>
      <c r="E2261" s="891"/>
      <c r="F2261" s="891"/>
      <c r="G2261" s="891"/>
      <c r="H2261" s="1088"/>
      <c r="I2261" s="1088"/>
      <c r="J2261" s="1088"/>
      <c r="K2261" s="1088"/>
    </row>
    <row r="2262" spans="3:11" ht="12" customHeight="1">
      <c r="C2262" s="891"/>
      <c r="D2262" s="891"/>
      <c r="E2262" s="891"/>
      <c r="F2262" s="891"/>
      <c r="G2262" s="891"/>
      <c r="H2262" s="1088"/>
      <c r="I2262" s="1088"/>
      <c r="J2262" s="1088"/>
      <c r="K2262" s="1088"/>
    </row>
    <row r="2263" spans="3:11" ht="12" customHeight="1">
      <c r="C2263" s="891"/>
      <c r="D2263" s="891"/>
      <c r="E2263" s="891"/>
      <c r="F2263" s="891"/>
      <c r="G2263" s="891"/>
      <c r="H2263" s="1088"/>
      <c r="I2263" s="1088"/>
      <c r="J2263" s="1088"/>
      <c r="K2263" s="1088"/>
    </row>
    <row r="2264" spans="3:11" ht="12" customHeight="1">
      <c r="C2264" s="891"/>
      <c r="D2264" s="891"/>
      <c r="E2264" s="891"/>
      <c r="F2264" s="891"/>
      <c r="G2264" s="891"/>
      <c r="H2264" s="1088"/>
      <c r="I2264" s="1088"/>
      <c r="J2264" s="1088"/>
      <c r="K2264" s="1088"/>
    </row>
    <row r="2265" spans="3:11" ht="12" customHeight="1">
      <c r="C2265" s="891"/>
      <c r="D2265" s="891"/>
      <c r="E2265" s="891"/>
      <c r="F2265" s="891"/>
      <c r="G2265" s="891"/>
      <c r="H2265" s="1088"/>
      <c r="I2265" s="1088"/>
      <c r="J2265" s="1088"/>
      <c r="K2265" s="1088"/>
    </row>
    <row r="2266" spans="3:11" ht="12" customHeight="1">
      <c r="C2266" s="891"/>
      <c r="D2266" s="891"/>
      <c r="E2266" s="891"/>
      <c r="F2266" s="891"/>
      <c r="G2266" s="891"/>
      <c r="H2266" s="1088"/>
      <c r="I2266" s="1088"/>
      <c r="J2266" s="1088"/>
      <c r="K2266" s="1088"/>
    </row>
    <row r="2267" spans="3:11" ht="12" customHeight="1">
      <c r="C2267" s="891"/>
      <c r="D2267" s="891"/>
      <c r="E2267" s="891"/>
      <c r="F2267" s="891"/>
      <c r="G2267" s="891"/>
      <c r="H2267" s="1088"/>
      <c r="I2267" s="1088"/>
      <c r="J2267" s="1088"/>
      <c r="K2267" s="1088"/>
    </row>
    <row r="2268" spans="3:11" ht="12" customHeight="1">
      <c r="C2268" s="891"/>
      <c r="D2268" s="891"/>
      <c r="E2268" s="891"/>
      <c r="F2268" s="891"/>
      <c r="G2268" s="891"/>
      <c r="H2268" s="1088"/>
      <c r="I2268" s="1088"/>
      <c r="J2268" s="1088"/>
      <c r="K2268" s="1088"/>
    </row>
    <row r="2269" spans="3:11" ht="12" customHeight="1">
      <c r="C2269" s="891"/>
      <c r="D2269" s="891"/>
      <c r="E2269" s="891"/>
      <c r="F2269" s="891"/>
      <c r="G2269" s="891"/>
      <c r="H2269" s="1088"/>
      <c r="I2269" s="1088"/>
      <c r="J2269" s="1088"/>
      <c r="K2269" s="1088"/>
    </row>
    <row r="2270" spans="3:11" ht="12" customHeight="1">
      <c r="C2270" s="891"/>
      <c r="D2270" s="891"/>
      <c r="E2270" s="891"/>
      <c r="F2270" s="891"/>
      <c r="G2270" s="891"/>
      <c r="H2270" s="1088"/>
      <c r="I2270" s="1088"/>
      <c r="J2270" s="1088"/>
      <c r="K2270" s="1088"/>
    </row>
    <row r="2271" spans="3:11" ht="12" customHeight="1">
      <c r="C2271" s="891"/>
      <c r="D2271" s="891"/>
      <c r="E2271" s="891"/>
      <c r="F2271" s="891"/>
      <c r="G2271" s="891"/>
      <c r="H2271" s="1088"/>
      <c r="I2271" s="1088"/>
      <c r="J2271" s="1088"/>
      <c r="K2271" s="1088"/>
    </row>
    <row r="2272" spans="3:11" ht="12" customHeight="1">
      <c r="C2272" s="891"/>
      <c r="D2272" s="891"/>
      <c r="E2272" s="891"/>
      <c r="F2272" s="891"/>
      <c r="G2272" s="891"/>
      <c r="H2272" s="1088"/>
      <c r="I2272" s="1088"/>
      <c r="J2272" s="1088"/>
      <c r="K2272" s="1088"/>
    </row>
    <row r="2273" spans="3:11" ht="12" customHeight="1">
      <c r="C2273" s="891"/>
      <c r="D2273" s="891"/>
      <c r="E2273" s="891"/>
      <c r="F2273" s="891"/>
      <c r="G2273" s="891"/>
      <c r="H2273" s="1088"/>
      <c r="I2273" s="1088"/>
      <c r="J2273" s="1088"/>
      <c r="K2273" s="1088"/>
    </row>
    <row r="2274" spans="3:11" ht="12" customHeight="1">
      <c r="C2274" s="891"/>
      <c r="D2274" s="891"/>
      <c r="E2274" s="891"/>
      <c r="F2274" s="891"/>
      <c r="G2274" s="891"/>
      <c r="H2274" s="1088"/>
      <c r="I2274" s="1088"/>
      <c r="J2274" s="1088"/>
      <c r="K2274" s="1088"/>
    </row>
    <row r="2275" spans="3:11" ht="12" customHeight="1">
      <c r="C2275" s="891"/>
      <c r="D2275" s="891"/>
      <c r="E2275" s="891"/>
      <c r="F2275" s="891"/>
      <c r="G2275" s="891"/>
      <c r="H2275" s="1088"/>
      <c r="I2275" s="1088"/>
      <c r="J2275" s="1088"/>
      <c r="K2275" s="1088"/>
    </row>
    <row r="2276" spans="3:11" ht="12" customHeight="1">
      <c r="C2276" s="891"/>
      <c r="D2276" s="891"/>
      <c r="E2276" s="891"/>
      <c r="F2276" s="891"/>
      <c r="G2276" s="891"/>
      <c r="H2276" s="1088"/>
      <c r="I2276" s="1088"/>
      <c r="J2276" s="1088"/>
      <c r="K2276" s="1088"/>
    </row>
    <row r="2277" spans="3:11" ht="12" customHeight="1">
      <c r="C2277" s="891"/>
      <c r="D2277" s="891"/>
      <c r="E2277" s="891"/>
      <c r="F2277" s="891"/>
      <c r="G2277" s="891"/>
      <c r="H2277" s="1088"/>
      <c r="I2277" s="1088"/>
      <c r="J2277" s="1088"/>
      <c r="K2277" s="1088"/>
    </row>
    <row r="2278" spans="3:11" ht="12" customHeight="1">
      <c r="C2278" s="891"/>
      <c r="D2278" s="891"/>
      <c r="E2278" s="891"/>
      <c r="F2278" s="891"/>
      <c r="G2278" s="891"/>
      <c r="H2278" s="1088"/>
      <c r="I2278" s="1088"/>
      <c r="J2278" s="1088"/>
      <c r="K2278" s="1088"/>
    </row>
    <row r="2279" spans="3:11" ht="12" customHeight="1">
      <c r="C2279" s="891"/>
      <c r="D2279" s="891"/>
      <c r="E2279" s="891"/>
      <c r="F2279" s="891"/>
      <c r="G2279" s="891"/>
      <c r="H2279" s="1088"/>
      <c r="I2279" s="1088"/>
      <c r="J2279" s="1088"/>
      <c r="K2279" s="1088"/>
    </row>
    <row r="2280" spans="3:11" ht="12" customHeight="1">
      <c r="C2280" s="891"/>
      <c r="D2280" s="891"/>
      <c r="E2280" s="891"/>
      <c r="F2280" s="891"/>
      <c r="G2280" s="891"/>
      <c r="H2280" s="1088"/>
      <c r="I2280" s="1088"/>
      <c r="J2280" s="1088"/>
      <c r="K2280" s="1088"/>
    </row>
    <row r="2281" spans="3:11" ht="12" customHeight="1">
      <c r="C2281" s="891"/>
      <c r="D2281" s="891"/>
      <c r="E2281" s="891"/>
      <c r="F2281" s="891"/>
      <c r="G2281" s="891"/>
      <c r="H2281" s="1088"/>
      <c r="I2281" s="1088"/>
      <c r="J2281" s="1088"/>
      <c r="K2281" s="1088"/>
    </row>
    <row r="2282" spans="3:11" ht="12" customHeight="1">
      <c r="C2282" s="891"/>
      <c r="D2282" s="891"/>
      <c r="E2282" s="891"/>
      <c r="F2282" s="891"/>
      <c r="G2282" s="891"/>
      <c r="H2282" s="1088"/>
      <c r="I2282" s="1088"/>
      <c r="J2282" s="1088"/>
      <c r="K2282" s="1088"/>
    </row>
    <row r="2283" spans="3:11" ht="12" customHeight="1">
      <c r="C2283" s="891"/>
      <c r="D2283" s="891"/>
      <c r="E2283" s="891"/>
      <c r="F2283" s="891"/>
      <c r="G2283" s="891"/>
      <c r="H2283" s="1088"/>
      <c r="I2283" s="1088"/>
      <c r="J2283" s="1088"/>
      <c r="K2283" s="1088"/>
    </row>
    <row r="2284" spans="3:11" ht="12" customHeight="1">
      <c r="C2284" s="891"/>
      <c r="D2284" s="891"/>
      <c r="E2284" s="891"/>
      <c r="F2284" s="891"/>
      <c r="G2284" s="891"/>
      <c r="H2284" s="1088"/>
      <c r="I2284" s="1088"/>
      <c r="J2284" s="1088"/>
      <c r="K2284" s="1088"/>
    </row>
    <row r="2285" spans="3:11" ht="12" customHeight="1">
      <c r="C2285" s="891"/>
      <c r="D2285" s="891"/>
      <c r="E2285" s="891"/>
      <c r="F2285" s="891"/>
      <c r="G2285" s="891"/>
      <c r="H2285" s="1088"/>
      <c r="I2285" s="1088"/>
      <c r="J2285" s="1088"/>
      <c r="K2285" s="1088"/>
    </row>
    <row r="2286" spans="3:11" ht="12" customHeight="1">
      <c r="C2286" s="891"/>
      <c r="D2286" s="891"/>
      <c r="E2286" s="891"/>
      <c r="F2286" s="891"/>
      <c r="G2286" s="891"/>
      <c r="H2286" s="1088"/>
      <c r="I2286" s="1088"/>
      <c r="J2286" s="1088"/>
      <c r="K2286" s="1088"/>
    </row>
    <row r="2287" spans="3:11" ht="12" customHeight="1">
      <c r="C2287" s="891"/>
      <c r="D2287" s="891"/>
      <c r="E2287" s="891"/>
      <c r="F2287" s="891"/>
      <c r="G2287" s="891"/>
      <c r="H2287" s="1088"/>
      <c r="I2287" s="1088"/>
      <c r="J2287" s="1088"/>
      <c r="K2287" s="1088"/>
    </row>
    <row r="2288" spans="3:11" ht="12" customHeight="1">
      <c r="C2288" s="891"/>
      <c r="D2288" s="891"/>
      <c r="E2288" s="891"/>
      <c r="F2288" s="891"/>
      <c r="G2288" s="891"/>
      <c r="H2288" s="1088"/>
      <c r="I2288" s="1088"/>
      <c r="J2288" s="1088"/>
      <c r="K2288" s="1088"/>
    </row>
    <row r="2289" spans="3:11" ht="12" customHeight="1">
      <c r="C2289" s="891"/>
      <c r="D2289" s="891"/>
      <c r="E2289" s="891"/>
      <c r="F2289" s="891"/>
      <c r="G2289" s="891"/>
      <c r="H2289" s="1088"/>
      <c r="I2289" s="1088"/>
      <c r="J2289" s="1088"/>
      <c r="K2289" s="1088"/>
    </row>
    <row r="2290" spans="3:11" ht="12" customHeight="1">
      <c r="C2290" s="891"/>
      <c r="D2290" s="891"/>
      <c r="E2290" s="891"/>
      <c r="F2290" s="891"/>
      <c r="G2290" s="891"/>
      <c r="H2290" s="1088"/>
      <c r="I2290" s="1088"/>
      <c r="J2290" s="1088"/>
      <c r="K2290" s="1088"/>
    </row>
    <row r="2291" spans="3:11" ht="12" customHeight="1">
      <c r="C2291" s="891"/>
      <c r="D2291" s="891"/>
      <c r="E2291" s="891"/>
      <c r="F2291" s="891"/>
      <c r="G2291" s="891"/>
      <c r="H2291" s="1088"/>
      <c r="I2291" s="1088"/>
      <c r="J2291" s="1088"/>
      <c r="K2291" s="1088"/>
    </row>
    <row r="2292" spans="3:11" ht="12" customHeight="1">
      <c r="C2292" s="891"/>
      <c r="D2292" s="891"/>
      <c r="E2292" s="891"/>
      <c r="F2292" s="891"/>
      <c r="G2292" s="891"/>
      <c r="H2292" s="1088"/>
      <c r="I2292" s="1088"/>
      <c r="J2292" s="1088"/>
      <c r="K2292" s="1088"/>
    </row>
    <row r="2293" spans="3:11" ht="12" customHeight="1">
      <c r="C2293" s="891"/>
      <c r="D2293" s="891"/>
      <c r="E2293" s="891"/>
      <c r="F2293" s="891"/>
      <c r="G2293" s="891"/>
      <c r="H2293" s="1088"/>
      <c r="I2293" s="1088"/>
      <c r="J2293" s="1088"/>
      <c r="K2293" s="1088"/>
    </row>
    <row r="2294" spans="3:11" ht="12" customHeight="1">
      <c r="C2294" s="891"/>
      <c r="D2294" s="891"/>
      <c r="E2294" s="891"/>
      <c r="F2294" s="891"/>
      <c r="G2294" s="891"/>
      <c r="H2294" s="1088"/>
      <c r="I2294" s="1088"/>
      <c r="J2294" s="1088"/>
      <c r="K2294" s="1088"/>
    </row>
    <row r="2295" spans="3:11" ht="12" customHeight="1">
      <c r="C2295" s="891"/>
      <c r="D2295" s="891"/>
      <c r="E2295" s="891"/>
      <c r="F2295" s="891"/>
      <c r="G2295" s="891"/>
      <c r="H2295" s="1088"/>
      <c r="I2295" s="1088"/>
      <c r="J2295" s="1088"/>
      <c r="K2295" s="1088"/>
    </row>
    <row r="2296" spans="3:11" ht="12" customHeight="1">
      <c r="C2296" s="891"/>
      <c r="D2296" s="891"/>
      <c r="E2296" s="891"/>
      <c r="F2296" s="891"/>
      <c r="G2296" s="891"/>
      <c r="H2296" s="1088"/>
      <c r="I2296" s="1088"/>
      <c r="J2296" s="1088"/>
      <c r="K2296" s="1088"/>
    </row>
    <row r="2297" spans="3:11" ht="12" customHeight="1">
      <c r="C2297" s="891"/>
      <c r="D2297" s="891"/>
      <c r="E2297" s="891"/>
      <c r="F2297" s="891"/>
      <c r="G2297" s="891"/>
      <c r="H2297" s="1088"/>
      <c r="I2297" s="1088"/>
      <c r="J2297" s="1088"/>
      <c r="K2297" s="1088"/>
    </row>
    <row r="2298" spans="3:11" ht="12" customHeight="1">
      <c r="C2298" s="891"/>
      <c r="D2298" s="891"/>
      <c r="E2298" s="891"/>
      <c r="F2298" s="891"/>
      <c r="G2298" s="891"/>
      <c r="H2298" s="1088"/>
      <c r="I2298" s="1088"/>
      <c r="J2298" s="1088"/>
      <c r="K2298" s="1088"/>
    </row>
    <row r="2299" spans="3:11" ht="12" customHeight="1">
      <c r="C2299" s="891"/>
      <c r="D2299" s="891"/>
      <c r="E2299" s="891"/>
      <c r="F2299" s="891"/>
      <c r="G2299" s="891"/>
      <c r="H2299" s="1088"/>
      <c r="I2299" s="1088"/>
      <c r="J2299" s="1088"/>
      <c r="K2299" s="1088"/>
    </row>
    <row r="2300" spans="3:11" ht="12" customHeight="1">
      <c r="C2300" s="891"/>
      <c r="D2300" s="891"/>
      <c r="E2300" s="891"/>
      <c r="F2300" s="891"/>
      <c r="G2300" s="891"/>
      <c r="H2300" s="1088"/>
      <c r="I2300" s="1088"/>
      <c r="J2300" s="1088"/>
      <c r="K2300" s="1088"/>
    </row>
    <row r="2301" spans="3:11" ht="12" customHeight="1">
      <c r="C2301" s="891"/>
      <c r="D2301" s="891"/>
      <c r="E2301" s="891"/>
      <c r="F2301" s="891"/>
      <c r="G2301" s="891"/>
      <c r="H2301" s="1088"/>
      <c r="I2301" s="1088"/>
      <c r="J2301" s="1088"/>
      <c r="K2301" s="1088"/>
    </row>
    <row r="2302" spans="3:11" ht="12" customHeight="1">
      <c r="C2302" s="891"/>
      <c r="D2302" s="891"/>
      <c r="E2302" s="891"/>
      <c r="F2302" s="891"/>
      <c r="G2302" s="891"/>
      <c r="H2302" s="1088"/>
      <c r="I2302" s="1088"/>
      <c r="J2302" s="1088"/>
      <c r="K2302" s="1088"/>
    </row>
    <row r="2303" spans="3:11" ht="12" customHeight="1">
      <c r="C2303" s="891"/>
      <c r="D2303" s="891"/>
      <c r="E2303" s="891"/>
      <c r="F2303" s="891"/>
      <c r="G2303" s="891"/>
      <c r="H2303" s="1088"/>
      <c r="I2303" s="1088"/>
      <c r="J2303" s="1088"/>
      <c r="K2303" s="1088"/>
    </row>
    <row r="2304" spans="3:11" ht="12" customHeight="1">
      <c r="C2304" s="891"/>
      <c r="D2304" s="891"/>
      <c r="E2304" s="891"/>
      <c r="F2304" s="891"/>
      <c r="G2304" s="891"/>
      <c r="H2304" s="1088"/>
      <c r="I2304" s="1088"/>
      <c r="J2304" s="1088"/>
      <c r="K2304" s="1088"/>
    </row>
    <row r="2305" spans="3:11" ht="12" customHeight="1">
      <c r="C2305" s="891"/>
      <c r="D2305" s="891"/>
      <c r="E2305" s="891"/>
      <c r="F2305" s="891"/>
      <c r="G2305" s="891"/>
      <c r="H2305" s="1088"/>
      <c r="I2305" s="1088"/>
      <c r="J2305" s="1088"/>
      <c r="K2305" s="1088"/>
    </row>
    <row r="2306" spans="3:11" ht="12" customHeight="1">
      <c r="C2306" s="891"/>
      <c r="D2306" s="891"/>
      <c r="E2306" s="891"/>
      <c r="F2306" s="891"/>
      <c r="G2306" s="891"/>
      <c r="H2306" s="1088"/>
      <c r="I2306" s="1088"/>
      <c r="J2306" s="1088"/>
      <c r="K2306" s="1088"/>
    </row>
    <row r="2307" spans="3:11" ht="12" customHeight="1">
      <c r="C2307" s="891"/>
      <c r="D2307" s="891"/>
      <c r="E2307" s="891"/>
      <c r="F2307" s="891"/>
      <c r="G2307" s="891"/>
      <c r="H2307" s="1088"/>
      <c r="I2307" s="1088"/>
      <c r="J2307" s="1088"/>
      <c r="K2307" s="1088"/>
    </row>
    <row r="2308" spans="3:11" ht="12" customHeight="1">
      <c r="C2308" s="891"/>
      <c r="D2308" s="891"/>
      <c r="E2308" s="891"/>
      <c r="F2308" s="891"/>
      <c r="G2308" s="891"/>
      <c r="H2308" s="1088"/>
      <c r="I2308" s="1088"/>
      <c r="J2308" s="1088"/>
      <c r="K2308" s="1088"/>
    </row>
    <row r="2309" spans="3:11" ht="12" customHeight="1">
      <c r="C2309" s="891"/>
      <c r="D2309" s="891"/>
      <c r="E2309" s="891"/>
      <c r="F2309" s="891"/>
      <c r="G2309" s="891"/>
      <c r="H2309" s="1088"/>
      <c r="I2309" s="1088"/>
      <c r="J2309" s="1088"/>
      <c r="K2309" s="1088"/>
    </row>
    <row r="2310" spans="3:11" ht="12" customHeight="1">
      <c r="C2310" s="891"/>
      <c r="D2310" s="891"/>
      <c r="E2310" s="891"/>
      <c r="F2310" s="891"/>
      <c r="G2310" s="891"/>
      <c r="H2310" s="1088"/>
      <c r="I2310" s="1088"/>
      <c r="J2310" s="1088"/>
      <c r="K2310" s="1088"/>
    </row>
    <row r="2311" spans="3:11" ht="12" customHeight="1">
      <c r="C2311" s="891"/>
      <c r="D2311" s="891"/>
      <c r="E2311" s="891"/>
      <c r="F2311" s="891"/>
      <c r="G2311" s="891"/>
      <c r="H2311" s="1088"/>
      <c r="I2311" s="1088"/>
      <c r="J2311" s="1088"/>
      <c r="K2311" s="1088"/>
    </row>
    <row r="2312" spans="3:11" ht="12" customHeight="1">
      <c r="C2312" s="891"/>
      <c r="D2312" s="891"/>
      <c r="E2312" s="891"/>
      <c r="F2312" s="891"/>
      <c r="G2312" s="891"/>
      <c r="H2312" s="1088"/>
      <c r="I2312" s="1088"/>
      <c r="J2312" s="1088"/>
      <c r="K2312" s="1088"/>
    </row>
    <row r="2313" spans="3:11" ht="12" customHeight="1">
      <c r="C2313" s="891"/>
      <c r="D2313" s="891"/>
      <c r="E2313" s="891"/>
      <c r="F2313" s="891"/>
      <c r="G2313" s="891"/>
      <c r="H2313" s="1088"/>
      <c r="I2313" s="1088"/>
      <c r="J2313" s="1088"/>
      <c r="K2313" s="1088"/>
    </row>
    <row r="2314" spans="3:11" ht="12" customHeight="1">
      <c r="C2314" s="891"/>
      <c r="D2314" s="891"/>
      <c r="E2314" s="891"/>
      <c r="F2314" s="891"/>
      <c r="G2314" s="891"/>
      <c r="H2314" s="1088"/>
      <c r="I2314" s="1088"/>
      <c r="J2314" s="1088"/>
      <c r="K2314" s="1088"/>
    </row>
    <row r="2315" spans="3:11" ht="12" customHeight="1">
      <c r="C2315" s="891"/>
      <c r="D2315" s="891"/>
      <c r="E2315" s="891"/>
      <c r="F2315" s="891"/>
      <c r="G2315" s="891"/>
      <c r="H2315" s="1088"/>
      <c r="I2315" s="1088"/>
      <c r="J2315" s="1088"/>
      <c r="K2315" s="1088"/>
    </row>
    <row r="2316" spans="3:11" ht="12" customHeight="1">
      <c r="C2316" s="891"/>
      <c r="D2316" s="891"/>
      <c r="E2316" s="891"/>
      <c r="F2316" s="891"/>
      <c r="G2316" s="891"/>
      <c r="H2316" s="1088"/>
      <c r="I2316" s="1088"/>
      <c r="J2316" s="1088"/>
      <c r="K2316" s="1088"/>
    </row>
    <row r="2317" spans="3:11" ht="12" customHeight="1">
      <c r="C2317" s="891"/>
      <c r="D2317" s="891"/>
      <c r="E2317" s="891"/>
      <c r="F2317" s="891"/>
      <c r="G2317" s="891"/>
      <c r="H2317" s="1088"/>
      <c r="I2317" s="1088"/>
      <c r="J2317" s="1088"/>
      <c r="K2317" s="1088"/>
    </row>
    <row r="2318" spans="3:11" ht="12" customHeight="1">
      <c r="C2318" s="891"/>
      <c r="D2318" s="891"/>
      <c r="E2318" s="891"/>
      <c r="F2318" s="891"/>
      <c r="G2318" s="891"/>
      <c r="H2318" s="1088"/>
      <c r="I2318" s="1088"/>
      <c r="J2318" s="1088"/>
      <c r="K2318" s="1088"/>
    </row>
    <row r="2319" spans="3:11" ht="12" customHeight="1">
      <c r="C2319" s="891"/>
      <c r="D2319" s="891"/>
      <c r="E2319" s="891"/>
      <c r="F2319" s="891"/>
      <c r="G2319" s="891"/>
      <c r="H2319" s="1088"/>
      <c r="I2319" s="1088"/>
      <c r="J2319" s="1088"/>
      <c r="K2319" s="1088"/>
    </row>
    <row r="2320" spans="3:11" ht="12" customHeight="1">
      <c r="C2320" s="891"/>
      <c r="D2320" s="891"/>
      <c r="E2320" s="891"/>
      <c r="F2320" s="891"/>
      <c r="G2320" s="891"/>
      <c r="H2320" s="1088"/>
      <c r="I2320" s="1088"/>
      <c r="J2320" s="1088"/>
      <c r="K2320" s="1088"/>
    </row>
    <row r="2321" spans="3:11" ht="12" customHeight="1">
      <c r="C2321" s="891"/>
      <c r="D2321" s="891"/>
      <c r="E2321" s="891"/>
      <c r="F2321" s="891"/>
      <c r="G2321" s="891"/>
      <c r="H2321" s="1088"/>
      <c r="I2321" s="1088"/>
      <c r="J2321" s="1088"/>
      <c r="K2321" s="1088"/>
    </row>
    <row r="2322" spans="3:11" ht="12" customHeight="1">
      <c r="C2322" s="891"/>
      <c r="D2322" s="891"/>
      <c r="E2322" s="891"/>
      <c r="F2322" s="891"/>
      <c r="G2322" s="891"/>
      <c r="H2322" s="1088"/>
      <c r="I2322" s="1088"/>
      <c r="J2322" s="1088"/>
      <c r="K2322" s="1088"/>
    </row>
    <row r="2323" spans="3:11" ht="12" customHeight="1">
      <c r="C2323" s="891"/>
      <c r="D2323" s="891"/>
      <c r="E2323" s="891"/>
      <c r="F2323" s="891"/>
      <c r="G2323" s="891"/>
      <c r="H2323" s="1088"/>
      <c r="I2323" s="1088"/>
      <c r="J2323" s="1088"/>
      <c r="K2323" s="1088"/>
    </row>
    <row r="2324" spans="3:11" ht="12" customHeight="1">
      <c r="C2324" s="891"/>
      <c r="D2324" s="891"/>
      <c r="E2324" s="891"/>
      <c r="F2324" s="891"/>
      <c r="G2324" s="891"/>
      <c r="H2324" s="1088"/>
      <c r="I2324" s="1088"/>
      <c r="J2324" s="1088"/>
      <c r="K2324" s="1088"/>
    </row>
    <row r="2325" spans="3:11" ht="12" customHeight="1">
      <c r="C2325" s="891"/>
      <c r="D2325" s="891"/>
      <c r="E2325" s="891"/>
      <c r="F2325" s="891"/>
      <c r="G2325" s="891"/>
      <c r="H2325" s="1088"/>
      <c r="I2325" s="1088"/>
      <c r="J2325" s="1088"/>
      <c r="K2325" s="1088"/>
    </row>
    <row r="2326" spans="3:11" ht="12" customHeight="1">
      <c r="C2326" s="891"/>
      <c r="D2326" s="891"/>
      <c r="E2326" s="891"/>
      <c r="F2326" s="891"/>
      <c r="G2326" s="891"/>
      <c r="H2326" s="1088"/>
      <c r="I2326" s="1088"/>
      <c r="J2326" s="1088"/>
      <c r="K2326" s="1088"/>
    </row>
    <row r="2327" spans="3:11" ht="12" customHeight="1">
      <c r="C2327" s="891"/>
      <c r="D2327" s="891"/>
      <c r="E2327" s="891"/>
      <c r="F2327" s="891"/>
      <c r="G2327" s="891"/>
      <c r="H2327" s="1088"/>
      <c r="I2327" s="1088"/>
      <c r="J2327" s="1088"/>
      <c r="K2327" s="1088"/>
    </row>
    <row r="2328" spans="3:11" ht="12" customHeight="1">
      <c r="C2328" s="891"/>
      <c r="D2328" s="891"/>
      <c r="E2328" s="891"/>
      <c r="F2328" s="891"/>
      <c r="G2328" s="891"/>
      <c r="H2328" s="1088"/>
      <c r="I2328" s="1088"/>
      <c r="J2328" s="1088"/>
      <c r="K2328" s="1088"/>
    </row>
    <row r="2329" spans="3:11" ht="12" customHeight="1">
      <c r="C2329" s="891"/>
      <c r="D2329" s="891"/>
      <c r="E2329" s="891"/>
      <c r="F2329" s="891"/>
      <c r="G2329" s="891"/>
      <c r="H2329" s="1088"/>
      <c r="I2329" s="1088"/>
      <c r="J2329" s="1088"/>
      <c r="K2329" s="1088"/>
    </row>
    <row r="2330" spans="3:11" ht="12" customHeight="1">
      <c r="C2330" s="891"/>
      <c r="D2330" s="891"/>
      <c r="E2330" s="891"/>
      <c r="F2330" s="891"/>
      <c r="G2330" s="891"/>
      <c r="H2330" s="1088"/>
      <c r="I2330" s="1088"/>
      <c r="J2330" s="1088"/>
      <c r="K2330" s="1088"/>
    </row>
    <row r="2331" spans="3:11" ht="12" customHeight="1">
      <c r="C2331" s="891"/>
      <c r="D2331" s="891"/>
      <c r="E2331" s="891"/>
      <c r="F2331" s="891"/>
      <c r="G2331" s="891"/>
      <c r="H2331" s="1088"/>
      <c r="I2331" s="1088"/>
      <c r="J2331" s="1088"/>
      <c r="K2331" s="1088"/>
    </row>
    <row r="2332" spans="3:11" ht="12" customHeight="1">
      <c r="C2332" s="891"/>
      <c r="D2332" s="891"/>
      <c r="E2332" s="891"/>
      <c r="F2332" s="891"/>
      <c r="G2332" s="891"/>
      <c r="H2332" s="1088"/>
      <c r="I2332" s="1088"/>
      <c r="J2332" s="1088"/>
      <c r="K2332" s="1088"/>
    </row>
    <row r="2333" spans="3:11" ht="12" customHeight="1">
      <c r="C2333" s="891"/>
      <c r="D2333" s="891"/>
      <c r="E2333" s="891"/>
      <c r="F2333" s="891"/>
      <c r="G2333" s="891"/>
      <c r="H2333" s="1088"/>
      <c r="I2333" s="1088"/>
      <c r="J2333" s="1088"/>
      <c r="K2333" s="1088"/>
    </row>
    <row r="2334" spans="3:11" ht="12" customHeight="1">
      <c r="C2334" s="891"/>
      <c r="D2334" s="891"/>
      <c r="E2334" s="891"/>
      <c r="F2334" s="891"/>
      <c r="G2334" s="891"/>
      <c r="H2334" s="1088"/>
      <c r="I2334" s="1088"/>
      <c r="J2334" s="1088"/>
      <c r="K2334" s="1088"/>
    </row>
    <row r="2335" spans="3:11" ht="12" customHeight="1">
      <c r="C2335" s="891"/>
      <c r="D2335" s="891"/>
      <c r="E2335" s="891"/>
      <c r="F2335" s="891"/>
      <c r="G2335" s="891"/>
      <c r="H2335" s="1088"/>
      <c r="I2335" s="1088"/>
      <c r="J2335" s="1088"/>
      <c r="K2335" s="1088"/>
    </row>
    <row r="2336" spans="3:11" ht="12" customHeight="1">
      <c r="C2336" s="891"/>
      <c r="D2336" s="891"/>
      <c r="E2336" s="891"/>
      <c r="F2336" s="891"/>
      <c r="G2336" s="891"/>
      <c r="H2336" s="1088"/>
      <c r="I2336" s="1088"/>
      <c r="J2336" s="1088"/>
      <c r="K2336" s="1088"/>
    </row>
    <row r="2337" spans="3:11" ht="12" customHeight="1">
      <c r="C2337" s="891"/>
      <c r="D2337" s="891"/>
      <c r="E2337" s="891"/>
      <c r="F2337" s="891"/>
      <c r="G2337" s="891"/>
      <c r="H2337" s="1088"/>
      <c r="I2337" s="1088"/>
      <c r="J2337" s="1088"/>
      <c r="K2337" s="1088"/>
    </row>
    <row r="2338" spans="3:11" ht="12" customHeight="1">
      <c r="C2338" s="891"/>
      <c r="D2338" s="891"/>
      <c r="E2338" s="891"/>
      <c r="F2338" s="891"/>
      <c r="G2338" s="891"/>
      <c r="H2338" s="1088"/>
      <c r="I2338" s="1088"/>
      <c r="J2338" s="1088"/>
      <c r="K2338" s="1088"/>
    </row>
    <row r="2339" spans="3:11" ht="12" customHeight="1">
      <c r="C2339" s="891"/>
      <c r="D2339" s="891"/>
      <c r="E2339" s="891"/>
      <c r="F2339" s="891"/>
      <c r="G2339" s="891"/>
      <c r="H2339" s="1088"/>
      <c r="I2339" s="1088"/>
      <c r="J2339" s="1088"/>
      <c r="K2339" s="1088"/>
    </row>
    <row r="2340" spans="3:11" ht="12" customHeight="1">
      <c r="C2340" s="891"/>
      <c r="D2340" s="891"/>
      <c r="E2340" s="891"/>
      <c r="F2340" s="891"/>
      <c r="G2340" s="891"/>
      <c r="H2340" s="1088"/>
      <c r="I2340" s="1088"/>
      <c r="J2340" s="1088"/>
      <c r="K2340" s="1088"/>
    </row>
    <row r="2341" spans="3:11" ht="12" customHeight="1">
      <c r="C2341" s="891"/>
      <c r="D2341" s="891"/>
      <c r="E2341" s="891"/>
      <c r="F2341" s="891"/>
      <c r="G2341" s="891"/>
      <c r="H2341" s="1088"/>
      <c r="I2341" s="1088"/>
      <c r="J2341" s="1088"/>
      <c r="K2341" s="1088"/>
    </row>
    <row r="2342" spans="3:11" ht="12" customHeight="1">
      <c r="C2342" s="891"/>
      <c r="D2342" s="891"/>
      <c r="E2342" s="891"/>
      <c r="F2342" s="891"/>
      <c r="G2342" s="891"/>
      <c r="H2342" s="1088"/>
      <c r="I2342" s="1088"/>
      <c r="J2342" s="1088"/>
      <c r="K2342" s="1088"/>
    </row>
    <row r="2343" spans="3:11" ht="12" customHeight="1">
      <c r="C2343" s="891"/>
      <c r="D2343" s="891"/>
      <c r="E2343" s="891"/>
      <c r="F2343" s="891"/>
      <c r="G2343" s="891"/>
      <c r="H2343" s="1088"/>
      <c r="I2343" s="1088"/>
      <c r="J2343" s="1088"/>
      <c r="K2343" s="1088"/>
    </row>
    <row r="2344" spans="3:11" ht="12" customHeight="1">
      <c r="C2344" s="891"/>
      <c r="D2344" s="891"/>
      <c r="E2344" s="891"/>
      <c r="F2344" s="891"/>
      <c r="G2344" s="891"/>
      <c r="H2344" s="1088"/>
      <c r="I2344" s="1088"/>
      <c r="J2344" s="1088"/>
      <c r="K2344" s="1088"/>
    </row>
    <row r="2345" spans="3:11" ht="12" customHeight="1">
      <c r="C2345" s="891"/>
      <c r="D2345" s="891"/>
      <c r="E2345" s="891"/>
      <c r="F2345" s="891"/>
      <c r="G2345" s="891"/>
      <c r="H2345" s="1088"/>
      <c r="I2345" s="1088"/>
      <c r="J2345" s="1088"/>
      <c r="K2345" s="1088"/>
    </row>
    <row r="2346" spans="3:11" ht="12" customHeight="1">
      <c r="C2346" s="891"/>
      <c r="D2346" s="891"/>
      <c r="E2346" s="891"/>
      <c r="F2346" s="891"/>
      <c r="G2346" s="891"/>
      <c r="H2346" s="1088"/>
      <c r="I2346" s="1088"/>
      <c r="J2346" s="1088"/>
      <c r="K2346" s="1088"/>
    </row>
    <row r="2347" spans="3:11" ht="12" customHeight="1">
      <c r="C2347" s="891"/>
      <c r="D2347" s="891"/>
      <c r="E2347" s="891"/>
      <c r="F2347" s="891"/>
      <c r="G2347" s="891"/>
      <c r="H2347" s="1088"/>
      <c r="I2347" s="1088"/>
      <c r="J2347" s="1088"/>
      <c r="K2347" s="1088"/>
    </row>
    <row r="2348" spans="3:11" ht="12" customHeight="1">
      <c r="C2348" s="891"/>
      <c r="D2348" s="891"/>
      <c r="E2348" s="891"/>
      <c r="F2348" s="891"/>
      <c r="G2348" s="891"/>
      <c r="H2348" s="1088"/>
      <c r="I2348" s="1088"/>
      <c r="J2348" s="1088"/>
      <c r="K2348" s="1088"/>
    </row>
    <row r="2349" spans="3:11" ht="12" customHeight="1">
      <c r="C2349" s="891"/>
      <c r="D2349" s="891"/>
      <c r="E2349" s="891"/>
      <c r="F2349" s="891"/>
      <c r="G2349" s="891"/>
      <c r="H2349" s="1088"/>
      <c r="I2349" s="1088"/>
      <c r="J2349" s="1088"/>
      <c r="K2349" s="1088"/>
    </row>
    <row r="2350" spans="3:11" ht="12" customHeight="1">
      <c r="C2350" s="891"/>
      <c r="D2350" s="891"/>
      <c r="E2350" s="891"/>
      <c r="F2350" s="891"/>
      <c r="G2350" s="891"/>
      <c r="H2350" s="1088"/>
      <c r="I2350" s="1088"/>
      <c r="J2350" s="1088"/>
      <c r="K2350" s="1088"/>
    </row>
    <row r="2351" spans="3:11" ht="12" customHeight="1">
      <c r="C2351" s="891"/>
      <c r="D2351" s="891"/>
      <c r="E2351" s="891"/>
      <c r="F2351" s="891"/>
      <c r="G2351" s="891"/>
      <c r="H2351" s="1088"/>
      <c r="I2351" s="1088"/>
      <c r="J2351" s="1088"/>
      <c r="K2351" s="1088"/>
    </row>
    <row r="2352" spans="3:11" ht="12" customHeight="1">
      <c r="C2352" s="891"/>
      <c r="D2352" s="891"/>
      <c r="E2352" s="891"/>
      <c r="F2352" s="891"/>
      <c r="G2352" s="891"/>
      <c r="H2352" s="1088"/>
      <c r="I2352" s="1088"/>
      <c r="J2352" s="1088"/>
      <c r="K2352" s="1088"/>
    </row>
    <row r="2353" spans="3:11" ht="12" customHeight="1">
      <c r="C2353" s="891"/>
      <c r="D2353" s="891"/>
      <c r="E2353" s="891"/>
      <c r="F2353" s="891"/>
      <c r="G2353" s="891"/>
      <c r="H2353" s="1088"/>
      <c r="I2353" s="1088"/>
      <c r="J2353" s="1088"/>
      <c r="K2353" s="1088"/>
    </row>
    <row r="2354" spans="3:11" ht="12" customHeight="1">
      <c r="C2354" s="891"/>
      <c r="D2354" s="891"/>
      <c r="E2354" s="891"/>
      <c r="F2354" s="891"/>
      <c r="G2354" s="891"/>
      <c r="H2354" s="1088"/>
      <c r="I2354" s="1088"/>
      <c r="J2354" s="1088"/>
      <c r="K2354" s="1088"/>
    </row>
    <row r="2355" spans="3:11" ht="12" customHeight="1">
      <c r="C2355" s="891"/>
      <c r="D2355" s="891"/>
      <c r="E2355" s="891"/>
      <c r="F2355" s="891"/>
      <c r="G2355" s="891"/>
      <c r="H2355" s="1088"/>
      <c r="I2355" s="1088"/>
      <c r="J2355" s="1088"/>
      <c r="K2355" s="1088"/>
    </row>
    <row r="2356" spans="3:11" ht="12" customHeight="1">
      <c r="C2356" s="891"/>
      <c r="D2356" s="891"/>
      <c r="E2356" s="891"/>
      <c r="F2356" s="891"/>
      <c r="G2356" s="891"/>
      <c r="H2356" s="1088"/>
      <c r="I2356" s="1088"/>
      <c r="J2356" s="1088"/>
      <c r="K2356" s="1088"/>
    </row>
    <row r="2357" spans="3:11" ht="12" customHeight="1">
      <c r="C2357" s="891"/>
      <c r="D2357" s="891"/>
      <c r="E2357" s="891"/>
      <c r="F2357" s="891"/>
      <c r="G2357" s="891"/>
      <c r="H2357" s="1088"/>
      <c r="I2357" s="1088"/>
      <c r="J2357" s="1088"/>
      <c r="K2357" s="1088"/>
    </row>
    <row r="2358" spans="3:11" ht="12" customHeight="1">
      <c r="C2358" s="891"/>
      <c r="D2358" s="891"/>
      <c r="E2358" s="891"/>
      <c r="F2358" s="891"/>
      <c r="G2358" s="891"/>
      <c r="H2358" s="1088"/>
      <c r="I2358" s="1088"/>
      <c r="J2358" s="1088"/>
      <c r="K2358" s="1088"/>
    </row>
    <row r="2359" spans="3:11" ht="12" customHeight="1">
      <c r="C2359" s="891"/>
      <c r="D2359" s="891"/>
      <c r="E2359" s="891"/>
      <c r="F2359" s="891"/>
      <c r="G2359" s="891"/>
      <c r="H2359" s="1088"/>
      <c r="I2359" s="1088"/>
      <c r="J2359" s="1088"/>
      <c r="K2359" s="1088"/>
    </row>
    <row r="2360" spans="3:11" ht="12" customHeight="1">
      <c r="C2360" s="891"/>
      <c r="D2360" s="891"/>
      <c r="E2360" s="891"/>
      <c r="F2360" s="891"/>
      <c r="G2360" s="891"/>
      <c r="H2360" s="1088"/>
      <c r="I2360" s="1088"/>
      <c r="J2360" s="1088"/>
      <c r="K2360" s="1088"/>
    </row>
    <row r="2361" spans="3:11" ht="12" customHeight="1">
      <c r="C2361" s="891"/>
      <c r="D2361" s="891"/>
      <c r="E2361" s="891"/>
      <c r="F2361" s="891"/>
      <c r="G2361" s="891"/>
      <c r="H2361" s="1088"/>
      <c r="I2361" s="1088"/>
      <c r="J2361" s="1088"/>
      <c r="K2361" s="1088"/>
    </row>
    <row r="2362" spans="3:11" ht="12" customHeight="1">
      <c r="C2362" s="891"/>
      <c r="D2362" s="891"/>
      <c r="E2362" s="891"/>
      <c r="F2362" s="891"/>
      <c r="G2362" s="891"/>
      <c r="H2362" s="1088"/>
      <c r="I2362" s="1088"/>
      <c r="J2362" s="1088"/>
      <c r="K2362" s="1088"/>
    </row>
    <row r="2363" spans="3:11" ht="12" customHeight="1">
      <c r="C2363" s="891"/>
      <c r="D2363" s="891"/>
      <c r="E2363" s="891"/>
      <c r="F2363" s="891"/>
      <c r="G2363" s="891"/>
      <c r="H2363" s="1088"/>
      <c r="I2363" s="1088"/>
      <c r="J2363" s="1088"/>
      <c r="K2363" s="1088"/>
    </row>
    <row r="2364" spans="3:11" ht="12" customHeight="1">
      <c r="C2364" s="891"/>
      <c r="D2364" s="891"/>
      <c r="E2364" s="891"/>
      <c r="F2364" s="891"/>
      <c r="G2364" s="891"/>
      <c r="H2364" s="1088"/>
      <c r="I2364" s="1088"/>
      <c r="J2364" s="1088"/>
      <c r="K2364" s="1088"/>
    </row>
    <row r="2365" spans="3:11" ht="12" customHeight="1">
      <c r="C2365" s="891"/>
      <c r="D2365" s="891"/>
      <c r="E2365" s="891"/>
      <c r="F2365" s="891"/>
      <c r="G2365" s="891"/>
      <c r="H2365" s="1088"/>
      <c r="I2365" s="1088"/>
      <c r="J2365" s="1088"/>
      <c r="K2365" s="1088"/>
    </row>
    <row r="2366" spans="3:11" ht="12" customHeight="1">
      <c r="C2366" s="891"/>
      <c r="D2366" s="891"/>
      <c r="E2366" s="891"/>
      <c r="F2366" s="891"/>
      <c r="G2366" s="891"/>
      <c r="H2366" s="1088"/>
      <c r="I2366" s="1088"/>
      <c r="J2366" s="1088"/>
      <c r="K2366" s="1088"/>
    </row>
    <row r="2367" spans="3:11" ht="12" customHeight="1">
      <c r="C2367" s="891"/>
      <c r="D2367" s="891"/>
      <c r="E2367" s="891"/>
      <c r="F2367" s="891"/>
      <c r="G2367" s="891"/>
      <c r="H2367" s="1088"/>
      <c r="I2367" s="1088"/>
      <c r="J2367" s="1088"/>
      <c r="K2367" s="1088"/>
    </row>
    <row r="2368" spans="3:11" ht="12" customHeight="1">
      <c r="C2368" s="891"/>
      <c r="D2368" s="891"/>
      <c r="E2368" s="891"/>
      <c r="F2368" s="891"/>
      <c r="G2368" s="891"/>
      <c r="H2368" s="1088"/>
      <c r="I2368" s="1088"/>
      <c r="J2368" s="1088"/>
      <c r="K2368" s="1088"/>
    </row>
    <row r="2369" spans="3:11" ht="12" customHeight="1">
      <c r="C2369" s="891"/>
      <c r="D2369" s="891"/>
      <c r="E2369" s="891"/>
      <c r="F2369" s="891"/>
      <c r="G2369" s="891"/>
      <c r="H2369" s="1088"/>
      <c r="I2369" s="1088"/>
      <c r="J2369" s="1088"/>
      <c r="K2369" s="1088"/>
    </row>
    <row r="2370" spans="3:11" ht="12" customHeight="1">
      <c r="C2370" s="891"/>
      <c r="D2370" s="891"/>
      <c r="E2370" s="891"/>
      <c r="F2370" s="891"/>
      <c r="G2370" s="891"/>
      <c r="H2370" s="1088"/>
      <c r="I2370" s="1088"/>
      <c r="J2370" s="1088"/>
      <c r="K2370" s="1088"/>
    </row>
    <row r="2371" spans="3:11" ht="12" customHeight="1">
      <c r="C2371" s="891"/>
      <c r="D2371" s="891"/>
      <c r="E2371" s="891"/>
      <c r="F2371" s="891"/>
      <c r="G2371" s="891"/>
      <c r="H2371" s="1088"/>
      <c r="I2371" s="1088"/>
      <c r="J2371" s="1088"/>
      <c r="K2371" s="1088"/>
    </row>
    <row r="2372" spans="3:11" ht="12" customHeight="1">
      <c r="C2372" s="891"/>
      <c r="D2372" s="891"/>
      <c r="E2372" s="891"/>
      <c r="F2372" s="891"/>
      <c r="G2372" s="891"/>
      <c r="H2372" s="1088"/>
      <c r="I2372" s="1088"/>
      <c r="J2372" s="1088"/>
      <c r="K2372" s="1088"/>
    </row>
    <row r="2373" spans="3:11" ht="12" customHeight="1">
      <c r="C2373" s="891"/>
      <c r="D2373" s="891"/>
      <c r="E2373" s="891"/>
      <c r="F2373" s="891"/>
      <c r="G2373" s="891"/>
      <c r="H2373" s="1088"/>
      <c r="I2373" s="1088"/>
      <c r="J2373" s="1088"/>
      <c r="K2373" s="1088"/>
    </row>
    <row r="2374" spans="3:11" ht="12" customHeight="1">
      <c r="C2374" s="891"/>
      <c r="D2374" s="891"/>
      <c r="E2374" s="891"/>
      <c r="F2374" s="891"/>
      <c r="G2374" s="891"/>
      <c r="H2374" s="1088"/>
      <c r="I2374" s="1088"/>
      <c r="J2374" s="1088"/>
      <c r="K2374" s="1088"/>
    </row>
    <row r="2375" spans="3:11" ht="12" customHeight="1">
      <c r="C2375" s="891"/>
      <c r="D2375" s="891"/>
      <c r="E2375" s="891"/>
      <c r="F2375" s="891"/>
      <c r="G2375" s="891"/>
      <c r="H2375" s="1088"/>
      <c r="I2375" s="1088"/>
      <c r="J2375" s="1088"/>
      <c r="K2375" s="1088"/>
    </row>
    <row r="2376" spans="3:11" ht="12" customHeight="1">
      <c r="C2376" s="891"/>
      <c r="D2376" s="891"/>
      <c r="E2376" s="891"/>
      <c r="F2376" s="891"/>
      <c r="G2376" s="891"/>
      <c r="H2376" s="1088"/>
      <c r="I2376" s="1088"/>
      <c r="J2376" s="1088"/>
      <c r="K2376" s="1088"/>
    </row>
    <row r="2377" spans="3:11" ht="12" customHeight="1">
      <c r="C2377" s="891"/>
      <c r="D2377" s="891"/>
      <c r="E2377" s="891"/>
      <c r="F2377" s="891"/>
      <c r="G2377" s="891"/>
      <c r="H2377" s="1088"/>
      <c r="I2377" s="1088"/>
      <c r="J2377" s="1088"/>
      <c r="K2377" s="1088"/>
    </row>
    <row r="2378" spans="3:11" ht="12" customHeight="1">
      <c r="C2378" s="891"/>
      <c r="D2378" s="891"/>
      <c r="E2378" s="891"/>
      <c r="F2378" s="891"/>
      <c r="G2378" s="891"/>
      <c r="H2378" s="1088"/>
      <c r="I2378" s="1088"/>
      <c r="J2378" s="1088"/>
      <c r="K2378" s="1088"/>
    </row>
    <row r="2379" spans="3:11" ht="12" customHeight="1">
      <c r="C2379" s="891"/>
      <c r="D2379" s="891"/>
      <c r="E2379" s="891"/>
      <c r="F2379" s="891"/>
      <c r="G2379" s="891"/>
      <c r="H2379" s="1088"/>
      <c r="I2379" s="1088"/>
      <c r="J2379" s="1088"/>
      <c r="K2379" s="1088"/>
    </row>
    <row r="2380" spans="3:11" ht="12" customHeight="1">
      <c r="C2380" s="891"/>
      <c r="D2380" s="891"/>
      <c r="E2380" s="891"/>
      <c r="F2380" s="891"/>
      <c r="G2380" s="891"/>
      <c r="H2380" s="1088"/>
      <c r="I2380" s="1088"/>
      <c r="J2380" s="1088"/>
      <c r="K2380" s="1088"/>
    </row>
    <row r="2381" spans="3:11" ht="12" customHeight="1">
      <c r="C2381" s="891"/>
      <c r="D2381" s="891"/>
      <c r="E2381" s="891"/>
      <c r="F2381" s="891"/>
      <c r="G2381" s="891"/>
      <c r="H2381" s="1088"/>
      <c r="I2381" s="1088"/>
      <c r="J2381" s="1088"/>
      <c r="K2381" s="1088"/>
    </row>
    <row r="2382" spans="3:11" ht="12" customHeight="1">
      <c r="C2382" s="891"/>
      <c r="D2382" s="891"/>
      <c r="E2382" s="891"/>
      <c r="F2382" s="891"/>
      <c r="G2382" s="891"/>
      <c r="H2382" s="1088"/>
      <c r="I2382" s="1088"/>
      <c r="J2382" s="1088"/>
      <c r="K2382" s="1088"/>
    </row>
    <row r="2383" spans="3:11" ht="12" customHeight="1">
      <c r="C2383" s="891"/>
      <c r="D2383" s="891"/>
      <c r="E2383" s="891"/>
      <c r="F2383" s="891"/>
      <c r="G2383" s="891"/>
      <c r="H2383" s="1088"/>
      <c r="I2383" s="1088"/>
      <c r="J2383" s="1088"/>
      <c r="K2383" s="1088"/>
    </row>
    <row r="2384" spans="3:11" ht="12" customHeight="1">
      <c r="C2384" s="891"/>
      <c r="D2384" s="891"/>
      <c r="E2384" s="891"/>
      <c r="F2384" s="891"/>
      <c r="G2384" s="891"/>
      <c r="H2384" s="1088"/>
      <c r="I2384" s="1088"/>
      <c r="J2384" s="1088"/>
      <c r="K2384" s="1088"/>
    </row>
    <row r="2385" spans="3:11" ht="12" customHeight="1">
      <c r="C2385" s="891"/>
      <c r="D2385" s="891"/>
      <c r="E2385" s="891"/>
      <c r="F2385" s="891"/>
      <c r="G2385" s="891"/>
      <c r="H2385" s="1088"/>
      <c r="I2385" s="1088"/>
      <c r="J2385" s="1088"/>
      <c r="K2385" s="1088"/>
    </row>
    <row r="2386" spans="3:11" ht="12" customHeight="1">
      <c r="C2386" s="891"/>
      <c r="D2386" s="891"/>
      <c r="E2386" s="891"/>
      <c r="F2386" s="891"/>
      <c r="G2386" s="891"/>
      <c r="H2386" s="1088"/>
      <c r="I2386" s="1088"/>
      <c r="J2386" s="1088"/>
      <c r="K2386" s="1088"/>
    </row>
    <row r="2387" spans="3:11" ht="12" customHeight="1">
      <c r="C2387" s="891"/>
      <c r="D2387" s="891"/>
      <c r="E2387" s="891"/>
      <c r="F2387" s="891"/>
      <c r="G2387" s="891"/>
      <c r="H2387" s="1088"/>
      <c r="I2387" s="1088"/>
      <c r="J2387" s="1088"/>
      <c r="K2387" s="1088"/>
    </row>
    <row r="2388" spans="3:11" ht="12" customHeight="1">
      <c r="C2388" s="891"/>
      <c r="D2388" s="891"/>
      <c r="E2388" s="891"/>
      <c r="F2388" s="891"/>
      <c r="G2388" s="891"/>
      <c r="H2388" s="1088"/>
      <c r="I2388" s="1088"/>
      <c r="J2388" s="1088"/>
      <c r="K2388" s="1088"/>
    </row>
    <row r="2389" spans="3:11" ht="12" customHeight="1">
      <c r="C2389" s="891"/>
      <c r="D2389" s="891"/>
      <c r="E2389" s="891"/>
      <c r="F2389" s="891"/>
      <c r="G2389" s="891"/>
      <c r="H2389" s="1088"/>
      <c r="I2389" s="1088"/>
      <c r="J2389" s="1088"/>
      <c r="K2389" s="1088"/>
    </row>
    <row r="2390" spans="3:11" ht="12" customHeight="1">
      <c r="C2390" s="891"/>
      <c r="D2390" s="891"/>
      <c r="E2390" s="891"/>
      <c r="F2390" s="891"/>
      <c r="G2390" s="891"/>
      <c r="H2390" s="1088"/>
      <c r="I2390" s="1088"/>
      <c r="J2390" s="1088"/>
      <c r="K2390" s="1088"/>
    </row>
    <row r="2391" spans="3:11" ht="12" customHeight="1">
      <c r="C2391" s="891"/>
      <c r="D2391" s="891"/>
      <c r="E2391" s="891"/>
      <c r="F2391" s="891"/>
      <c r="G2391" s="891"/>
      <c r="H2391" s="1088"/>
      <c r="I2391" s="1088"/>
      <c r="J2391" s="1088"/>
      <c r="K2391" s="1088"/>
    </row>
    <row r="2392" spans="3:11" ht="12" customHeight="1">
      <c r="C2392" s="891"/>
      <c r="D2392" s="891"/>
      <c r="E2392" s="891"/>
      <c r="F2392" s="891"/>
      <c r="G2392" s="891"/>
      <c r="H2392" s="1088"/>
      <c r="I2392" s="1088"/>
      <c r="J2392" s="1088"/>
      <c r="K2392" s="1088"/>
    </row>
    <row r="2393" spans="3:11" ht="12" customHeight="1">
      <c r="C2393" s="891"/>
      <c r="D2393" s="891"/>
      <c r="E2393" s="891"/>
      <c r="F2393" s="891"/>
      <c r="G2393" s="891"/>
      <c r="H2393" s="1088"/>
      <c r="I2393" s="1088"/>
      <c r="J2393" s="1088"/>
      <c r="K2393" s="1088"/>
    </row>
    <row r="2394" spans="3:11" ht="12" customHeight="1">
      <c r="C2394" s="891"/>
      <c r="D2394" s="891"/>
      <c r="E2394" s="891"/>
      <c r="F2394" s="891"/>
      <c r="G2394" s="891"/>
      <c r="H2394" s="1088"/>
      <c r="I2394" s="1088"/>
      <c r="J2394" s="1088"/>
      <c r="K2394" s="1088"/>
    </row>
    <row r="2395" spans="3:11" ht="12" customHeight="1">
      <c r="C2395" s="891"/>
      <c r="D2395" s="891"/>
      <c r="E2395" s="891"/>
      <c r="F2395" s="891"/>
      <c r="G2395" s="891"/>
      <c r="H2395" s="1088"/>
      <c r="I2395" s="1088"/>
      <c r="J2395" s="1088"/>
      <c r="K2395" s="1088"/>
    </row>
    <row r="2396" spans="3:11" ht="12" customHeight="1">
      <c r="C2396" s="891"/>
      <c r="D2396" s="891"/>
      <c r="E2396" s="891"/>
      <c r="F2396" s="891"/>
      <c r="G2396" s="891"/>
      <c r="H2396" s="1088"/>
      <c r="I2396" s="1088"/>
      <c r="J2396" s="1088"/>
      <c r="K2396" s="1088"/>
    </row>
    <row r="2397" spans="3:11" ht="12" customHeight="1">
      <c r="C2397" s="891"/>
      <c r="D2397" s="891"/>
      <c r="E2397" s="891"/>
      <c r="F2397" s="891"/>
      <c r="G2397" s="891"/>
      <c r="H2397" s="1088"/>
      <c r="I2397" s="1088"/>
      <c r="J2397" s="1088"/>
      <c r="K2397" s="1088"/>
    </row>
    <row r="2398" spans="3:11" ht="12" customHeight="1">
      <c r="C2398" s="891"/>
      <c r="D2398" s="891"/>
      <c r="E2398" s="891"/>
      <c r="F2398" s="891"/>
      <c r="G2398" s="891"/>
      <c r="H2398" s="1088"/>
      <c r="I2398" s="1088"/>
      <c r="J2398" s="1088"/>
      <c r="K2398" s="1088"/>
    </row>
    <row r="2399" spans="3:11" ht="12" customHeight="1">
      <c r="C2399" s="891"/>
      <c r="D2399" s="891"/>
      <c r="E2399" s="891"/>
      <c r="F2399" s="891"/>
      <c r="G2399" s="891"/>
      <c r="H2399" s="1088"/>
      <c r="I2399" s="1088"/>
      <c r="J2399" s="1088"/>
      <c r="K2399" s="1088"/>
    </row>
    <row r="2400" spans="3:11" ht="12" customHeight="1">
      <c r="C2400" s="891"/>
      <c r="D2400" s="891"/>
      <c r="E2400" s="891"/>
      <c r="F2400" s="891"/>
      <c r="G2400" s="891"/>
      <c r="H2400" s="1088"/>
      <c r="I2400" s="1088"/>
      <c r="J2400" s="1088"/>
      <c r="K2400" s="1088"/>
    </row>
    <row r="2401" spans="3:11" ht="12" customHeight="1">
      <c r="C2401" s="891"/>
      <c r="D2401" s="891"/>
      <c r="E2401" s="891"/>
      <c r="F2401" s="891"/>
      <c r="G2401" s="891"/>
      <c r="H2401" s="1088"/>
      <c r="I2401" s="1088"/>
      <c r="J2401" s="1088"/>
      <c r="K2401" s="1088"/>
    </row>
    <row r="2402" spans="3:11" ht="12" customHeight="1">
      <c r="C2402" s="891"/>
      <c r="D2402" s="891"/>
      <c r="E2402" s="891"/>
      <c r="F2402" s="891"/>
      <c r="G2402" s="891"/>
      <c r="H2402" s="1088"/>
      <c r="I2402" s="1088"/>
      <c r="J2402" s="1088"/>
      <c r="K2402" s="1088"/>
    </row>
    <row r="2403" spans="3:11" ht="12" customHeight="1">
      <c r="C2403" s="891"/>
      <c r="D2403" s="891"/>
      <c r="E2403" s="891"/>
      <c r="F2403" s="891"/>
      <c r="G2403" s="891"/>
      <c r="H2403" s="1088"/>
      <c r="I2403" s="1088"/>
      <c r="J2403" s="1088"/>
      <c r="K2403" s="1088"/>
    </row>
    <row r="2404" spans="3:11" ht="12" customHeight="1">
      <c r="C2404" s="891"/>
      <c r="D2404" s="891"/>
      <c r="E2404" s="891"/>
      <c r="F2404" s="891"/>
      <c r="G2404" s="891"/>
      <c r="H2404" s="1088"/>
      <c r="I2404" s="1088"/>
      <c r="J2404" s="1088"/>
      <c r="K2404" s="1088"/>
    </row>
    <row r="2405" spans="3:11" ht="12" customHeight="1">
      <c r="C2405" s="891"/>
      <c r="D2405" s="891"/>
      <c r="E2405" s="891"/>
      <c r="F2405" s="891"/>
      <c r="G2405" s="891"/>
      <c r="H2405" s="1088"/>
      <c r="I2405" s="1088"/>
      <c r="J2405" s="1088"/>
      <c r="K2405" s="1088"/>
    </row>
    <row r="2406" spans="3:11" ht="12" customHeight="1">
      <c r="C2406" s="891"/>
      <c r="D2406" s="891"/>
      <c r="E2406" s="891"/>
      <c r="F2406" s="891"/>
      <c r="G2406" s="891"/>
      <c r="H2406" s="1088"/>
      <c r="I2406" s="1088"/>
      <c r="J2406" s="1088"/>
      <c r="K2406" s="1088"/>
    </row>
    <row r="2407" spans="3:11" ht="12" customHeight="1">
      <c r="C2407" s="891"/>
      <c r="D2407" s="891"/>
      <c r="E2407" s="891"/>
      <c r="F2407" s="891"/>
      <c r="G2407" s="891"/>
      <c r="H2407" s="1088"/>
      <c r="I2407" s="1088"/>
      <c r="J2407" s="1088"/>
      <c r="K2407" s="1088"/>
    </row>
    <row r="2408" spans="3:11" ht="12" customHeight="1">
      <c r="C2408" s="891"/>
      <c r="D2408" s="891"/>
      <c r="E2408" s="891"/>
      <c r="F2408" s="891"/>
      <c r="G2408" s="891"/>
      <c r="H2408" s="1088"/>
      <c r="I2408" s="1088"/>
      <c r="J2408" s="1088"/>
      <c r="K2408" s="1088"/>
    </row>
    <row r="2409" spans="3:11" ht="12" customHeight="1">
      <c r="C2409" s="891"/>
      <c r="D2409" s="891"/>
      <c r="E2409" s="891"/>
      <c r="F2409" s="891"/>
      <c r="G2409" s="891"/>
      <c r="H2409" s="1088"/>
      <c r="I2409" s="1088"/>
      <c r="J2409" s="1088"/>
      <c r="K2409" s="1088"/>
    </row>
    <row r="2410" spans="3:11" ht="12" customHeight="1">
      <c r="C2410" s="891"/>
      <c r="D2410" s="891"/>
      <c r="E2410" s="891"/>
      <c r="F2410" s="891"/>
      <c r="G2410" s="891"/>
      <c r="H2410" s="1088"/>
      <c r="I2410" s="1088"/>
      <c r="J2410" s="1088"/>
      <c r="K2410" s="1088"/>
    </row>
    <row r="2411" spans="3:11" ht="12" customHeight="1">
      <c r="C2411" s="891"/>
      <c r="D2411" s="891"/>
      <c r="E2411" s="891"/>
      <c r="F2411" s="891"/>
      <c r="G2411" s="891"/>
      <c r="H2411" s="1088"/>
      <c r="I2411" s="1088"/>
      <c r="J2411" s="1088"/>
      <c r="K2411" s="1088"/>
    </row>
    <row r="2412" spans="3:11" ht="12" customHeight="1">
      <c r="C2412" s="891"/>
      <c r="D2412" s="891"/>
      <c r="E2412" s="891"/>
      <c r="F2412" s="891"/>
      <c r="G2412" s="891"/>
      <c r="H2412" s="1088"/>
      <c r="I2412" s="1088"/>
      <c r="J2412" s="1088"/>
      <c r="K2412" s="1088"/>
    </row>
    <row r="2413" spans="3:11" ht="12" customHeight="1">
      <c r="C2413" s="891"/>
      <c r="D2413" s="891"/>
      <c r="E2413" s="891"/>
      <c r="F2413" s="891"/>
      <c r="G2413" s="891"/>
      <c r="H2413" s="1088"/>
      <c r="I2413" s="1088"/>
      <c r="J2413" s="1088"/>
      <c r="K2413" s="1088"/>
    </row>
    <row r="2414" spans="3:11" ht="12" customHeight="1">
      <c r="C2414" s="891"/>
      <c r="D2414" s="891"/>
      <c r="E2414" s="891"/>
      <c r="F2414" s="891"/>
      <c r="G2414" s="891"/>
      <c r="H2414" s="1088"/>
      <c r="I2414" s="1088"/>
      <c r="J2414" s="1088"/>
      <c r="K2414" s="1088"/>
    </row>
    <row r="2415" spans="3:11" ht="12" customHeight="1">
      <c r="C2415" s="891"/>
      <c r="D2415" s="891"/>
      <c r="E2415" s="891"/>
      <c r="F2415" s="891"/>
      <c r="G2415" s="891"/>
      <c r="H2415" s="1088"/>
      <c r="I2415" s="1088"/>
      <c r="J2415" s="1088"/>
      <c r="K2415" s="1088"/>
    </row>
    <row r="2416" spans="3:11" ht="12" customHeight="1">
      <c r="C2416" s="891"/>
      <c r="D2416" s="891"/>
      <c r="E2416" s="891"/>
      <c r="F2416" s="891"/>
      <c r="G2416" s="891"/>
      <c r="H2416" s="1088"/>
      <c r="I2416" s="1088"/>
      <c r="J2416" s="1088"/>
      <c r="K2416" s="1088"/>
    </row>
    <row r="2417" spans="3:11" ht="12" customHeight="1">
      <c r="C2417" s="891"/>
      <c r="D2417" s="891"/>
      <c r="E2417" s="891"/>
      <c r="F2417" s="891"/>
      <c r="G2417" s="891"/>
      <c r="H2417" s="1088"/>
      <c r="I2417" s="1088"/>
      <c r="J2417" s="1088"/>
      <c r="K2417" s="1088"/>
    </row>
    <row r="2418" spans="3:11" ht="12" customHeight="1">
      <c r="C2418" s="891"/>
      <c r="D2418" s="891"/>
      <c r="E2418" s="891"/>
      <c r="F2418" s="891"/>
      <c r="G2418" s="891"/>
      <c r="H2418" s="1088"/>
      <c r="I2418" s="1088"/>
      <c r="J2418" s="1088"/>
      <c r="K2418" s="1088"/>
    </row>
    <row r="2419" spans="3:11" ht="12" customHeight="1">
      <c r="C2419" s="891"/>
      <c r="D2419" s="891"/>
      <c r="E2419" s="891"/>
      <c r="F2419" s="891"/>
      <c r="G2419" s="891"/>
      <c r="H2419" s="1088"/>
      <c r="I2419" s="1088"/>
      <c r="J2419" s="1088"/>
      <c r="K2419" s="1088"/>
    </row>
    <row r="2420" spans="3:11" ht="12" customHeight="1">
      <c r="C2420" s="891"/>
      <c r="D2420" s="891"/>
      <c r="E2420" s="891"/>
      <c r="F2420" s="891"/>
      <c r="G2420" s="891"/>
      <c r="H2420" s="1088"/>
      <c r="I2420" s="1088"/>
      <c r="J2420" s="1088"/>
      <c r="K2420" s="1088"/>
    </row>
    <row r="2421" spans="3:11" ht="12" customHeight="1">
      <c r="C2421" s="891"/>
      <c r="D2421" s="891"/>
      <c r="E2421" s="891"/>
      <c r="F2421" s="891"/>
      <c r="G2421" s="891"/>
      <c r="H2421" s="1088"/>
      <c r="I2421" s="1088"/>
      <c r="J2421" s="1088"/>
      <c r="K2421" s="1088"/>
    </row>
    <row r="2422" spans="3:11" ht="12" customHeight="1">
      <c r="C2422" s="891"/>
      <c r="D2422" s="891"/>
      <c r="E2422" s="891"/>
      <c r="F2422" s="891"/>
      <c r="G2422" s="891"/>
      <c r="H2422" s="1088"/>
      <c r="I2422" s="1088"/>
      <c r="J2422" s="1088"/>
      <c r="K2422" s="1088"/>
    </row>
    <row r="2423" spans="3:11" ht="12" customHeight="1">
      <c r="C2423" s="891"/>
      <c r="D2423" s="891"/>
      <c r="E2423" s="891"/>
      <c r="F2423" s="891"/>
      <c r="G2423" s="891"/>
      <c r="H2423" s="1088"/>
      <c r="I2423" s="1088"/>
      <c r="J2423" s="1088"/>
      <c r="K2423" s="1088"/>
    </row>
    <row r="2424" spans="3:11" ht="12" customHeight="1">
      <c r="C2424" s="891"/>
      <c r="D2424" s="891"/>
      <c r="E2424" s="891"/>
      <c r="F2424" s="891"/>
      <c r="G2424" s="891"/>
      <c r="H2424" s="1088"/>
      <c r="I2424" s="1088"/>
      <c r="J2424" s="1088"/>
      <c r="K2424" s="1088"/>
    </row>
    <row r="2425" spans="3:11" ht="12" customHeight="1">
      <c r="C2425" s="891"/>
      <c r="D2425" s="891"/>
      <c r="E2425" s="891"/>
      <c r="F2425" s="891"/>
      <c r="G2425" s="891"/>
      <c r="H2425" s="1088"/>
      <c r="I2425" s="1088"/>
      <c r="J2425" s="1088"/>
      <c r="K2425" s="1088"/>
    </row>
    <row r="2426" spans="3:11" ht="12" customHeight="1">
      <c r="C2426" s="891"/>
      <c r="D2426" s="891"/>
      <c r="E2426" s="891"/>
      <c r="F2426" s="891"/>
      <c r="G2426" s="891"/>
      <c r="H2426" s="1088"/>
      <c r="I2426" s="1088"/>
      <c r="J2426" s="1088"/>
      <c r="K2426" s="1088"/>
    </row>
    <row r="2427" spans="3:11" ht="12" customHeight="1">
      <c r="C2427" s="891"/>
      <c r="D2427" s="891"/>
      <c r="E2427" s="891"/>
      <c r="F2427" s="891"/>
      <c r="G2427" s="891"/>
      <c r="H2427" s="1088"/>
      <c r="I2427" s="1088"/>
      <c r="J2427" s="1088"/>
      <c r="K2427" s="1088"/>
    </row>
    <row r="2428" spans="3:11" ht="12" customHeight="1">
      <c r="C2428" s="891"/>
      <c r="D2428" s="891"/>
      <c r="E2428" s="891"/>
      <c r="F2428" s="891"/>
      <c r="G2428" s="891"/>
      <c r="H2428" s="1088"/>
      <c r="I2428" s="1088"/>
      <c r="J2428" s="1088"/>
      <c r="K2428" s="1088"/>
    </row>
    <row r="2429" spans="3:11" ht="12" customHeight="1">
      <c r="C2429" s="891"/>
      <c r="D2429" s="891"/>
      <c r="E2429" s="891"/>
      <c r="F2429" s="891"/>
      <c r="G2429" s="891"/>
      <c r="H2429" s="1088"/>
      <c r="I2429" s="1088"/>
      <c r="J2429" s="1088"/>
      <c r="K2429" s="1088"/>
    </row>
    <row r="2430" spans="3:11" ht="12" customHeight="1">
      <c r="C2430" s="891"/>
      <c r="D2430" s="891"/>
      <c r="E2430" s="891"/>
      <c r="F2430" s="891"/>
      <c r="G2430" s="891"/>
      <c r="H2430" s="1088"/>
      <c r="I2430" s="1088"/>
      <c r="J2430" s="1088"/>
      <c r="K2430" s="1088"/>
    </row>
    <row r="2431" spans="3:11" ht="12" customHeight="1">
      <c r="C2431" s="891"/>
      <c r="D2431" s="891"/>
      <c r="E2431" s="891"/>
      <c r="F2431" s="891"/>
      <c r="G2431" s="891"/>
      <c r="H2431" s="1088"/>
      <c r="I2431" s="1088"/>
      <c r="J2431" s="1088"/>
      <c r="K2431" s="1088"/>
    </row>
    <row r="2432" spans="3:11" ht="12" customHeight="1">
      <c r="C2432" s="891"/>
      <c r="D2432" s="891"/>
      <c r="E2432" s="891"/>
      <c r="F2432" s="891"/>
      <c r="G2432" s="891"/>
      <c r="H2432" s="1088"/>
      <c r="I2432" s="1088"/>
      <c r="J2432" s="1088"/>
      <c r="K2432" s="1088"/>
    </row>
    <row r="2433" spans="3:11" ht="12" customHeight="1">
      <c r="C2433" s="891"/>
      <c r="D2433" s="891"/>
      <c r="E2433" s="891"/>
      <c r="F2433" s="891"/>
      <c r="G2433" s="891"/>
      <c r="H2433" s="1088"/>
      <c r="I2433" s="1088"/>
      <c r="J2433" s="1088"/>
      <c r="K2433" s="1088"/>
    </row>
    <row r="2434" spans="3:11" ht="12" customHeight="1">
      <c r="C2434" s="891"/>
      <c r="D2434" s="891"/>
      <c r="E2434" s="891"/>
      <c r="F2434" s="891"/>
      <c r="G2434" s="891"/>
      <c r="H2434" s="1088"/>
      <c r="I2434" s="1088"/>
      <c r="J2434" s="1088"/>
      <c r="K2434" s="1088"/>
    </row>
    <row r="2435" spans="3:11" ht="12" customHeight="1">
      <c r="C2435" s="891"/>
      <c r="D2435" s="891"/>
      <c r="E2435" s="891"/>
      <c r="F2435" s="891"/>
      <c r="G2435" s="891"/>
      <c r="H2435" s="1088"/>
      <c r="I2435" s="1088"/>
      <c r="J2435" s="1088"/>
      <c r="K2435" s="1088"/>
    </row>
    <row r="2436" spans="3:11" ht="12" customHeight="1">
      <c r="C2436" s="891"/>
      <c r="D2436" s="891"/>
      <c r="E2436" s="891"/>
      <c r="F2436" s="891"/>
      <c r="G2436" s="891"/>
      <c r="H2436" s="1088"/>
      <c r="I2436" s="1088"/>
      <c r="J2436" s="1088"/>
      <c r="K2436" s="1088"/>
    </row>
    <row r="2437" spans="3:11" ht="12" customHeight="1">
      <c r="C2437" s="891"/>
      <c r="D2437" s="891"/>
      <c r="E2437" s="891"/>
      <c r="F2437" s="891"/>
      <c r="G2437" s="891"/>
      <c r="H2437" s="1088"/>
      <c r="I2437" s="1088"/>
      <c r="J2437" s="1088"/>
      <c r="K2437" s="1088"/>
    </row>
    <row r="2438" spans="3:11" ht="12" customHeight="1">
      <c r="C2438" s="891"/>
      <c r="D2438" s="891"/>
      <c r="E2438" s="891"/>
      <c r="F2438" s="891"/>
      <c r="G2438" s="891"/>
      <c r="H2438" s="1088"/>
      <c r="I2438" s="1088"/>
      <c r="J2438" s="1088"/>
      <c r="K2438" s="1088"/>
    </row>
    <row r="2439" spans="3:11" ht="12" customHeight="1">
      <c r="C2439" s="891"/>
      <c r="D2439" s="891"/>
      <c r="E2439" s="891"/>
      <c r="F2439" s="891"/>
      <c r="G2439" s="891"/>
      <c r="H2439" s="1088"/>
      <c r="I2439" s="1088"/>
      <c r="J2439" s="1088"/>
      <c r="K2439" s="1088"/>
    </row>
    <row r="2440" spans="3:11" ht="12" customHeight="1">
      <c r="C2440" s="891"/>
      <c r="D2440" s="891"/>
      <c r="E2440" s="891"/>
      <c r="F2440" s="891"/>
      <c r="G2440" s="891"/>
      <c r="H2440" s="1088"/>
      <c r="I2440" s="1088"/>
      <c r="J2440" s="1088"/>
      <c r="K2440" s="1088"/>
    </row>
    <row r="2441" spans="3:11" ht="12" customHeight="1">
      <c r="C2441" s="891"/>
      <c r="D2441" s="891"/>
      <c r="E2441" s="891"/>
      <c r="F2441" s="891"/>
      <c r="G2441" s="891"/>
      <c r="H2441" s="1088"/>
      <c r="I2441" s="1088"/>
      <c r="J2441" s="1088"/>
      <c r="K2441" s="1088"/>
    </row>
    <row r="2442" spans="3:11" ht="12" customHeight="1">
      <c r="C2442" s="891"/>
      <c r="D2442" s="891"/>
      <c r="E2442" s="891"/>
      <c r="F2442" s="891"/>
      <c r="G2442" s="891"/>
      <c r="H2442" s="1088"/>
      <c r="I2442" s="1088"/>
      <c r="J2442" s="1088"/>
      <c r="K2442" s="1088"/>
    </row>
    <row r="2443" spans="3:11" ht="12" customHeight="1">
      <c r="C2443" s="891"/>
      <c r="D2443" s="891"/>
      <c r="E2443" s="891"/>
      <c r="F2443" s="891"/>
      <c r="G2443" s="891"/>
      <c r="H2443" s="1088"/>
      <c r="I2443" s="1088"/>
      <c r="J2443" s="1088"/>
      <c r="K2443" s="1088"/>
    </row>
    <row r="2444" spans="3:11" ht="12" customHeight="1">
      <c r="C2444" s="891"/>
      <c r="D2444" s="891"/>
      <c r="E2444" s="891"/>
      <c r="F2444" s="891"/>
      <c r="G2444" s="891"/>
      <c r="H2444" s="1088"/>
      <c r="I2444" s="1088"/>
      <c r="J2444" s="1088"/>
      <c r="K2444" s="1088"/>
    </row>
    <row r="2445" spans="3:11" ht="12" customHeight="1">
      <c r="C2445" s="891"/>
      <c r="D2445" s="891"/>
      <c r="E2445" s="891"/>
      <c r="F2445" s="891"/>
      <c r="G2445" s="891"/>
      <c r="H2445" s="1088"/>
      <c r="I2445" s="1088"/>
      <c r="J2445" s="1088"/>
      <c r="K2445" s="1088"/>
    </row>
    <row r="2446" spans="3:11" ht="12" customHeight="1">
      <c r="C2446" s="891"/>
      <c r="D2446" s="891"/>
      <c r="E2446" s="891"/>
      <c r="F2446" s="891"/>
      <c r="G2446" s="891"/>
      <c r="H2446" s="1088"/>
      <c r="I2446" s="1088"/>
      <c r="J2446" s="1088"/>
      <c r="K2446" s="1088"/>
    </row>
    <row r="2447" spans="3:11" ht="12" customHeight="1">
      <c r="C2447" s="891"/>
      <c r="D2447" s="891"/>
      <c r="E2447" s="891"/>
      <c r="F2447" s="891"/>
      <c r="G2447" s="891"/>
      <c r="H2447" s="1088"/>
      <c r="I2447" s="1088"/>
      <c r="J2447" s="1088"/>
      <c r="K2447" s="1088"/>
    </row>
    <row r="2448" spans="3:11" ht="12" customHeight="1">
      <c r="C2448" s="891"/>
      <c r="D2448" s="891"/>
      <c r="E2448" s="891"/>
      <c r="F2448" s="891"/>
      <c r="G2448" s="891"/>
      <c r="H2448" s="1088"/>
      <c r="I2448" s="1088"/>
      <c r="J2448" s="1088"/>
      <c r="K2448" s="1088"/>
    </row>
    <row r="2449" spans="3:11" ht="12" customHeight="1">
      <c r="C2449" s="891"/>
      <c r="D2449" s="891"/>
      <c r="E2449" s="891"/>
      <c r="F2449" s="891"/>
      <c r="G2449" s="891"/>
      <c r="H2449" s="1088"/>
      <c r="I2449" s="1088"/>
      <c r="J2449" s="1088"/>
      <c r="K2449" s="1088"/>
    </row>
    <row r="2450" spans="3:11" ht="12" customHeight="1">
      <c r="C2450" s="891"/>
      <c r="D2450" s="891"/>
      <c r="E2450" s="891"/>
      <c r="F2450" s="891"/>
      <c r="G2450" s="891"/>
      <c r="H2450" s="1088"/>
      <c r="I2450" s="1088"/>
      <c r="J2450" s="1088"/>
      <c r="K2450" s="1088"/>
    </row>
    <row r="2451" spans="3:11" ht="12" customHeight="1">
      <c r="C2451" s="891"/>
      <c r="D2451" s="891"/>
      <c r="E2451" s="891"/>
      <c r="F2451" s="891"/>
      <c r="G2451" s="891"/>
      <c r="H2451" s="1088"/>
      <c r="I2451" s="1088"/>
      <c r="J2451" s="1088"/>
      <c r="K2451" s="1088"/>
    </row>
    <row r="2452" spans="3:11" ht="12" customHeight="1">
      <c r="C2452" s="891"/>
      <c r="D2452" s="891"/>
      <c r="E2452" s="891"/>
      <c r="F2452" s="891"/>
      <c r="G2452" s="891"/>
      <c r="H2452" s="1088"/>
      <c r="I2452" s="1088"/>
      <c r="J2452" s="1088"/>
      <c r="K2452" s="1088"/>
    </row>
    <row r="2453" spans="3:11" ht="12" customHeight="1">
      <c r="C2453" s="891"/>
      <c r="D2453" s="891"/>
      <c r="E2453" s="891"/>
      <c r="F2453" s="891"/>
      <c r="G2453" s="891"/>
      <c r="H2453" s="1088"/>
      <c r="I2453" s="1088"/>
      <c r="J2453" s="1088"/>
      <c r="K2453" s="1088"/>
    </row>
    <row r="2454" spans="3:11" ht="12" customHeight="1">
      <c r="C2454" s="891"/>
      <c r="D2454" s="891"/>
      <c r="E2454" s="891"/>
      <c r="F2454" s="891"/>
      <c r="G2454" s="891"/>
      <c r="H2454" s="1088"/>
      <c r="I2454" s="1088"/>
      <c r="J2454" s="1088"/>
      <c r="K2454" s="1088"/>
    </row>
    <row r="2455" spans="3:11" ht="12" customHeight="1">
      <c r="C2455" s="891"/>
      <c r="D2455" s="891"/>
      <c r="E2455" s="891"/>
      <c r="F2455" s="891"/>
      <c r="G2455" s="891"/>
      <c r="H2455" s="1088"/>
      <c r="I2455" s="1088"/>
      <c r="J2455" s="1088"/>
      <c r="K2455" s="1088"/>
    </row>
    <row r="2456" spans="3:11" ht="12" customHeight="1">
      <c r="C2456" s="891"/>
      <c r="D2456" s="891"/>
      <c r="E2456" s="891"/>
      <c r="F2456" s="891"/>
      <c r="G2456" s="891"/>
      <c r="H2456" s="1088"/>
      <c r="I2456" s="1088"/>
      <c r="J2456" s="1088"/>
      <c r="K2456" s="1088"/>
    </row>
    <row r="2457" spans="3:11" ht="12" customHeight="1">
      <c r="C2457" s="891"/>
      <c r="D2457" s="891"/>
      <c r="E2457" s="891"/>
      <c r="F2457" s="891"/>
      <c r="G2457" s="891"/>
      <c r="H2457" s="1088"/>
      <c r="I2457" s="1088"/>
      <c r="J2457" s="1088"/>
      <c r="K2457" s="1088"/>
    </row>
    <row r="2458" spans="3:11" ht="12" customHeight="1">
      <c r="C2458" s="891"/>
      <c r="D2458" s="891"/>
      <c r="E2458" s="891"/>
      <c r="F2458" s="891"/>
      <c r="G2458" s="891"/>
      <c r="H2458" s="1088"/>
      <c r="I2458" s="1088"/>
      <c r="J2458" s="1088"/>
      <c r="K2458" s="1088"/>
    </row>
    <row r="2459" spans="3:11" ht="12" customHeight="1">
      <c r="C2459" s="891"/>
      <c r="D2459" s="891"/>
      <c r="E2459" s="891"/>
      <c r="F2459" s="891"/>
      <c r="G2459" s="891"/>
      <c r="H2459" s="1088"/>
      <c r="I2459" s="1088"/>
      <c r="J2459" s="1088"/>
      <c r="K2459" s="1088"/>
    </row>
    <row r="2460" spans="3:11" ht="12" customHeight="1">
      <c r="C2460" s="891"/>
      <c r="D2460" s="891"/>
      <c r="E2460" s="891"/>
      <c r="F2460" s="891"/>
      <c r="G2460" s="891"/>
      <c r="H2460" s="1088"/>
      <c r="I2460" s="1088"/>
      <c r="J2460" s="1088"/>
      <c r="K2460" s="1088"/>
    </row>
    <row r="2461" spans="3:11" ht="12" customHeight="1">
      <c r="C2461" s="891"/>
      <c r="D2461" s="891"/>
      <c r="E2461" s="891"/>
      <c r="F2461" s="891"/>
      <c r="G2461" s="891"/>
      <c r="H2461" s="1088"/>
      <c r="I2461" s="1088"/>
      <c r="J2461" s="1088"/>
      <c r="K2461" s="1088"/>
    </row>
    <row r="2462" spans="3:11" ht="12" customHeight="1">
      <c r="C2462" s="891"/>
      <c r="D2462" s="891"/>
      <c r="E2462" s="891"/>
      <c r="F2462" s="891"/>
      <c r="G2462" s="891"/>
      <c r="H2462" s="1088"/>
      <c r="I2462" s="1088"/>
      <c r="J2462" s="1088"/>
      <c r="K2462" s="1088"/>
    </row>
    <row r="2463" spans="3:11" ht="12" customHeight="1">
      <c r="C2463" s="891"/>
      <c r="D2463" s="891"/>
      <c r="E2463" s="891"/>
      <c r="F2463" s="891"/>
      <c r="G2463" s="891"/>
      <c r="H2463" s="1088"/>
      <c r="I2463" s="1088"/>
      <c r="J2463" s="1088"/>
      <c r="K2463" s="1088"/>
    </row>
    <row r="2464" spans="3:11" ht="12" customHeight="1">
      <c r="C2464" s="891"/>
      <c r="D2464" s="891"/>
      <c r="E2464" s="891"/>
      <c r="F2464" s="891"/>
      <c r="G2464" s="891"/>
      <c r="H2464" s="1088"/>
      <c r="I2464" s="1088"/>
      <c r="J2464" s="1088"/>
      <c r="K2464" s="1088"/>
    </row>
    <row r="2465" spans="3:11" ht="12" customHeight="1">
      <c r="C2465" s="891"/>
      <c r="D2465" s="891"/>
      <c r="E2465" s="891"/>
      <c r="F2465" s="891"/>
      <c r="G2465" s="891"/>
      <c r="H2465" s="1088"/>
      <c r="I2465" s="1088"/>
      <c r="J2465" s="1088"/>
      <c r="K2465" s="1088"/>
    </row>
    <row r="2466" spans="3:11" ht="12" customHeight="1">
      <c r="C2466" s="891"/>
      <c r="D2466" s="891"/>
      <c r="E2466" s="891"/>
      <c r="F2466" s="891"/>
      <c r="G2466" s="891"/>
      <c r="H2466" s="1088"/>
      <c r="I2466" s="1088"/>
      <c r="J2466" s="1088"/>
      <c r="K2466" s="1088"/>
    </row>
    <row r="2467" spans="3:11" ht="12" customHeight="1">
      <c r="C2467" s="891"/>
      <c r="D2467" s="891"/>
      <c r="E2467" s="891"/>
      <c r="F2467" s="891"/>
      <c r="G2467" s="891"/>
      <c r="H2467" s="1088"/>
      <c r="I2467" s="1088"/>
      <c r="J2467" s="1088"/>
      <c r="K2467" s="1088"/>
    </row>
    <row r="2468" spans="3:11" ht="12" customHeight="1">
      <c r="C2468" s="891"/>
      <c r="D2468" s="891"/>
      <c r="E2468" s="891"/>
      <c r="F2468" s="891"/>
      <c r="G2468" s="891"/>
      <c r="H2468" s="1088"/>
      <c r="I2468" s="1088"/>
      <c r="J2468" s="1088"/>
      <c r="K2468" s="1088"/>
    </row>
    <row r="2469" spans="3:11" ht="12" customHeight="1">
      <c r="C2469" s="891"/>
      <c r="D2469" s="891"/>
      <c r="E2469" s="891"/>
      <c r="F2469" s="891"/>
      <c r="G2469" s="891"/>
      <c r="H2469" s="1088"/>
      <c r="I2469" s="1088"/>
      <c r="J2469" s="1088"/>
      <c r="K2469" s="1088"/>
    </row>
    <row r="2470" spans="3:11" ht="12" customHeight="1">
      <c r="C2470" s="891"/>
      <c r="D2470" s="891"/>
      <c r="E2470" s="891"/>
      <c r="F2470" s="891"/>
      <c r="G2470" s="891"/>
      <c r="H2470" s="1088"/>
      <c r="I2470" s="1088"/>
      <c r="J2470" s="1088"/>
      <c r="K2470" s="1088"/>
    </row>
    <row r="2471" spans="7:11" ht="12" customHeight="1">
      <c r="G2471" s="891"/>
      <c r="H2471" s="1088"/>
      <c r="I2471" s="1088"/>
      <c r="J2471" s="1088"/>
      <c r="K2471" s="1088"/>
    </row>
    <row r="2472" spans="7:11" ht="12" customHeight="1">
      <c r="G2472" s="891"/>
      <c r="H2472" s="1088"/>
      <c r="I2472" s="1088"/>
      <c r="J2472" s="1088"/>
      <c r="K2472" s="1088"/>
    </row>
    <row r="2473" spans="7:11" ht="12" customHeight="1">
      <c r="G2473" s="891"/>
      <c r="H2473" s="1088"/>
      <c r="I2473" s="1088"/>
      <c r="J2473" s="1088"/>
      <c r="K2473" s="1088"/>
    </row>
    <row r="2474" spans="7:11" ht="12" customHeight="1">
      <c r="G2474" s="891"/>
      <c r="H2474" s="1088"/>
      <c r="I2474" s="1088"/>
      <c r="J2474" s="1088"/>
      <c r="K2474" s="1088"/>
    </row>
    <row r="2475" spans="7:11" ht="12" customHeight="1">
      <c r="G2475" s="891"/>
      <c r="H2475" s="1088"/>
      <c r="I2475" s="1088"/>
      <c r="J2475" s="1088"/>
      <c r="K2475" s="1088"/>
    </row>
    <row r="2476" spans="10:11" ht="12" customHeight="1">
      <c r="J2476" s="1088"/>
      <c r="K2476" s="1088"/>
    </row>
    <row r="2477" ht="12" customHeight="1">
      <c r="K2477" s="1088"/>
    </row>
    <row r="2478" ht="12" customHeight="1">
      <c r="K2478" s="1088"/>
    </row>
    <row r="2479" ht="12" customHeight="1">
      <c r="K2479" s="1088"/>
    </row>
    <row r="2480" ht="12" customHeight="1">
      <c r="K2480" s="1088"/>
    </row>
  </sheetData>
  <sheetProtection password="CCBC" sheet="1" objects="1" scenarios="1"/>
  <mergeCells count="8">
    <mergeCell ref="B61:E61"/>
    <mergeCell ref="G8:H8"/>
    <mergeCell ref="E9:F9"/>
    <mergeCell ref="G9:H9"/>
    <mergeCell ref="B58:E58"/>
    <mergeCell ref="B57:E57"/>
    <mergeCell ref="B28:F28"/>
    <mergeCell ref="E8:F8"/>
  </mergeCells>
  <conditionalFormatting sqref="C51:C52 C47:C48 F58 F61 C12 D12:D16 C15:C16 C17:D17 C20:D24 C26:D27">
    <cfRule type="expression" priority="1" dxfId="0" stopIfTrue="1">
      <formula>$G$2=TRUE</formula>
    </cfRule>
  </conditionalFormatting>
  <printOptions/>
  <pageMargins left="0.75" right="0.75" top="1" bottom="1" header="0.5" footer="0.5"/>
  <pageSetup horizontalDpi="600" verticalDpi="600" orientation="landscape" paperSize="9" scale="94" r:id="rId2"/>
  <rowBreaks count="1" manualBreakCount="1">
    <brk id="38" max="8"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showGridLines="0" showRowColHeaders="0" showZeros="0" showOutlineSymbols="0" view="pageBreakPreview" zoomScale="75" zoomScaleNormal="86" zoomScaleSheetLayoutView="75" workbookViewId="0" topLeftCell="A1">
      <selection activeCell="C10" sqref="C10"/>
    </sheetView>
  </sheetViews>
  <sheetFormatPr defaultColWidth="9.140625" defaultRowHeight="12.75"/>
  <cols>
    <col min="1" max="1" width="6.7109375" style="898" customWidth="1"/>
    <col min="2" max="2" width="51.8515625" style="563" customWidth="1"/>
    <col min="3" max="3" width="16.28125" style="563" customWidth="1"/>
    <col min="4" max="4" width="16.28125" style="910" customWidth="1"/>
    <col min="5" max="7" width="16.28125" style="563" customWidth="1"/>
    <col min="8" max="16384" width="9.140625" style="563" customWidth="1"/>
  </cols>
  <sheetData>
    <row r="1" spans="1:10" ht="12">
      <c r="A1" s="901"/>
      <c r="B1" s="880"/>
      <c r="C1" s="905"/>
      <c r="D1" s="458"/>
      <c r="E1" s="458"/>
      <c r="F1" s="561"/>
      <c r="G1" s="458"/>
      <c r="H1" s="458"/>
      <c r="I1" s="454"/>
      <c r="J1" s="454"/>
    </row>
    <row r="2" spans="1:7" ht="15.75" customHeight="1">
      <c r="A2" s="1022" t="str">
        <f>CONCATENATE("Nacalculatieformulier",Voorblad!D3)</f>
        <v>Nacalculatieformulier2005</v>
      </c>
      <c r="B2" s="904"/>
      <c r="C2" s="599"/>
      <c r="D2" s="599"/>
      <c r="E2" s="599"/>
      <c r="F2" s="603" t="b">
        <f>Voorblad!D30</f>
        <v>1</v>
      </c>
      <c r="G2" s="598">
        <f>'Prod1.1'!H40+1</f>
        <v>9</v>
      </c>
    </row>
    <row r="3" spans="1:8" ht="12">
      <c r="A3" s="569"/>
      <c r="B3" s="873"/>
      <c r="C3" s="91"/>
      <c r="D3" s="91"/>
      <c r="E3" s="91"/>
      <c r="F3" s="91"/>
      <c r="G3" s="923"/>
      <c r="H3" s="595"/>
    </row>
    <row r="5" spans="1:7" ht="12">
      <c r="A5" s="880" t="s">
        <v>112</v>
      </c>
      <c r="B5" s="880" t="s">
        <v>347</v>
      </c>
      <c r="C5" s="912" t="s">
        <v>365</v>
      </c>
      <c r="D5" s="913" t="s">
        <v>366</v>
      </c>
      <c r="E5" s="914" t="s">
        <v>367</v>
      </c>
      <c r="F5" s="893" t="s">
        <v>147</v>
      </c>
      <c r="G5" s="893" t="s">
        <v>368</v>
      </c>
    </row>
    <row r="6" spans="3:7" ht="12">
      <c r="C6" s="915" t="s">
        <v>270</v>
      </c>
      <c r="D6" s="916" t="s">
        <v>271</v>
      </c>
      <c r="E6" s="917" t="s">
        <v>189</v>
      </c>
      <c r="F6" s="918">
        <f>E7</f>
        <v>2005</v>
      </c>
      <c r="G6" s="918">
        <f>E7</f>
        <v>2005</v>
      </c>
    </row>
    <row r="7" spans="3:7" ht="12">
      <c r="C7" s="919">
        <f>Voorblad!D3</f>
        <v>2005</v>
      </c>
      <c r="D7" s="920" t="str">
        <f>CONCATENATE("budget ",Voorblad!D3,"")</f>
        <v>budget 2005</v>
      </c>
      <c r="E7" s="921">
        <f>C7</f>
        <v>2005</v>
      </c>
      <c r="F7" s="899" t="s">
        <v>296</v>
      </c>
      <c r="G7" s="899"/>
    </row>
    <row r="10" spans="1:7" ht="12">
      <c r="A10" s="973">
        <f>G2*100+1</f>
        <v>901</v>
      </c>
      <c r="B10" s="861" t="s">
        <v>40</v>
      </c>
      <c r="C10" s="432"/>
      <c r="D10" s="1005"/>
      <c r="E10" s="1132">
        <f>ROUND(C10*D10,0)</f>
        <v>0</v>
      </c>
      <c r="F10" s="432"/>
      <c r="G10" s="897">
        <f>E10-F10</f>
        <v>0</v>
      </c>
    </row>
    <row r="11" spans="1:7" ht="12">
      <c r="A11" s="973">
        <f>A10+1</f>
        <v>902</v>
      </c>
      <c r="B11" s="861" t="s">
        <v>41</v>
      </c>
      <c r="C11" s="432"/>
      <c r="D11" s="1005"/>
      <c r="E11" s="1132">
        <f>ROUND(C11*D11,0)</f>
        <v>0</v>
      </c>
      <c r="F11" s="432"/>
      <c r="G11" s="897">
        <f aca="true" t="shared" si="0" ref="G11:G28">E11-F11</f>
        <v>0</v>
      </c>
    </row>
    <row r="12" spans="1:7" ht="12" customHeight="1">
      <c r="A12" s="973">
        <f>A11+1</f>
        <v>903</v>
      </c>
      <c r="B12" s="861" t="s">
        <v>42</v>
      </c>
      <c r="C12" s="432"/>
      <c r="D12" s="1005"/>
      <c r="E12" s="1132">
        <f>ROUND(C12*D12,0)</f>
        <v>0</v>
      </c>
      <c r="F12" s="432"/>
      <c r="G12" s="897">
        <f t="shared" si="0"/>
        <v>0</v>
      </c>
    </row>
    <row r="13" spans="1:7" ht="12">
      <c r="A13" s="973">
        <f>A12+1</f>
        <v>904</v>
      </c>
      <c r="B13" s="861" t="s">
        <v>43</v>
      </c>
      <c r="C13" s="432"/>
      <c r="D13" s="1005"/>
      <c r="E13" s="1132">
        <f>ROUND(C13*D13,0)</f>
        <v>0</v>
      </c>
      <c r="F13" s="432"/>
      <c r="G13" s="897">
        <f t="shared" si="0"/>
        <v>0</v>
      </c>
    </row>
    <row r="14" spans="1:7" ht="12">
      <c r="A14" s="973">
        <f aca="true" t="shared" si="1" ref="A14:A28">A13+1</f>
        <v>905</v>
      </c>
      <c r="B14" s="861" t="s">
        <v>44</v>
      </c>
      <c r="C14" s="432"/>
      <c r="D14" s="1005"/>
      <c r="E14" s="1132">
        <f aca="true" t="shared" si="2" ref="E14:E28">ROUND(C14*D14,0)</f>
        <v>0</v>
      </c>
      <c r="F14" s="432"/>
      <c r="G14" s="897">
        <f t="shared" si="0"/>
        <v>0</v>
      </c>
    </row>
    <row r="15" spans="1:7" ht="12">
      <c r="A15" s="973">
        <f t="shared" si="1"/>
        <v>906</v>
      </c>
      <c r="B15" s="861" t="s">
        <v>45</v>
      </c>
      <c r="C15" s="432"/>
      <c r="D15" s="1005"/>
      <c r="E15" s="1132">
        <f t="shared" si="2"/>
        <v>0</v>
      </c>
      <c r="F15" s="432"/>
      <c r="G15" s="897">
        <f t="shared" si="0"/>
        <v>0</v>
      </c>
    </row>
    <row r="16" spans="1:7" ht="12">
      <c r="A16" s="973">
        <f t="shared" si="1"/>
        <v>907</v>
      </c>
      <c r="B16" s="861" t="s">
        <v>46</v>
      </c>
      <c r="C16" s="432"/>
      <c r="D16" s="1005"/>
      <c r="E16" s="1132">
        <f t="shared" si="2"/>
        <v>0</v>
      </c>
      <c r="F16" s="432"/>
      <c r="G16" s="897">
        <f t="shared" si="0"/>
        <v>0</v>
      </c>
    </row>
    <row r="17" spans="1:7" ht="12">
      <c r="A17" s="973">
        <f t="shared" si="1"/>
        <v>908</v>
      </c>
      <c r="B17" s="861" t="s">
        <v>47</v>
      </c>
      <c r="C17" s="432"/>
      <c r="D17" s="1005"/>
      <c r="E17" s="1132">
        <f t="shared" si="2"/>
        <v>0</v>
      </c>
      <c r="F17" s="432"/>
      <c r="G17" s="897">
        <f t="shared" si="0"/>
        <v>0</v>
      </c>
    </row>
    <row r="18" spans="1:7" ht="12" customHeight="1">
      <c r="A18" s="973">
        <f t="shared" si="1"/>
        <v>909</v>
      </c>
      <c r="B18" s="861" t="s">
        <v>48</v>
      </c>
      <c r="C18" s="432"/>
      <c r="D18" s="1005"/>
      <c r="E18" s="1132">
        <f t="shared" si="2"/>
        <v>0</v>
      </c>
      <c r="F18" s="432"/>
      <c r="G18" s="897">
        <f t="shared" si="0"/>
        <v>0</v>
      </c>
    </row>
    <row r="19" spans="1:7" ht="12">
      <c r="A19" s="973">
        <f t="shared" si="1"/>
        <v>910</v>
      </c>
      <c r="B19" s="861" t="s">
        <v>49</v>
      </c>
      <c r="C19" s="432"/>
      <c r="D19" s="1005"/>
      <c r="E19" s="1132">
        <f t="shared" si="2"/>
        <v>0</v>
      </c>
      <c r="F19" s="432"/>
      <c r="G19" s="897">
        <f t="shared" si="0"/>
        <v>0</v>
      </c>
    </row>
    <row r="20" spans="1:7" ht="12">
      <c r="A20" s="973">
        <f t="shared" si="1"/>
        <v>911</v>
      </c>
      <c r="B20" s="861" t="s">
        <v>50</v>
      </c>
      <c r="C20" s="432"/>
      <c r="D20" s="1005"/>
      <c r="E20" s="1132">
        <f>ROUND(C20*D20,0)</f>
        <v>0</v>
      </c>
      <c r="F20" s="432"/>
      <c r="G20" s="897">
        <f t="shared" si="0"/>
        <v>0</v>
      </c>
    </row>
    <row r="21" spans="1:7" ht="12">
      <c r="A21" s="973">
        <f t="shared" si="1"/>
        <v>912</v>
      </c>
      <c r="B21" s="861" t="s">
        <v>51</v>
      </c>
      <c r="C21" s="432"/>
      <c r="D21" s="1005"/>
      <c r="E21" s="1132">
        <f t="shared" si="2"/>
        <v>0</v>
      </c>
      <c r="F21" s="432"/>
      <c r="G21" s="897">
        <f t="shared" si="0"/>
        <v>0</v>
      </c>
    </row>
    <row r="22" spans="1:7" ht="12">
      <c r="A22" s="973">
        <f t="shared" si="1"/>
        <v>913</v>
      </c>
      <c r="B22" s="861" t="s">
        <v>52</v>
      </c>
      <c r="C22" s="432"/>
      <c r="D22" s="1165">
        <v>1</v>
      </c>
      <c r="E22" s="1132">
        <f t="shared" si="2"/>
        <v>0</v>
      </c>
      <c r="F22" s="432"/>
      <c r="G22" s="897">
        <f t="shared" si="0"/>
        <v>0</v>
      </c>
    </row>
    <row r="23" spans="1:7" ht="12">
      <c r="A23" s="973">
        <f t="shared" si="1"/>
        <v>914</v>
      </c>
      <c r="B23" s="861" t="s">
        <v>53</v>
      </c>
      <c r="C23" s="432"/>
      <c r="D23" s="1165">
        <v>1</v>
      </c>
      <c r="E23" s="1132">
        <f t="shared" si="2"/>
        <v>0</v>
      </c>
      <c r="F23" s="432"/>
      <c r="G23" s="897">
        <f t="shared" si="0"/>
        <v>0</v>
      </c>
    </row>
    <row r="24" spans="1:7" ht="12">
      <c r="A24" s="973">
        <f t="shared" si="1"/>
        <v>915</v>
      </c>
      <c r="B24" s="861" t="s">
        <v>54</v>
      </c>
      <c r="C24" s="432"/>
      <c r="D24" s="1005"/>
      <c r="E24" s="1132">
        <f>ROUND(C24*D24,0)</f>
        <v>0</v>
      </c>
      <c r="F24" s="432"/>
      <c r="G24" s="897">
        <f t="shared" si="0"/>
        <v>0</v>
      </c>
    </row>
    <row r="25" spans="1:7" ht="12">
      <c r="A25" s="973">
        <f t="shared" si="1"/>
        <v>916</v>
      </c>
      <c r="B25" s="861" t="s">
        <v>55</v>
      </c>
      <c r="C25" s="432"/>
      <c r="D25" s="1005"/>
      <c r="E25" s="1132">
        <f>ROUND(C25*D25,0)</f>
        <v>0</v>
      </c>
      <c r="F25" s="432"/>
      <c r="G25" s="897">
        <f t="shared" si="0"/>
        <v>0</v>
      </c>
    </row>
    <row r="26" spans="1:7" ht="12">
      <c r="A26" s="973">
        <f>A25+1</f>
        <v>917</v>
      </c>
      <c r="B26" s="861" t="s">
        <v>56</v>
      </c>
      <c r="C26" s="432"/>
      <c r="D26" s="1005"/>
      <c r="E26" s="1132">
        <f>ROUND(C26*D26,0)</f>
        <v>0</v>
      </c>
      <c r="F26" s="432"/>
      <c r="G26" s="897">
        <f>E26-F26</f>
        <v>0</v>
      </c>
    </row>
    <row r="27" spans="1:7" ht="12">
      <c r="A27" s="973">
        <f>A26+1</f>
        <v>918</v>
      </c>
      <c r="B27" s="861" t="s">
        <v>57</v>
      </c>
      <c r="C27" s="432"/>
      <c r="D27" s="1005"/>
      <c r="E27" s="1132">
        <f>ROUND(C27*D27,0)</f>
        <v>0</v>
      </c>
      <c r="F27" s="432"/>
      <c r="G27" s="897">
        <f t="shared" si="0"/>
        <v>0</v>
      </c>
    </row>
    <row r="28" spans="1:7" ht="12">
      <c r="A28" s="973">
        <f t="shared" si="1"/>
        <v>919</v>
      </c>
      <c r="B28" s="861" t="s">
        <v>58</v>
      </c>
      <c r="C28" s="432"/>
      <c r="D28" s="1005"/>
      <c r="E28" s="1132">
        <f t="shared" si="2"/>
        <v>0</v>
      </c>
      <c r="F28" s="432"/>
      <c r="G28" s="897">
        <f t="shared" si="0"/>
        <v>0</v>
      </c>
    </row>
    <row r="29" spans="1:7" ht="12">
      <c r="A29" s="973">
        <f>A28+1</f>
        <v>920</v>
      </c>
      <c r="B29" s="861" t="s">
        <v>62</v>
      </c>
      <c r="C29" s="432"/>
      <c r="D29" s="1005"/>
      <c r="E29" s="1132">
        <f>ROUND(C29*D29,0)</f>
        <v>0</v>
      </c>
      <c r="F29" s="432"/>
      <c r="G29" s="897">
        <f>E29-F29</f>
        <v>0</v>
      </c>
    </row>
    <row r="30" spans="1:7" ht="12" customHeight="1">
      <c r="A30" s="973">
        <f>A29+1</f>
        <v>921</v>
      </c>
      <c r="B30" s="1164" t="s">
        <v>63</v>
      </c>
      <c r="C30" s="432"/>
      <c r="D30" s="1005"/>
      <c r="E30" s="1132">
        <f>ROUND(C30*D30,0)</f>
        <v>0</v>
      </c>
      <c r="F30" s="432"/>
      <c r="G30" s="897">
        <f>E30-F30</f>
        <v>0</v>
      </c>
    </row>
    <row r="31" spans="3:7" ht="12">
      <c r="C31" s="873"/>
      <c r="D31" s="911"/>
      <c r="E31" s="873"/>
      <c r="F31" s="873"/>
      <c r="G31" s="873"/>
    </row>
    <row r="32" spans="1:7" ht="12">
      <c r="A32" s="973">
        <f>A30+1</f>
        <v>922</v>
      </c>
      <c r="B32" s="942" t="s">
        <v>445</v>
      </c>
      <c r="C32" s="1001">
        <f>SUM(C10:C30)</f>
        <v>0</v>
      </c>
      <c r="E32" s="1001">
        <f>SUM(E10:E30)</f>
        <v>0</v>
      </c>
      <c r="F32" s="1001">
        <f>SUM(F10:F30)</f>
        <v>0</v>
      </c>
      <c r="G32" s="1001">
        <f>SUM(G10:G30)</f>
        <v>0</v>
      </c>
    </row>
    <row r="33" ht="12">
      <c r="A33" s="563" t="s">
        <v>60</v>
      </c>
    </row>
    <row r="34" ht="12">
      <c r="A34" s="1127" t="s">
        <v>59</v>
      </c>
    </row>
    <row r="35" ht="12">
      <c r="A35" s="1127" t="s">
        <v>26</v>
      </c>
    </row>
    <row r="36" ht="12">
      <c r="A36" s="1127" t="s">
        <v>61</v>
      </c>
    </row>
    <row r="37" spans="1:4" ht="12">
      <c r="A37" s="563"/>
      <c r="D37" s="563"/>
    </row>
    <row r="38" spans="1:7" ht="12">
      <c r="A38" s="880" t="s">
        <v>322</v>
      </c>
      <c r="B38" s="880" t="s">
        <v>483</v>
      </c>
      <c r="D38" s="563"/>
      <c r="E38" s="995" t="s">
        <v>290</v>
      </c>
      <c r="F38" s="893" t="s">
        <v>147</v>
      </c>
      <c r="G38" s="893" t="s">
        <v>522</v>
      </c>
    </row>
    <row r="39" spans="1:7" ht="12">
      <c r="A39" s="563"/>
      <c r="B39" s="898"/>
      <c r="D39" s="563"/>
      <c r="E39" s="996" t="s">
        <v>291</v>
      </c>
      <c r="F39" s="899">
        <f>C7</f>
        <v>2005</v>
      </c>
      <c r="G39" s="996"/>
    </row>
    <row r="40" spans="1:7" ht="12">
      <c r="A40" s="563"/>
      <c r="B40" s="898"/>
      <c r="D40" s="563"/>
      <c r="E40" s="873"/>
      <c r="F40" s="873"/>
      <c r="G40" s="873"/>
    </row>
    <row r="41" spans="1:7" ht="12">
      <c r="A41" s="973">
        <f>A32+1</f>
        <v>923</v>
      </c>
      <c r="B41" s="903" t="str">
        <f>CONCATENATE("Overeengekomen bedrag ",Voorblad!D3,"")</f>
        <v>Overeengekomen bedrag 2005</v>
      </c>
      <c r="C41" s="924"/>
      <c r="D41" s="925"/>
      <c r="E41" s="432"/>
      <c r="F41" s="432"/>
      <c r="G41" s="1001">
        <f>E41-F41</f>
        <v>0</v>
      </c>
    </row>
    <row r="42" spans="1:4" ht="12">
      <c r="A42" s="563"/>
      <c r="B42" s="898"/>
      <c r="D42" s="879"/>
    </row>
    <row r="43" spans="1:7" ht="36" customHeight="1">
      <c r="A43" s="1329" t="str">
        <f>CONCATENATE("Hiervoor kon in ",Voorblad!D3," maximaal 5% van het variabele FB-deel van ",Voorblad!D3-1," (incl. 1e lijn) additioneel in het budget worden opgenomen. Hieronder kunt u het definitief overeengekomen bedrag ",Voorblad!D3," opgeven. Indien u hier andere projecten heeft verantwoord dan welke bij de voorlopige aanvraag zijn ingediend, dient u deze projecten alsnog bij het CTG aan te melden.")</f>
        <v>Hiervoor kon in 2005 maximaal 5% van het variabele FB-deel van 2004 (incl. 1e lijn) additioneel in het budget worden opgenomen. Hieronder kunt u het definitief overeengekomen bedrag 2005 opgeven. Indien u hier andere projecten heeft verantwoord dan welke bij de voorlopige aanvraag zijn ingediend, dient u deze projecten alsnog bij het CTG aan te melden.</v>
      </c>
      <c r="B43" s="1329"/>
      <c r="C43" s="1329"/>
      <c r="D43" s="1329"/>
      <c r="E43" s="1329"/>
      <c r="F43" s="1329"/>
      <c r="G43" s="1329"/>
    </row>
    <row r="44" ht="12">
      <c r="C44" s="879"/>
    </row>
  </sheetData>
  <sheetProtection password="CCBC" sheet="1" objects="1" scenarios="1"/>
  <mergeCells count="1">
    <mergeCell ref="A43:G43"/>
  </mergeCells>
  <conditionalFormatting sqref="E41:F41 C10:C30 D10:D21 D24:D30 F10:F30">
    <cfRule type="expression" priority="1" dxfId="0" stopIfTrue="1">
      <formula>$F$2=TRUE</formula>
    </cfRule>
  </conditionalFormatting>
  <printOptions/>
  <pageMargins left="0.75" right="0.75" top="1" bottom="1" header="0.5" footer="0.5"/>
  <pageSetup fitToHeight="1" fitToWidth="1"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sheetPr codeName="Blad11"/>
  <dimension ref="A1:O37"/>
  <sheetViews>
    <sheetView showGridLines="0" showRowColHeaders="0" showZeros="0" showOutlineSymbols="0" view="pageBreakPreview" zoomScale="75" zoomScaleNormal="86" zoomScaleSheetLayoutView="75" workbookViewId="0" topLeftCell="A1">
      <selection activeCell="D9" sqref="D9"/>
    </sheetView>
  </sheetViews>
  <sheetFormatPr defaultColWidth="9.140625" defaultRowHeight="12.75"/>
  <cols>
    <col min="1" max="1" width="5.421875" style="457" customWidth="1"/>
    <col min="2" max="2" width="5.8515625" style="458" customWidth="1"/>
    <col min="3" max="3" width="30.7109375" style="458" customWidth="1"/>
    <col min="4" max="4" width="12.00390625" style="461" customWidth="1"/>
    <col min="5" max="5" width="12.8515625" style="458" customWidth="1"/>
    <col min="6" max="6" width="9.421875" style="458" customWidth="1"/>
    <col min="7" max="7" width="5.28125" style="460" customWidth="1"/>
    <col min="8" max="8" width="24.28125" style="457" customWidth="1"/>
    <col min="9" max="9" width="21.57421875" style="458" customWidth="1"/>
    <col min="10" max="10" width="11.8515625" style="467" customWidth="1"/>
    <col min="11" max="11" width="8.7109375" style="458" customWidth="1"/>
    <col min="12" max="12" width="12.7109375" style="458" customWidth="1"/>
    <col min="13" max="13" width="1.7109375" style="456" customWidth="1"/>
    <col min="14" max="14" width="10.7109375" style="456" customWidth="1"/>
    <col min="15" max="15" width="10.7109375" style="454" customWidth="1"/>
    <col min="16" max="20" width="10.7109375" style="456" customWidth="1"/>
    <col min="21" max="28" width="9.140625" style="456" customWidth="1"/>
    <col min="29" max="29" width="1.7109375" style="456" customWidth="1"/>
    <col min="30" max="16384" width="9.140625" style="456" customWidth="1"/>
  </cols>
  <sheetData>
    <row r="1" ht="15.75" customHeight="1">
      <c r="K1" s="467"/>
    </row>
    <row r="2" spans="1:15" s="501" customFormat="1" ht="15.75" customHeight="1">
      <c r="A2" s="1022" t="str">
        <f>CONCATENATE("Nacalculatieformulier ",Voorblad!D3)</f>
        <v>Nacalculatieformulier 2005</v>
      </c>
      <c r="B2" s="599"/>
      <c r="C2" s="599"/>
      <c r="D2" s="600"/>
      <c r="E2" s="601"/>
      <c r="F2" s="601"/>
      <c r="G2" s="602" t="b">
        <f>Voorblad!D30</f>
        <v>1</v>
      </c>
      <c r="H2" s="601"/>
      <c r="I2" s="599"/>
      <c r="J2" s="598">
        <f>'Prod.1.2 en 1.3'!G2+1</f>
        <v>10</v>
      </c>
      <c r="K2" s="923"/>
      <c r="O2" s="502"/>
    </row>
    <row r="3" spans="1:15" ht="12">
      <c r="A3" s="41"/>
      <c r="B3" s="42"/>
      <c r="C3" s="42"/>
      <c r="D3" s="43"/>
      <c r="E3" s="42"/>
      <c r="F3" s="42"/>
      <c r="G3" s="41"/>
      <c r="H3" s="90"/>
      <c r="I3" s="42"/>
      <c r="J3" s="90"/>
      <c r="K3" s="454"/>
      <c r="L3" s="454"/>
      <c r="O3" s="456"/>
    </row>
    <row r="4" spans="1:15" ht="12.75" customHeight="1">
      <c r="A4" s="14" t="str">
        <f>CONCATENATE("RUBRIEK 2: WERKELIJKE OPBRENGSTEN")</f>
        <v>RUBRIEK 2: WERKELIJKE OPBRENGSTEN</v>
      </c>
      <c r="B4" s="95"/>
      <c r="C4" s="95"/>
      <c r="D4" s="604"/>
      <c r="E4" s="387"/>
      <c r="F4" s="605"/>
      <c r="G4" s="95"/>
      <c r="H4" s="42"/>
      <c r="I4" s="95"/>
      <c r="J4" s="95"/>
      <c r="K4" s="454"/>
      <c r="L4" s="456"/>
      <c r="O4" s="456"/>
    </row>
    <row r="5" spans="1:15" ht="12.75" customHeight="1">
      <c r="A5" s="41"/>
      <c r="B5" s="607"/>
      <c r="C5" s="607"/>
      <c r="D5" s="607"/>
      <c r="E5" s="607"/>
      <c r="F5" s="607"/>
      <c r="G5" s="607"/>
      <c r="H5" s="607"/>
      <c r="I5" s="607"/>
      <c r="J5" s="607"/>
      <c r="K5" s="456"/>
      <c r="L5" s="456"/>
      <c r="O5" s="456"/>
    </row>
    <row r="6" spans="1:10" s="501" customFormat="1" ht="12.75" customHeight="1">
      <c r="A6" s="593"/>
      <c r="B6" s="608" t="s">
        <v>10</v>
      </c>
      <c r="C6" s="608" t="s">
        <v>391</v>
      </c>
      <c r="D6" s="609" t="s">
        <v>450</v>
      </c>
      <c r="E6" s="610" t="s">
        <v>449</v>
      </c>
      <c r="F6" s="611"/>
      <c r="G6" s="612"/>
      <c r="H6" s="1330" t="s">
        <v>391</v>
      </c>
      <c r="I6" s="1331"/>
      <c r="J6" s="610" t="s">
        <v>449</v>
      </c>
    </row>
    <row r="7" spans="1:15" ht="12.75" customHeight="1">
      <c r="A7" s="559"/>
      <c r="B7" s="559"/>
      <c r="C7" s="559"/>
      <c r="E7" s="613"/>
      <c r="F7" s="559"/>
      <c r="G7" s="559"/>
      <c r="H7" s="559"/>
      <c r="I7" s="559"/>
      <c r="J7" s="559"/>
      <c r="K7" s="456"/>
      <c r="L7" s="456"/>
      <c r="O7" s="456"/>
    </row>
    <row r="8" spans="1:6" s="454" customFormat="1" ht="12.75" customHeight="1">
      <c r="A8" s="26" t="s">
        <v>103</v>
      </c>
      <c r="B8" s="27" t="s">
        <v>491</v>
      </c>
      <c r="C8" s="27"/>
      <c r="D8" s="451"/>
      <c r="E8" s="453"/>
      <c r="F8" s="559"/>
    </row>
    <row r="9" spans="1:10" s="454" customFormat="1" ht="12.75" customHeight="1">
      <c r="A9" s="1163">
        <f>(100*J2)+1</f>
        <v>1001</v>
      </c>
      <c r="B9" s="861" t="s">
        <v>197</v>
      </c>
      <c r="C9" s="926" t="s">
        <v>191</v>
      </c>
      <c r="D9" s="432"/>
      <c r="E9" s="432"/>
      <c r="F9" s="450"/>
      <c r="G9" s="71" t="s">
        <v>458</v>
      </c>
      <c r="H9" s="932" t="s">
        <v>127</v>
      </c>
      <c r="I9" s="932"/>
      <c r="J9" s="933"/>
    </row>
    <row r="10" spans="1:15" ht="12.75" customHeight="1">
      <c r="A10" s="1163">
        <f aca="true" t="shared" si="0" ref="A10:A16">A9+1</f>
        <v>1002</v>
      </c>
      <c r="B10" s="861" t="s">
        <v>198</v>
      </c>
      <c r="C10" s="926" t="s">
        <v>192</v>
      </c>
      <c r="D10" s="432"/>
      <c r="E10" s="432"/>
      <c r="F10" s="450"/>
      <c r="G10" s="1163">
        <f>A34+1</f>
        <v>1021</v>
      </c>
      <c r="H10" s="903" t="s">
        <v>208</v>
      </c>
      <c r="I10" s="1069"/>
      <c r="J10" s="432"/>
      <c r="K10" s="456"/>
      <c r="L10" s="456"/>
      <c r="O10" s="456"/>
    </row>
    <row r="11" spans="1:15" ht="12.75" customHeight="1">
      <c r="A11" s="1163">
        <f t="shared" si="0"/>
        <v>1003</v>
      </c>
      <c r="B11" s="861" t="s">
        <v>199</v>
      </c>
      <c r="C11" s="926" t="s">
        <v>193</v>
      </c>
      <c r="D11" s="432"/>
      <c r="E11" s="432"/>
      <c r="F11" s="455"/>
      <c r="G11" s="1163">
        <f>G10+1</f>
        <v>1022</v>
      </c>
      <c r="H11" s="903" t="s">
        <v>209</v>
      </c>
      <c r="I11" s="1069"/>
      <c r="J11" s="432"/>
      <c r="K11" s="456"/>
      <c r="L11" s="456"/>
      <c r="O11" s="456"/>
    </row>
    <row r="12" spans="1:15" ht="12.75" customHeight="1">
      <c r="A12" s="1163">
        <f t="shared" si="0"/>
        <v>1004</v>
      </c>
      <c r="B12" s="861" t="s">
        <v>200</v>
      </c>
      <c r="C12" s="926" t="s">
        <v>194</v>
      </c>
      <c r="D12" s="432"/>
      <c r="E12" s="432"/>
      <c r="F12" s="455"/>
      <c r="G12" s="1163">
        <f>G11+1</f>
        <v>1023</v>
      </c>
      <c r="H12" s="1340"/>
      <c r="I12" s="1341"/>
      <c r="J12" s="432"/>
      <c r="K12" s="456"/>
      <c r="L12" s="456"/>
      <c r="O12" s="456"/>
    </row>
    <row r="13" spans="1:15" ht="12.75" customHeight="1">
      <c r="A13" s="1163">
        <f t="shared" si="0"/>
        <v>1005</v>
      </c>
      <c r="B13" s="861" t="s">
        <v>201</v>
      </c>
      <c r="C13" s="926" t="s">
        <v>195</v>
      </c>
      <c r="D13" s="432"/>
      <c r="E13" s="432"/>
      <c r="F13" s="455"/>
      <c r="G13" s="1163">
        <f>G12+1</f>
        <v>1024</v>
      </c>
      <c r="H13" s="1340"/>
      <c r="I13" s="1341"/>
      <c r="J13" s="432"/>
      <c r="K13" s="456"/>
      <c r="L13" s="456"/>
      <c r="O13" s="456"/>
    </row>
    <row r="14" spans="1:15" ht="12.75" customHeight="1">
      <c r="A14" s="1163">
        <f>A12+1</f>
        <v>1005</v>
      </c>
      <c r="B14" s="861" t="s">
        <v>202</v>
      </c>
      <c r="C14" s="926" t="s">
        <v>196</v>
      </c>
      <c r="D14" s="432"/>
      <c r="E14" s="432"/>
      <c r="F14" s="455"/>
      <c r="G14" s="1163">
        <f>G13+1</f>
        <v>1025</v>
      </c>
      <c r="H14" s="1023" t="str">
        <f>CONCATENATE("Totaal overige vergoedingen (",G10,"t/m",G13,")")</f>
        <v>Totaal overige vergoedingen (1021t/m1024)</v>
      </c>
      <c r="I14" s="1024"/>
      <c r="J14" s="1119">
        <f>SUM(J10:J13)</f>
        <v>0</v>
      </c>
      <c r="K14" s="456"/>
      <c r="L14" s="456"/>
      <c r="O14" s="456"/>
    </row>
    <row r="15" spans="1:15" ht="12.75" customHeight="1">
      <c r="A15" s="1163">
        <f>A13+1</f>
        <v>1006</v>
      </c>
      <c r="B15" s="861" t="s">
        <v>485</v>
      </c>
      <c r="C15" s="926" t="s">
        <v>486</v>
      </c>
      <c r="D15" s="432"/>
      <c r="E15" s="432"/>
      <c r="F15" s="455"/>
      <c r="G15" s="71"/>
      <c r="H15" s="934"/>
      <c r="I15" s="934"/>
      <c r="J15" s="933"/>
      <c r="K15" s="456"/>
      <c r="L15" s="454"/>
      <c r="O15" s="456"/>
    </row>
    <row r="16" spans="1:15" ht="12.75" customHeight="1">
      <c r="A16" s="1163">
        <f t="shared" si="0"/>
        <v>1007</v>
      </c>
      <c r="B16" s="1335" t="str">
        <f>CONCATENATE("Totaal verpleeggelden / RBU´s (",A9,"t/m",A15,")")</f>
        <v>Totaal verpleeggelden / RBU´s (1001t/m1006)</v>
      </c>
      <c r="C16" s="1336"/>
      <c r="D16" s="1337"/>
      <c r="E16" s="735">
        <f>SUM(E9:E15)</f>
        <v>0</v>
      </c>
      <c r="F16" s="455"/>
      <c r="G16" s="1163">
        <f>G14+1</f>
        <v>1026</v>
      </c>
      <c r="H16" s="935" t="s">
        <v>216</v>
      </c>
      <c r="I16" s="935"/>
      <c r="J16" s="931">
        <f>E16+E26+E34+J14</f>
        <v>0</v>
      </c>
      <c r="K16" s="456"/>
      <c r="L16" s="454"/>
      <c r="O16" s="456"/>
    </row>
    <row r="17" spans="1:15" ht="12.75" customHeight="1">
      <c r="A17" s="71"/>
      <c r="B17" s="929"/>
      <c r="C17" s="929"/>
      <c r="D17" s="929"/>
      <c r="E17" s="930"/>
      <c r="F17" s="455"/>
      <c r="G17" s="71"/>
      <c r="H17" s="934"/>
      <c r="I17" s="934"/>
      <c r="J17" s="933"/>
      <c r="K17" s="456"/>
      <c r="L17" s="454"/>
      <c r="O17" s="456"/>
    </row>
    <row r="18" spans="1:15" ht="12.75" customHeight="1">
      <c r="A18" s="614"/>
      <c r="B18" s="42"/>
      <c r="C18" s="42"/>
      <c r="F18" s="455"/>
      <c r="G18" s="71" t="s">
        <v>105</v>
      </c>
      <c r="H18" s="934" t="s">
        <v>215</v>
      </c>
      <c r="I18" s="934"/>
      <c r="J18" s="933"/>
      <c r="K18" s="456"/>
      <c r="L18" s="454"/>
      <c r="O18" s="456"/>
    </row>
    <row r="19" spans="1:15" ht="12.75" customHeight="1">
      <c r="A19" s="26" t="s">
        <v>104</v>
      </c>
      <c r="B19" s="27" t="s">
        <v>333</v>
      </c>
      <c r="C19" s="27"/>
      <c r="D19" s="451"/>
      <c r="E19" s="452"/>
      <c r="F19" s="455"/>
      <c r="G19" s="1163">
        <f>G16+1</f>
        <v>1027</v>
      </c>
      <c r="H19" s="1128" t="s">
        <v>29</v>
      </c>
      <c r="I19" s="1070"/>
      <c r="J19" s="432"/>
      <c r="K19" s="456"/>
      <c r="L19" s="454"/>
      <c r="O19" s="456"/>
    </row>
    <row r="20" spans="1:15" ht="12.75" customHeight="1">
      <c r="A20" s="1163">
        <f>A16+1</f>
        <v>1008</v>
      </c>
      <c r="B20" s="928" t="s">
        <v>203</v>
      </c>
      <c r="C20" s="1325" t="s">
        <v>205</v>
      </c>
      <c r="D20" s="1327"/>
      <c r="E20" s="820"/>
      <c r="F20" s="459"/>
      <c r="G20" s="1163">
        <f aca="true" t="shared" si="1" ref="G20:G27">G19+1</f>
        <v>1028</v>
      </c>
      <c r="H20" s="936" t="s">
        <v>210</v>
      </c>
      <c r="I20" s="821"/>
      <c r="J20" s="432"/>
      <c r="K20" s="456"/>
      <c r="L20" s="454"/>
      <c r="O20" s="456"/>
    </row>
    <row r="21" spans="1:15" ht="12.75" customHeight="1">
      <c r="A21" s="1163">
        <f aca="true" t="shared" si="2" ref="A21:A26">A20+1</f>
        <v>1009</v>
      </c>
      <c r="B21" s="928" t="s">
        <v>538</v>
      </c>
      <c r="C21" s="1325" t="s">
        <v>206</v>
      </c>
      <c r="D21" s="1327"/>
      <c r="E21" s="820"/>
      <c r="F21" s="460"/>
      <c r="G21" s="1163">
        <f t="shared" si="1"/>
        <v>1029</v>
      </c>
      <c r="H21" s="936" t="s">
        <v>550</v>
      </c>
      <c r="I21" s="821"/>
      <c r="J21" s="432"/>
      <c r="K21" s="456"/>
      <c r="L21" s="454"/>
      <c r="O21" s="456"/>
    </row>
    <row r="22" spans="1:15" ht="12.75" customHeight="1">
      <c r="A22" s="1163">
        <f t="shared" si="2"/>
        <v>1010</v>
      </c>
      <c r="B22" s="955" t="s">
        <v>204</v>
      </c>
      <c r="C22" s="456" t="s">
        <v>207</v>
      </c>
      <c r="D22" s="456"/>
      <c r="E22" s="820"/>
      <c r="F22" s="450"/>
      <c r="G22" s="1163">
        <f t="shared" si="1"/>
        <v>1030</v>
      </c>
      <c r="H22" s="1338" t="s">
        <v>211</v>
      </c>
      <c r="I22" s="1339"/>
      <c r="J22" s="432"/>
      <c r="K22" s="456"/>
      <c r="L22" s="454"/>
      <c r="O22" s="456"/>
    </row>
    <row r="23" spans="1:10" s="454" customFormat="1" ht="12.75" customHeight="1">
      <c r="A23" s="1163">
        <f t="shared" si="2"/>
        <v>1011</v>
      </c>
      <c r="B23" s="454" t="s">
        <v>217</v>
      </c>
      <c r="C23" s="1333" t="s">
        <v>218</v>
      </c>
      <c r="D23" s="1334"/>
      <c r="E23" s="820"/>
      <c r="F23" s="450"/>
      <c r="G23" s="1163">
        <f t="shared" si="1"/>
        <v>1031</v>
      </c>
      <c r="H23" s="1128" t="s">
        <v>212</v>
      </c>
      <c r="I23" s="936"/>
      <c r="J23" s="432"/>
    </row>
    <row r="24" spans="1:10" s="454" customFormat="1" ht="12.75" customHeight="1">
      <c r="A24" s="1163">
        <f t="shared" si="2"/>
        <v>1012</v>
      </c>
      <c r="B24" s="928" t="s">
        <v>487</v>
      </c>
      <c r="C24" s="1325" t="s">
        <v>489</v>
      </c>
      <c r="D24" s="1327"/>
      <c r="E24" s="820"/>
      <c r="F24" s="455"/>
      <c r="G24" s="1163">
        <f t="shared" si="1"/>
        <v>1032</v>
      </c>
      <c r="H24" s="1128" t="s">
        <v>213</v>
      </c>
      <c r="I24" s="936"/>
      <c r="J24" s="432"/>
    </row>
    <row r="25" spans="1:15" ht="12.75" customHeight="1">
      <c r="A25" s="1166">
        <f t="shared" si="2"/>
        <v>1013</v>
      </c>
      <c r="B25" s="928" t="s">
        <v>488</v>
      </c>
      <c r="C25" s="903" t="s">
        <v>490</v>
      </c>
      <c r="D25" s="1069"/>
      <c r="E25" s="820"/>
      <c r="F25" s="455"/>
      <c r="G25" s="1163">
        <f t="shared" si="1"/>
        <v>1033</v>
      </c>
      <c r="H25" s="1128" t="s">
        <v>214</v>
      </c>
      <c r="I25" s="936"/>
      <c r="J25" s="432"/>
      <c r="K25" s="456"/>
      <c r="L25" s="456"/>
      <c r="O25" s="456"/>
    </row>
    <row r="26" spans="1:15" ht="12.75" customHeight="1">
      <c r="A26" s="1163">
        <f t="shared" si="2"/>
        <v>1014</v>
      </c>
      <c r="B26" s="1335" t="str">
        <f>CONCATENATE("Totaal vaste tarieven (",A20,"t/m",A25,")")</f>
        <v>Totaal vaste tarieven (1008t/m1013)</v>
      </c>
      <c r="C26" s="1336"/>
      <c r="D26" s="1337"/>
      <c r="E26" s="1013">
        <f>SUM(E20:E25)</f>
        <v>0</v>
      </c>
      <c r="F26" s="455"/>
      <c r="G26" s="1163">
        <f t="shared" si="1"/>
        <v>1034</v>
      </c>
      <c r="H26" s="1128" t="s">
        <v>128</v>
      </c>
      <c r="I26" s="936"/>
      <c r="J26" s="432"/>
      <c r="K26" s="456"/>
      <c r="L26" s="456"/>
      <c r="O26" s="456"/>
    </row>
    <row r="27" spans="1:15" ht="12.75" customHeight="1">
      <c r="A27" s="41"/>
      <c r="B27" s="42"/>
      <c r="C27" s="42"/>
      <c r="F27" s="455"/>
      <c r="G27" s="1163">
        <f t="shared" si="1"/>
        <v>1035</v>
      </c>
      <c r="H27" s="1159" t="str">
        <f>CONCATENATE("Totaal aanvullende inkomsten (",G19,"t/m",G26,")")</f>
        <v>Totaal aanvullende inkomsten (1027t/m1034)</v>
      </c>
      <c r="I27" s="1160"/>
      <c r="J27" s="735">
        <f>SUM(J19:J26)</f>
        <v>0</v>
      </c>
      <c r="K27" s="456"/>
      <c r="L27" s="456"/>
      <c r="O27" s="456"/>
    </row>
    <row r="28" spans="1:15" ht="12.75" customHeight="1">
      <c r="A28" s="26" t="s">
        <v>454</v>
      </c>
      <c r="B28" s="27" t="s">
        <v>124</v>
      </c>
      <c r="C28" s="452"/>
      <c r="D28" s="454"/>
      <c r="F28" s="455"/>
      <c r="G28" s="456"/>
      <c r="H28" s="456"/>
      <c r="I28" s="456"/>
      <c r="J28" s="456"/>
      <c r="K28" s="456"/>
      <c r="L28" s="454"/>
      <c r="O28" s="456"/>
    </row>
    <row r="29" spans="1:15" ht="12.75" customHeight="1">
      <c r="A29" s="1163">
        <f>A26+1</f>
        <v>1015</v>
      </c>
      <c r="B29" s="1332" t="s">
        <v>312</v>
      </c>
      <c r="C29" s="1332"/>
      <c r="D29" s="1332"/>
      <c r="E29" s="1114"/>
      <c r="F29" s="452"/>
      <c r="G29" s="456"/>
      <c r="H29" s="456"/>
      <c r="I29" s="456"/>
      <c r="J29" s="456"/>
      <c r="K29" s="456"/>
      <c r="L29" s="454"/>
      <c r="O29" s="456"/>
    </row>
    <row r="30" spans="1:6" s="454" customFormat="1" ht="12.75" customHeight="1">
      <c r="A30" s="1163">
        <f>A29+1</f>
        <v>1016</v>
      </c>
      <c r="B30" s="1332" t="s">
        <v>125</v>
      </c>
      <c r="C30" s="1332"/>
      <c r="D30" s="1332"/>
      <c r="E30" s="1114"/>
      <c r="F30" s="450"/>
    </row>
    <row r="31" spans="1:6" s="454" customFormat="1" ht="12.75" customHeight="1">
      <c r="A31" s="1163">
        <f>A30+1</f>
        <v>1017</v>
      </c>
      <c r="B31" s="1332" t="s">
        <v>126</v>
      </c>
      <c r="C31" s="1332"/>
      <c r="D31" s="1332"/>
      <c r="E31" s="1114"/>
      <c r="F31" s="450"/>
    </row>
    <row r="32" spans="1:15" ht="12.75" customHeight="1">
      <c r="A32" s="1163">
        <f>A31+1</f>
        <v>1018</v>
      </c>
      <c r="B32" s="1332" t="s">
        <v>219</v>
      </c>
      <c r="C32" s="1332"/>
      <c r="D32" s="1332"/>
      <c r="E32" s="1130">
        <f>'Prod.1.2 en 1.3'!$C$32</f>
        <v>0</v>
      </c>
      <c r="F32" s="455"/>
      <c r="G32" s="456"/>
      <c r="H32" s="456"/>
      <c r="I32" s="456"/>
      <c r="J32" s="456"/>
      <c r="K32" s="456"/>
      <c r="L32" s="456"/>
      <c r="O32" s="456"/>
    </row>
    <row r="33" spans="1:15" ht="12.75" customHeight="1">
      <c r="A33" s="1163">
        <f>A32+1</f>
        <v>1019</v>
      </c>
      <c r="B33" s="1342"/>
      <c r="C33" s="1343"/>
      <c r="D33" s="1344"/>
      <c r="E33" s="1114"/>
      <c r="F33" s="455"/>
      <c r="G33" s="456"/>
      <c r="H33" s="456"/>
      <c r="I33" s="456"/>
      <c r="J33" s="456"/>
      <c r="K33" s="456"/>
      <c r="L33" s="456"/>
      <c r="O33" s="456"/>
    </row>
    <row r="34" spans="1:15" ht="12.75" customHeight="1">
      <c r="A34" s="1163">
        <f>A33+1</f>
        <v>1020</v>
      </c>
      <c r="B34" s="1335" t="str">
        <f>CONCATENATE("Totaal opbrengst nevenverrichtingen (",A29,"t/m",A33,")")</f>
        <v>Totaal opbrengst nevenverrichtingen (1015t/m1019)</v>
      </c>
      <c r="C34" s="1336"/>
      <c r="D34" s="1337"/>
      <c r="E34" s="1115">
        <f>SUM(E29:E32)</f>
        <v>0</v>
      </c>
      <c r="F34" s="455"/>
      <c r="G34" s="456"/>
      <c r="H34" s="456"/>
      <c r="I34" s="456"/>
      <c r="J34" s="456"/>
      <c r="K34" s="456"/>
      <c r="L34" s="456"/>
      <c r="O34" s="456"/>
    </row>
    <row r="35" spans="6:15" ht="12.75" customHeight="1">
      <c r="F35" s="927"/>
      <c r="K35" s="456"/>
      <c r="L35" s="456"/>
      <c r="O35" s="456"/>
    </row>
    <row r="36" spans="11:15" ht="12.75" customHeight="1">
      <c r="K36" s="456"/>
      <c r="L36" s="454"/>
      <c r="O36" s="456"/>
    </row>
    <row r="37" spans="11:15" ht="12">
      <c r="K37" s="456"/>
      <c r="L37" s="454"/>
      <c r="O37" s="456"/>
    </row>
  </sheetData>
  <sheetProtection password="CCBC" sheet="1" objects="1" scenarios="1"/>
  <mergeCells count="16">
    <mergeCell ref="B34:D34"/>
    <mergeCell ref="B33:D33"/>
    <mergeCell ref="B26:D26"/>
    <mergeCell ref="B30:D30"/>
    <mergeCell ref="B31:D31"/>
    <mergeCell ref="B32:D32"/>
    <mergeCell ref="H6:I6"/>
    <mergeCell ref="B29:D29"/>
    <mergeCell ref="C20:D20"/>
    <mergeCell ref="C21:D21"/>
    <mergeCell ref="C24:D24"/>
    <mergeCell ref="C23:D23"/>
    <mergeCell ref="B16:D16"/>
    <mergeCell ref="H22:I22"/>
    <mergeCell ref="H12:I12"/>
    <mergeCell ref="H13:I13"/>
  </mergeCells>
  <conditionalFormatting sqref="E20:E25 B33:E33 J10:J13 E29:E31 D9:E15 H12:H13 J19:J26">
    <cfRule type="expression" priority="1" dxfId="0" stopIfTrue="1">
      <formula>$G$2=TRUE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97" r:id="rId2"/>
  <headerFooter alignWithMargins="0">
    <oddHeader xml:space="preserve">&amp;R&amp;9 </oddHeader>
  </headerFooter>
  <drawing r:id="rId1"/>
</worksheet>
</file>

<file path=xl/worksheets/sheet9.xml><?xml version="1.0" encoding="utf-8"?>
<worksheet xmlns="http://schemas.openxmlformats.org/spreadsheetml/2006/main" xmlns:r="http://schemas.openxmlformats.org/officeDocument/2006/relationships">
  <sheetPr codeName="Blad12"/>
  <dimension ref="A1:L31"/>
  <sheetViews>
    <sheetView showGridLines="0" showRowColHeaders="0" showZeros="0" showOutlineSymbols="0" view="pageBreakPreview" zoomScale="75" zoomScaleNormal="86" zoomScaleSheetLayoutView="75" workbookViewId="0" topLeftCell="A1">
      <selection activeCell="D12" sqref="D12"/>
    </sheetView>
  </sheetViews>
  <sheetFormatPr defaultColWidth="9.140625" defaultRowHeight="12.75"/>
  <cols>
    <col min="1" max="1" width="5.140625" style="563" customWidth="1"/>
    <col min="2" max="2" width="37.7109375" style="563" customWidth="1"/>
    <col min="3" max="9" width="15.7109375" style="563" customWidth="1"/>
    <col min="10" max="10" width="7.8515625" style="563" customWidth="1"/>
    <col min="11" max="16384" width="9.140625" style="563" customWidth="1"/>
  </cols>
  <sheetData>
    <row r="1" spans="1:12" s="456" customFormat="1" ht="15.75" customHeight="1">
      <c r="A1" s="457"/>
      <c r="B1" s="458"/>
      <c r="C1" s="461"/>
      <c r="D1" s="458"/>
      <c r="E1" s="458"/>
      <c r="F1" s="460"/>
      <c r="G1" s="457"/>
      <c r="H1" s="458"/>
      <c r="I1" s="458"/>
      <c r="J1" s="467"/>
      <c r="L1" s="454"/>
    </row>
    <row r="2" spans="1:12" s="501" customFormat="1" ht="15.75" customHeight="1">
      <c r="A2" s="1022" t="str">
        <f>CONCATENATE("Nacalculatieformulier ",Voorblad!D3)</f>
        <v>Nacalculatieformulier 2005</v>
      </c>
      <c r="B2" s="599"/>
      <c r="C2" s="600"/>
      <c r="D2" s="601"/>
      <c r="E2" s="601"/>
      <c r="F2" s="602" t="b">
        <f>Voorblad!D30</f>
        <v>1</v>
      </c>
      <c r="G2" s="601"/>
      <c r="H2" s="599"/>
      <c r="I2" s="598">
        <f>Opbrengsten!J2+1</f>
        <v>11</v>
      </c>
      <c r="J2" s="594"/>
      <c r="L2" s="502"/>
    </row>
    <row r="3" spans="1:12" s="456" customFormat="1" ht="12.75" customHeight="1">
      <c r="A3" s="41"/>
      <c r="B3" s="42"/>
      <c r="C3" s="43"/>
      <c r="D3" s="42"/>
      <c r="E3" s="42"/>
      <c r="F3" s="45"/>
      <c r="G3" s="41"/>
      <c r="H3" s="42"/>
      <c r="I3" s="42"/>
      <c r="J3" s="90"/>
      <c r="K3" s="570"/>
      <c r="L3" s="454"/>
    </row>
    <row r="4" spans="1:11" s="456" customFormat="1" ht="12.75" customHeight="1">
      <c r="A4" s="14" t="s">
        <v>106</v>
      </c>
      <c r="B4" s="95"/>
      <c r="C4" s="604"/>
      <c r="D4" s="95"/>
      <c r="E4" s="95"/>
      <c r="F4" s="33"/>
      <c r="G4" s="14"/>
      <c r="H4" s="95"/>
      <c r="I4" s="606"/>
      <c r="J4" s="95"/>
      <c r="K4" s="570"/>
    </row>
    <row r="5" ht="12">
      <c r="A5" s="880"/>
    </row>
    <row r="6" spans="1:2" ht="12">
      <c r="A6" s="880" t="s">
        <v>16</v>
      </c>
      <c r="B6" s="880" t="s">
        <v>221</v>
      </c>
    </row>
    <row r="8" spans="3:7" ht="12">
      <c r="C8" s="995" t="s">
        <v>224</v>
      </c>
      <c r="D8" s="914" t="s">
        <v>470</v>
      </c>
      <c r="E8" s="893" t="s">
        <v>432</v>
      </c>
      <c r="F8" s="893" t="s">
        <v>336</v>
      </c>
      <c r="G8" s="995" t="s">
        <v>226</v>
      </c>
    </row>
    <row r="9" spans="3:7" ht="12">
      <c r="C9" s="1030" t="s">
        <v>225</v>
      </c>
      <c r="D9" s="917">
        <f>Voorblad!D3-1</f>
        <v>2004</v>
      </c>
      <c r="E9" s="918" t="s">
        <v>434</v>
      </c>
      <c r="F9" s="918" t="s">
        <v>335</v>
      </c>
      <c r="G9" s="918">
        <f>E10</f>
        <v>2005</v>
      </c>
    </row>
    <row r="10" spans="3:7" ht="12">
      <c r="C10" s="1062"/>
      <c r="D10" s="921" t="s">
        <v>332</v>
      </c>
      <c r="E10" s="899">
        <f>Voorblad!D3</f>
        <v>2005</v>
      </c>
      <c r="F10" s="899">
        <f>E10</f>
        <v>2005</v>
      </c>
      <c r="G10" s="899"/>
    </row>
    <row r="11" spans="4:7" ht="12">
      <c r="D11" s="888"/>
      <c r="E11" s="888"/>
      <c r="F11" s="888"/>
      <c r="G11" s="888"/>
    </row>
    <row r="12" spans="1:7" ht="12">
      <c r="A12" s="900">
        <f>(100*I2)+1</f>
        <v>1101</v>
      </c>
      <c r="B12" s="861" t="s">
        <v>114</v>
      </c>
      <c r="C12" s="1060">
        <v>0.025</v>
      </c>
      <c r="D12" s="432"/>
      <c r="E12" s="432"/>
      <c r="F12" s="908"/>
      <c r="G12" s="1063">
        <f>D12+E12-F12</f>
        <v>0</v>
      </c>
    </row>
    <row r="13" spans="1:7" ht="12">
      <c r="A13" s="900">
        <f>A12+1</f>
        <v>1102</v>
      </c>
      <c r="B13" s="861" t="s">
        <v>4</v>
      </c>
      <c r="C13" s="940">
        <v>0</v>
      </c>
      <c r="D13" s="432"/>
      <c r="E13" s="432"/>
      <c r="F13" s="908"/>
      <c r="G13" s="1063">
        <f aca="true" t="shared" si="0" ref="G13:G18">D13+E13-F13</f>
        <v>0</v>
      </c>
    </row>
    <row r="14" spans="1:7" ht="12">
      <c r="A14" s="900">
        <f>A13+1</f>
        <v>1103</v>
      </c>
      <c r="B14" s="861" t="s">
        <v>222</v>
      </c>
      <c r="C14" s="940">
        <v>0.05</v>
      </c>
      <c r="D14" s="432"/>
      <c r="E14" s="432"/>
      <c r="F14" s="908"/>
      <c r="G14" s="1063">
        <f t="shared" si="0"/>
        <v>0</v>
      </c>
    </row>
    <row r="15" spans="1:7" ht="12">
      <c r="A15" s="900">
        <f aca="true" t="shared" si="1" ref="A15:A21">A14+1</f>
        <v>1104</v>
      </c>
      <c r="B15" s="861" t="s">
        <v>115</v>
      </c>
      <c r="C15" s="940">
        <v>0.02</v>
      </c>
      <c r="D15" s="432"/>
      <c r="E15" s="432"/>
      <c r="F15" s="908"/>
      <c r="G15" s="1063">
        <f t="shared" si="0"/>
        <v>0</v>
      </c>
    </row>
    <row r="16" spans="1:7" ht="12">
      <c r="A16" s="900">
        <f t="shared" si="1"/>
        <v>1105</v>
      </c>
      <c r="B16" s="861" t="s">
        <v>223</v>
      </c>
      <c r="C16" s="941">
        <v>0.05</v>
      </c>
      <c r="D16" s="432"/>
      <c r="E16" s="432"/>
      <c r="F16" s="908"/>
      <c r="G16" s="1063">
        <f t="shared" si="0"/>
        <v>0</v>
      </c>
    </row>
    <row r="17" spans="1:7" ht="12">
      <c r="A17" s="900">
        <f t="shared" si="1"/>
        <v>1106</v>
      </c>
      <c r="B17" s="861" t="s">
        <v>394</v>
      </c>
      <c r="C17" s="941">
        <v>0.05</v>
      </c>
      <c r="D17" s="432"/>
      <c r="E17" s="432"/>
      <c r="F17" s="908"/>
      <c r="G17" s="1063">
        <f t="shared" si="0"/>
        <v>0</v>
      </c>
    </row>
    <row r="18" spans="1:7" ht="12">
      <c r="A18" s="900">
        <f t="shared" si="1"/>
        <v>1107</v>
      </c>
      <c r="B18" s="861" t="s">
        <v>116</v>
      </c>
      <c r="C18" s="863"/>
      <c r="D18" s="432"/>
      <c r="E18" s="432"/>
      <c r="F18" s="908"/>
      <c r="G18" s="1063">
        <f t="shared" si="0"/>
        <v>0</v>
      </c>
    </row>
    <row r="19" spans="1:7" s="880" customFormat="1" ht="12">
      <c r="A19" s="900">
        <f t="shared" si="1"/>
        <v>1108</v>
      </c>
      <c r="B19" s="942" t="s">
        <v>117</v>
      </c>
      <c r="C19" s="942"/>
      <c r="D19" s="943">
        <f>SUM(D12:D18)</f>
        <v>0</v>
      </c>
      <c r="E19" s="943">
        <f>SUM(E12:E18)</f>
        <v>0</v>
      </c>
      <c r="F19" s="1025">
        <f>SUM(F12:F18)</f>
        <v>0</v>
      </c>
      <c r="G19" s="943">
        <f>SUM(G12:G18)</f>
        <v>0</v>
      </c>
    </row>
    <row r="20" spans="1:7" ht="12">
      <c r="A20" s="900">
        <f t="shared" si="1"/>
        <v>1109</v>
      </c>
      <c r="B20" s="861" t="s">
        <v>118</v>
      </c>
      <c r="C20" s="863"/>
      <c r="D20" s="432"/>
      <c r="E20" s="432"/>
      <c r="F20" s="908"/>
      <c r="G20" s="1063">
        <f>D20+E20-F20</f>
        <v>0</v>
      </c>
    </row>
    <row r="21" spans="1:7" s="880" customFormat="1" ht="12">
      <c r="A21" s="900">
        <f t="shared" si="1"/>
        <v>1110</v>
      </c>
      <c r="B21" s="942" t="s">
        <v>449</v>
      </c>
      <c r="C21" s="942"/>
      <c r="D21" s="943">
        <f>D19+D20</f>
        <v>0</v>
      </c>
      <c r="E21" s="943">
        <f>E19+E20</f>
        <v>0</v>
      </c>
      <c r="F21" s="943">
        <f>F19+F20</f>
        <v>0</v>
      </c>
      <c r="G21" s="943">
        <f>G19+G20</f>
        <v>0</v>
      </c>
    </row>
    <row r="24" spans="1:2" s="880" customFormat="1" ht="12">
      <c r="A24" s="880" t="s">
        <v>17</v>
      </c>
      <c r="B24" s="880" t="s">
        <v>232</v>
      </c>
    </row>
    <row r="26" spans="3:9" ht="12.75" customHeight="1">
      <c r="C26" s="1027" t="s">
        <v>234</v>
      </c>
      <c r="D26" s="995" t="s">
        <v>93</v>
      </c>
      <c r="E26" s="893" t="s">
        <v>348</v>
      </c>
      <c r="F26" s="893" t="s">
        <v>234</v>
      </c>
      <c r="G26" s="1345" t="str">
        <f>CONCATENATE("Onderhanden werk ultimo ",Voorblad!D3)</f>
        <v>Onderhanden werk ultimo 2005</v>
      </c>
      <c r="H26" s="1348" t="str">
        <f>CONCATENATE("Verplichtingen ultimo ",Voorblad!D3)</f>
        <v>Verplichtingen ultimo 2005</v>
      </c>
      <c r="I26" s="1351" t="str">
        <f>CONCATENATE("Vrij besteedbaar ultimo ",Voorblad!D3)</f>
        <v>Vrij besteedbaar ultimo 2005</v>
      </c>
    </row>
    <row r="27" spans="3:9" ht="12">
      <c r="C27" s="1028" t="s">
        <v>337</v>
      </c>
      <c r="D27" s="918" t="s">
        <v>338</v>
      </c>
      <c r="E27" s="1030" t="s">
        <v>434</v>
      </c>
      <c r="F27" s="1030" t="s">
        <v>337</v>
      </c>
      <c r="G27" s="1346"/>
      <c r="H27" s="1349"/>
      <c r="I27" s="1352"/>
    </row>
    <row r="28" spans="3:9" ht="12">
      <c r="C28" s="1029">
        <f>D9</f>
        <v>2004</v>
      </c>
      <c r="D28" s="899" t="str">
        <f>CONCATENATE("ruimte ",Voorblad!D3)</f>
        <v>ruimte 2005</v>
      </c>
      <c r="E28" s="899">
        <f>E10</f>
        <v>2005</v>
      </c>
      <c r="F28" s="899" t="str">
        <f>CONCATENATE("ultimo ",Voorblad!D3)</f>
        <v>ultimo 2005</v>
      </c>
      <c r="G28" s="1347"/>
      <c r="H28" s="1350"/>
      <c r="I28" s="1353"/>
    </row>
    <row r="29" spans="3:9" s="890" customFormat="1" ht="12">
      <c r="C29" s="953"/>
      <c r="D29" s="953"/>
      <c r="E29" s="953"/>
      <c r="F29" s="953"/>
      <c r="G29" s="953"/>
      <c r="H29" s="1026"/>
      <c r="I29" s="953"/>
    </row>
    <row r="30" spans="1:9" ht="12">
      <c r="A30" s="900">
        <f>A21+1</f>
        <v>1111</v>
      </c>
      <c r="B30" s="861" t="s">
        <v>439</v>
      </c>
      <c r="C30" s="432"/>
      <c r="D30" s="432"/>
      <c r="E30" s="1014">
        <f>Instandhouding!F28</f>
        <v>0</v>
      </c>
      <c r="F30" s="966">
        <f>C30+D30-E30</f>
        <v>0</v>
      </c>
      <c r="G30" s="432"/>
      <c r="H30" s="432"/>
      <c r="I30" s="897">
        <f>F30-G30-H30</f>
        <v>0</v>
      </c>
    </row>
    <row r="31" spans="1:9" ht="12">
      <c r="A31" s="900">
        <f>A30+1</f>
        <v>1112</v>
      </c>
      <c r="B31" s="861" t="s">
        <v>233</v>
      </c>
      <c r="C31" s="432"/>
      <c r="D31" s="432"/>
      <c r="E31" s="966">
        <f>Instandhouding!G28</f>
        <v>0</v>
      </c>
      <c r="F31" s="966">
        <f>C31+D31-E31</f>
        <v>0</v>
      </c>
      <c r="G31" s="432"/>
      <c r="H31" s="432"/>
      <c r="I31" s="897">
        <f>F31-G31-H31</f>
        <v>0</v>
      </c>
    </row>
  </sheetData>
  <sheetProtection password="CCBC" sheet="1" objects="1" scenarios="1"/>
  <mergeCells count="3">
    <mergeCell ref="G26:G28"/>
    <mergeCell ref="H26:H28"/>
    <mergeCell ref="I26:I28"/>
  </mergeCells>
  <conditionalFormatting sqref="C30:D31 G30:H31 D12:F18 D20:F20">
    <cfRule type="expression" priority="1" dxfId="0" stopIfTrue="1">
      <formula>$F$2=TRUE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E.A. Rutting</cp:lastModifiedBy>
  <cp:lastPrinted>2005-03-24T11:11:38Z</cp:lastPrinted>
  <dcterms:created xsi:type="dcterms:W3CDTF">2000-02-23T15:17:24Z</dcterms:created>
  <dcterms:modified xsi:type="dcterms:W3CDTF">2006-03-10T09:36:18Z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-323462366</vt:i4>
  </property>
  <property fmtid="{D5CDD505-2E9C-101B-9397-08002B2CF9AE}" pid="3" name="_EmailSubject">
    <vt:lpwstr>Nacalculatieformulier revalidatie</vt:lpwstr>
  </property>
  <property fmtid="{D5CDD505-2E9C-101B-9397-08002B2CF9AE}" pid="4" name="_AuthorEmail">
    <vt:lpwstr>JvKuik@ctg-zaio.nl</vt:lpwstr>
  </property>
  <property fmtid="{D5CDD505-2E9C-101B-9397-08002B2CF9AE}" pid="5" name="_AuthorEmailDisplayName">
    <vt:lpwstr>Kuik, Jasper van</vt:lpwstr>
  </property>
  <property fmtid="{D5CDD505-2E9C-101B-9397-08002B2CF9AE}" pid="6" name="_PreviousAdHocReviewCycleID">
    <vt:i4>-1134985440</vt:i4>
  </property>
  <property fmtid="{D5CDD505-2E9C-101B-9397-08002B2CF9AE}" pid="7" name="_ReviewingToolsShownOnce">
    <vt:lpwstr/>
  </property>
  <property fmtid="{D5CDD505-2E9C-101B-9397-08002B2CF9AE}" pid="8" name="_dlc_DocId">
    <vt:lpwstr>THRFR6N5WDQ4-17-3047</vt:lpwstr>
  </property>
  <property fmtid="{D5CDD505-2E9C-101B-9397-08002B2CF9AE}" pid="9" name="_dlc_DocIdItemGuid">
    <vt:lpwstr>3641d76c-b950-458f-ac63-2b785e3d87a4</vt:lpwstr>
  </property>
  <property fmtid="{D5CDD505-2E9C-101B-9397-08002B2CF9AE}" pid="10" name="_dlc_DocIdUrl">
    <vt:lpwstr>http://kennisnet.nza.nl/publicaties/Aanleveren/_layouts/DocIdRedir.aspx?ID=THRFR6N5WDQ4-17-3047, THRFR6N5WDQ4-17-3047</vt:lpwstr>
  </property>
  <property fmtid="{D5CDD505-2E9C-101B-9397-08002B2CF9AE}" pid="11"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Alle:Ziekenhuiszorg|1a957709-959b-40c0-9640-61f1bd5d07a0</vt:lpwstr>
  </property>
  <property fmtid="{D5CDD505-2E9C-101B-9397-08002B2CF9AE}" pid="15" name="DocumentTypeMetadata">
    <vt:lpwstr>Regels:Formulier|4bc40415-667d-4fea-816d-9688ca6ffa69</vt:lpwstr>
  </property>
  <property fmtid="{D5CDD505-2E9C-101B-9397-08002B2CF9AE}" pid="16" name="ExtraZoekwoordenMetadata">
    <vt:lpwstr/>
  </property>
  <property fmtid="{D5CDD505-2E9C-101B-9397-08002B2CF9AE}" pid="17" name="j85cec29e8c24b8a90feb8db203ff7e2">
    <vt:lpwstr>Ziekenhuiszorg|1a957709-959b-40c0-9640-61f1bd5d07a0</vt:lpwstr>
  </property>
  <property fmtid="{D5CDD505-2E9C-101B-9397-08002B2CF9AE}" pid="18" name="DocumentTypen">
    <vt:lpwstr>103;#Formulier|4bc40415-667d-4fea-816d-9688ca6ffa69</vt:lpwstr>
  </property>
  <property fmtid="{D5CDD505-2E9C-101B-9397-08002B2CF9AE}" pid="19" name="DocumentType">
    <vt:lpwstr/>
  </property>
  <property fmtid="{D5CDD505-2E9C-101B-9397-08002B2CF9AE}" pid="20" name="Sector(en)">
    <vt:lpwstr>134;#Ziekenhuiszorg|1a957709-959b-40c0-9640-61f1bd5d07a0</vt:lpwstr>
  </property>
  <property fmtid="{D5CDD505-2E9C-101B-9397-08002B2CF9AE}" pid="21" name="NZa-zoekwoorden">
    <vt:lpwstr/>
  </property>
  <property fmtid="{D5CDD505-2E9C-101B-9397-08002B2CF9AE}" pid="22" name="ff74c6b610ef44f49114c43de1676156">
    <vt:lpwstr/>
  </property>
  <property fmtid="{D5CDD505-2E9C-101B-9397-08002B2CF9AE}" pid="23" name="n407de7a4204433984b2eeeaba786d56">
    <vt:lpwstr/>
  </property>
  <property fmtid="{D5CDD505-2E9C-101B-9397-08002B2CF9AE}" pid="24" name="Extra zoekwoorden">
    <vt:lpwstr/>
  </property>
  <property fmtid="{D5CDD505-2E9C-101B-9397-08002B2CF9AE}" pid="25" name="l24ea505ea8d4be1bd84e8204c620c6c">
    <vt:lpwstr/>
  </property>
  <property fmtid="{D5CDD505-2E9C-101B-9397-08002B2CF9AE}" pid="26" name="me0f0aaf77cd4640acf557f58a1d2cc0">
    <vt:lpwstr>Formulier|4bc40415-667d-4fea-816d-9688ca6ffa69</vt:lpwstr>
  </property>
  <property fmtid="{D5CDD505-2E9C-101B-9397-08002B2CF9AE}" pid="27" name="TaxCatchAll">
    <vt:lpwstr>103;#Formulier|4bc40415-667d-4fea-816d-9688ca6ffa69;#134;#Ziekenhuiszorg|1a957709-959b-40c0-9640-61f1bd5d07a0</vt:lpwstr>
  </property>
</Properties>
</file>