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20" windowWidth="11880" windowHeight="6270" tabRatio="722" activeTab="0"/>
  </bookViews>
  <sheets>
    <sheet name="Voorblad" sheetId="1" r:id="rId1"/>
    <sheet name="Blad2 Inhoudsopgave" sheetId="2" r:id="rId2"/>
    <sheet name="Blad3 Categorale ziekenh. (011)" sheetId="3" r:id="rId3"/>
    <sheet name="Blad 4 Epilepsie (040)" sheetId="4" r:id="rId4"/>
    <sheet name="Blad5 Radiotherap. centra (090)" sheetId="5" r:id="rId5"/>
    <sheet name="Blad6 overige budgetcomponenten" sheetId="6" r:id="rId6"/>
    <sheet name="Blad7 dure geneesmiddelen" sheetId="7" r:id="rId7"/>
    <sheet name="Blad8 schoning opleidingen" sheetId="8" r:id="rId8"/>
    <sheet name="Blad9 voorlopige nacalculatie" sheetId="9" r:id="rId9"/>
    <sheet name="Blad10 parameterwaarden" sheetId="10" r:id="rId10"/>
  </sheets>
  <definedNames>
    <definedName name="_xlnm.Print_Area" localSheetId="3">'Blad 4 Epilepsie (040)'!$A$1:$K$30</definedName>
    <definedName name="_xlnm.Print_Area" localSheetId="9">'Blad10 parameterwaarden'!$A$1:$M$80</definedName>
    <definedName name="_xlnm.Print_Area" localSheetId="2">'Blad3 Categorale ziekenh. (011)'!$A$1:$N$40</definedName>
    <definedName name="_xlnm.Print_Area" localSheetId="4">'Blad5 Radiotherap. centra (090)'!$A$1:$O$22</definedName>
    <definedName name="_xlnm.Print_Area" localSheetId="5">'Blad6 overige budgetcomponenten'!$A$1:$C$31</definedName>
    <definedName name="_xlnm.Print_Area" localSheetId="6">'Blad7 dure geneesmiddelen'!$A$1:$L$45</definedName>
    <definedName name="_xlnm.Print_Area" localSheetId="7">'Blad8 schoning opleidingen'!$A$1:$F$75</definedName>
    <definedName name="_xlnm.Print_Area" localSheetId="8">'Blad9 voorlopige nacalculatie'!$A$1:$C$32</definedName>
    <definedName name="_xlnm.Print_Area" localSheetId="0">'Voorblad'!$A$1:$C$59</definedName>
  </definedNames>
  <calcPr fullCalcOnLoad="1"/>
</workbook>
</file>

<file path=xl/sharedStrings.xml><?xml version="1.0" encoding="utf-8"?>
<sst xmlns="http://schemas.openxmlformats.org/spreadsheetml/2006/main" count="435" uniqueCount="321">
  <si>
    <t>Naam instelling</t>
  </si>
  <si>
    <t>Vestigingsplaats</t>
  </si>
  <si>
    <t>Ondertekening namens het orgaan voor gezondheidszorg :</t>
  </si>
  <si>
    <t>Ondertekening namens ziektekostenverzekeraars:</t>
  </si>
  <si>
    <t>naam</t>
  </si>
  <si>
    <t>datum</t>
  </si>
  <si>
    <t>Scholingsmiddelen</t>
  </si>
  <si>
    <t>Afschrijvingskosten dubieuze debiteuren</t>
  </si>
  <si>
    <t>verpleegdagen</t>
  </si>
  <si>
    <t>loon</t>
  </si>
  <si>
    <t>nacalculatie</t>
  </si>
  <si>
    <t>CTG-nummer</t>
  </si>
  <si>
    <t>mutatie:</t>
  </si>
  <si>
    <t>reeds in rekenstaat opgenomen afschrijving dubieuze debiteuren:</t>
  </si>
  <si>
    <t xml:space="preserve">definitief overeengekomen bedrag: </t>
  </si>
  <si>
    <t>Lokale productiegebonden toeslag</t>
  </si>
  <si>
    <t>in budget</t>
  </si>
  <si>
    <t xml:space="preserve">nacalculatie </t>
  </si>
  <si>
    <t>voorlopige</t>
  </si>
  <si>
    <t>budget</t>
  </si>
  <si>
    <t>materieel</t>
  </si>
  <si>
    <t>totaal</t>
  </si>
  <si>
    <t>Inhoudsopgave</t>
  </si>
  <si>
    <t>-</t>
  </si>
  <si>
    <t>Recapitulatie voorlopige nacalculaties</t>
  </si>
  <si>
    <t>Onderdeel</t>
  </si>
  <si>
    <t>Afschr.kosten dub.debiteuren, scholingsmiddelen, lokale productiegebonden toeslag</t>
  </si>
  <si>
    <t>Blad</t>
  </si>
  <si>
    <t>Dure geneesmiddelen</t>
  </si>
  <si>
    <t>mutatie</t>
  </si>
  <si>
    <t>opnamen</t>
  </si>
  <si>
    <t>dagverplegingen</t>
  </si>
  <si>
    <t>1e polibezoeken</t>
  </si>
  <si>
    <t>subtotaal</t>
  </si>
  <si>
    <t>hartoperaties</t>
  </si>
  <si>
    <t>PTCA</t>
  </si>
  <si>
    <t>IVF</t>
  </si>
  <si>
    <t>poliklinische toediening cytostatica</t>
  </si>
  <si>
    <t>stents</t>
  </si>
  <si>
    <t>dialyse</t>
  </si>
  <si>
    <t>realisatie</t>
  </si>
  <si>
    <t>productieafspraken</t>
  </si>
  <si>
    <t>heupen</t>
  </si>
  <si>
    <t>beleidsregelbedragen</t>
  </si>
  <si>
    <t>Omschrijving</t>
  </si>
  <si>
    <t>loonkosten</t>
  </si>
  <si>
    <t>mat.kosten</t>
  </si>
  <si>
    <t>klinische adherentie</t>
  </si>
  <si>
    <t>poliklinische adherentie</t>
  </si>
  <si>
    <t>gewogen specialisten eenheden</t>
  </si>
  <si>
    <t>erkende bedden</t>
  </si>
  <si>
    <t>toeslag regio A</t>
  </si>
  <si>
    <t>toeslag regio B</t>
  </si>
  <si>
    <t>toeslag regio C</t>
  </si>
  <si>
    <t>toeslag regio D</t>
  </si>
  <si>
    <t>bed brandwonden</t>
  </si>
  <si>
    <t>bed chr.beademing</t>
  </si>
  <si>
    <t>bed neurochirurgie</t>
  </si>
  <si>
    <t>post-IC high care bed</t>
  </si>
  <si>
    <t>ptca's</t>
  </si>
  <si>
    <t>AICD-implantatie</t>
  </si>
  <si>
    <t>catheterablatie</t>
  </si>
  <si>
    <t>neurostimulatoren bij pijnbestrijding</t>
  </si>
  <si>
    <t>plaatsing eenz.stimulator bij bew.st.</t>
  </si>
  <si>
    <t>plaatsing tweez.stimulator bij bew.st.</t>
  </si>
  <si>
    <t>vervanging eenz.stimulator bij bew.st.</t>
  </si>
  <si>
    <t>vervanging tweez.stimulator bij bew.st.</t>
  </si>
  <si>
    <t>opname neonatale IC</t>
  </si>
  <si>
    <t>beademingsdagen IC</t>
  </si>
  <si>
    <t>knieen</t>
  </si>
  <si>
    <t>in vitro fertilisatie</t>
  </si>
  <si>
    <t>hiv-opname</t>
  </si>
  <si>
    <t>hiv-verpleegdag</t>
  </si>
  <si>
    <t>hiv-polikl.bezoek</t>
  </si>
  <si>
    <t>hiv-dagverpleging</t>
  </si>
  <si>
    <t>haemodialyses (H1)</t>
  </si>
  <si>
    <t>CAPD-dgn (H2)</t>
  </si>
  <si>
    <t>haemodialyses (H4)</t>
  </si>
  <si>
    <t>CAPD-dgn (H5)</t>
  </si>
  <si>
    <t>Thuisdialyse (W7)</t>
  </si>
  <si>
    <t>Thuisdialyse (W8)</t>
  </si>
  <si>
    <t>Thuisdialyse (W9)</t>
  </si>
  <si>
    <t>Thuisdialyse (W10)</t>
  </si>
  <si>
    <t>CCPD (W11)</t>
  </si>
  <si>
    <t>CCPD (W12)</t>
  </si>
  <si>
    <t>RBU</t>
  </si>
  <si>
    <t>opname-1</t>
  </si>
  <si>
    <t>opname-2</t>
  </si>
  <si>
    <t>verpleegdag-1</t>
  </si>
  <si>
    <t>verpleegdag-2</t>
  </si>
  <si>
    <t>1e polikl.bezoeker-1</t>
  </si>
  <si>
    <t xml:space="preserve">1e polikl.bezoeker-2 </t>
  </si>
  <si>
    <t>dagverpleging-1</t>
  </si>
  <si>
    <t>dagverpleging-2</t>
  </si>
  <si>
    <t>"zware" dagverpleging-1</t>
  </si>
  <si>
    <t>"zware" dagverpleging-2</t>
  </si>
  <si>
    <t>poliklinische bevalling -1</t>
  </si>
  <si>
    <t>poliklinische bevalling -2</t>
  </si>
  <si>
    <t xml:space="preserve">cervix-onderzoeken </t>
  </si>
  <si>
    <t>lab.1e lijn huisbezoek</t>
  </si>
  <si>
    <t>lab.1e lijn  afnames-1</t>
  </si>
  <si>
    <t>lab.1e lijn  afnames-2</t>
  </si>
  <si>
    <t>lab.1e lijn analyses</t>
  </si>
  <si>
    <t>trombotest</t>
  </si>
  <si>
    <t>zelfmeting bloedst.waarden training</t>
  </si>
  <si>
    <t>zelfmeting bloedst.waarden begeleiding</t>
  </si>
  <si>
    <t>rontgenonderzoeken</t>
  </si>
  <si>
    <t>functieonderzoeken</t>
  </si>
  <si>
    <t>ergotherapie</t>
  </si>
  <si>
    <t>fysiotherapie/logopedie</t>
  </si>
  <si>
    <t>Beleidsregelbedragen algemene ziekenhuizen ter informatie</t>
  </si>
  <si>
    <t>epilepsiechirurgie</t>
  </si>
  <si>
    <t>verpleegdagen kliniek</t>
  </si>
  <si>
    <t>verpleegdagen lang verblijf</t>
  </si>
  <si>
    <t>dagbehandeling</t>
  </si>
  <si>
    <t>polipatiënten</t>
  </si>
  <si>
    <t>pre-operatief onderzoek</t>
  </si>
  <si>
    <t>nader onderzoek</t>
  </si>
  <si>
    <t>nazorg</t>
  </si>
  <si>
    <t>categorale ziekenhuizen (011), epilepsiecentra (040) en radiotherapeutische centra (090)</t>
  </si>
  <si>
    <t>A. categorale ziekenhuizen (011)</t>
  </si>
  <si>
    <t>- berekende verschillen afspraak en realisatie:</t>
  </si>
  <si>
    <t>- overeengekomen voorlopige nacalculatie productieafspraken*</t>
  </si>
  <si>
    <t>- voorlopige nacalculatie lokale productiegebonden component</t>
  </si>
  <si>
    <t>- voorlopige nacalculatie dure geneesmiddelen</t>
  </si>
  <si>
    <t>B. epilepsiecentra (040)</t>
  </si>
  <si>
    <t>C. radiotherapeutische centra (090)</t>
  </si>
  <si>
    <t>vervanging nervus vagus stimulator</t>
  </si>
  <si>
    <t>plaatsing nervus vagus stimulator</t>
  </si>
  <si>
    <t>2. Beleidsregel groei afschrijvingskosten medische en overige inventarissen</t>
  </si>
  <si>
    <t>*</t>
  </si>
  <si>
    <t>Aanpasssing 2005 afschrijvingskosten medische en overige inventarissen</t>
  </si>
  <si>
    <t>productie afspraken 2005</t>
  </si>
  <si>
    <t>Productieaantallen 2004 / 2005 categorale ziekenhuizen</t>
  </si>
  <si>
    <t>Netto</t>
  </si>
  <si>
    <t>Definitief</t>
  </si>
  <si>
    <t>Reeds</t>
  </si>
  <si>
    <t>Overeengekomen</t>
  </si>
  <si>
    <t>Mutatie</t>
  </si>
  <si>
    <t>inkoopkosten</t>
  </si>
  <si>
    <t>percentage</t>
  </si>
  <si>
    <t>t.o.v. budget</t>
  </si>
  <si>
    <t xml:space="preserve">(exclusief locatiekosten) additioneel in het budget worden opgenomen. Vooruitlopend op </t>
  </si>
  <si>
    <t xml:space="preserve">(exclusief locatiekosten) additioneel in het budget worden opgenomen. Voor een verdere </t>
  </si>
  <si>
    <t>Productieafsprakenformulier</t>
  </si>
  <si>
    <t>Bestemd voor :</t>
  </si>
  <si>
    <t>Informatie inwinnen bij :</t>
  </si>
  <si>
    <t>Tel.nr. :</t>
  </si>
  <si>
    <t>e-mail:</t>
  </si>
  <si>
    <t>Ondertekening namens Zorgverzekeraars Nederland:</t>
  </si>
  <si>
    <t xml:space="preserve">Het CTG wil een bijdrage leveren aan het verminderen van de administratieve lasten bij instellingen. Het CTG streeft tevens </t>
  </si>
  <si>
    <t xml:space="preserve">naar een zo efficiënt mogelijke aanwending van middelen om ontwikkelingen in de gezondheidszorg in kaart te brengen. </t>
  </si>
  <si>
    <t>Daarom heeft het CTG  afspraken gemaakt over het niet vaker dan één keer stellen van dezelfde vragen aan instellingen.</t>
  </si>
  <si>
    <t xml:space="preserve">Daarbij is bepaald dat deze gegevens bij publicatie niet herleidbaar zijn op het niveau van de individuele instelling </t>
  </si>
  <si>
    <t xml:space="preserve">en dat de uitgewisselde gegevens niet verder aan andere personen of organisaties zullen worden doorgeleverd.  </t>
  </si>
  <si>
    <t xml:space="preserve">Het CTG wil de door u op dit formulier ingevulde gegevens betrekken bij de hierboven genoemde gegevensuitwisseling.  </t>
  </si>
  <si>
    <t xml:space="preserve">Bij toestemming levert u een bijdrage aan het verminderen van uw eigen administratieve lasten. </t>
  </si>
  <si>
    <t xml:space="preserve">Bij bezwaar tegen genoemde gegevensuitwisseling,  </t>
  </si>
  <si>
    <t>verzoeken wij u dit vak aan te kruisen.</t>
  </si>
  <si>
    <t>nee</t>
  </si>
  <si>
    <t>ja</t>
  </si>
  <si>
    <t>Versie 3 februari 2006</t>
  </si>
  <si>
    <t>met de kostenmutaties die resulteren op basis van de in het formulier aangegeven verrichtingen</t>
  </si>
  <si>
    <t>beleidsregelbedragen *</t>
  </si>
  <si>
    <t>bijzondere functies ***</t>
  </si>
  <si>
    <t>*** Formeel ontbreken voor deze functies beleidsregels voor categorale ziekenhuizen; in enkele gevallen zijn met CTG/ZAio afspraken gemaakt over de budgettaire vertaling van mutaties.</t>
  </si>
  <si>
    <t>Parameters Epilepsie</t>
  </si>
  <si>
    <t>teletherapie eenvoudig (T1) 140626</t>
  </si>
  <si>
    <t>teletherapie standaard (T2) 140627</t>
  </si>
  <si>
    <t>teletherapie intensief (T3) 140628</t>
  </si>
  <si>
    <t>teletherapie bijzonder (T4) 140629</t>
  </si>
  <si>
    <t>brachytherapie eenvoudig (B1) 140630</t>
  </si>
  <si>
    <t>brachytherapie standaard (B2) 140631</t>
  </si>
  <si>
    <t>brachytherapie intensief (B3) 140632</t>
  </si>
  <si>
    <t>brachytherapie bijzonder (B4) 140633</t>
  </si>
  <si>
    <t>brachytherapie bijzonder (B5) 140634</t>
  </si>
  <si>
    <t>mutatie*</t>
  </si>
  <si>
    <t>toelichting verwijzen wij u naar de beleidsregel Lokale productiegebonden toeslag (I-613)</t>
  </si>
  <si>
    <t>instelling was verbonden en dat voldeed aan de gestelde eisen.</t>
  </si>
  <si>
    <t>Dure geneesmiddelen.</t>
  </si>
  <si>
    <t>afspraak</t>
  </si>
  <si>
    <t>Hemostatica</t>
  </si>
  <si>
    <t>Docetaxel*</t>
  </si>
  <si>
    <t>Irinotecan*</t>
  </si>
  <si>
    <t>Gemcitabine*</t>
  </si>
  <si>
    <t>Oxaliplatine*</t>
  </si>
  <si>
    <t>Paclitaxel*</t>
  </si>
  <si>
    <t>Rituximab*</t>
  </si>
  <si>
    <t>Infliximab (bij M. Crohn)*</t>
  </si>
  <si>
    <t>Immunoglobuline IV*</t>
  </si>
  <si>
    <t>Trastuzumab*</t>
  </si>
  <si>
    <t>Botulinetoxine*</t>
  </si>
  <si>
    <t>Verteporfin*</t>
  </si>
  <si>
    <t>Doxorubicine liposomal (Caelyx)*</t>
  </si>
  <si>
    <t>Infliximab (Remicade) subcutaan / intramusculair bij reumatoïde artritis**</t>
  </si>
  <si>
    <t>Infliximab (Remicade) intraveneus bij reumatoïde artritis**</t>
  </si>
  <si>
    <t>Infliximab (Remicade) subcutaan / intramusculair bij reumatoïde artritis***</t>
  </si>
  <si>
    <t>Infliximab (Remicade) intraveneus bij reumatoïde artritis***</t>
  </si>
  <si>
    <t>Infliximab (bij Artritis psoriatica)*</t>
  </si>
  <si>
    <t>Vinorelbine* m.i.v. 1 juli 2005</t>
  </si>
  <si>
    <t>Bevacizumab*</t>
  </si>
  <si>
    <t>Pemetrexed*</t>
  </si>
  <si>
    <t xml:space="preserve">** de tijdelijke regeling Remicade is per 1-5-2004 vervallen. Het middel is toegevoegd aan de stofnamen lijst beleidsregel dure geneesmiddelen.  </t>
  </si>
  <si>
    <t xml:space="preserve">     Voor de reumapatiënten die voor 1-5-2004 al werden behandeld met remicade blijft de 100% budgettaire vergoedingsregeling bestaan.</t>
  </si>
  <si>
    <t xml:space="preserve">* Bij een positieve nacalculatie kunnen partijen eventueel een lager bedrag overeenkomen. </t>
  </si>
  <si>
    <t>Een negatieve nacalculatie kan niet worden beperkt</t>
  </si>
  <si>
    <t>productie afspraken 2006</t>
  </si>
  <si>
    <t>prijspeil ultimo 2004</t>
  </si>
  <si>
    <t>prijspeil ultimo 2005</t>
  </si>
  <si>
    <t>eerste implementatie BAHA</t>
  </si>
  <si>
    <t>PGD per aangemelde patient</t>
  </si>
  <si>
    <t>PGD per behandeling (cyclus)</t>
  </si>
  <si>
    <t>spraak- en taaldiagnostiek: vast</t>
  </si>
  <si>
    <t>spraak- en taaldiagnostiek: per kind</t>
  </si>
  <si>
    <t>implementatie kunsthart (LVAD)</t>
  </si>
  <si>
    <t>niertransplantaties</t>
  </si>
  <si>
    <t>jaarkaart niertransplantaties</t>
  </si>
  <si>
    <t>BMT autoloog AML</t>
  </si>
  <si>
    <t>BMT allogeen perifeer bloed PBSCT</t>
  </si>
  <si>
    <t>BMT allogeen</t>
  </si>
  <si>
    <t>BMT allogeen donor verwant</t>
  </si>
  <si>
    <t>hartrevalidatie (opbrengst) oud</t>
  </si>
  <si>
    <t>BMT allogeen donor onverwant</t>
  </si>
  <si>
    <t>hartrevalidatie intakecontact</t>
  </si>
  <si>
    <t>BMT allogeen nazorg</t>
  </si>
  <si>
    <t>hartrevalidatie informatiemodule</t>
  </si>
  <si>
    <t>pre-harttransplantatie</t>
  </si>
  <si>
    <t>hartrevalidatie FIT-module &lt;10 sessies</t>
  </si>
  <si>
    <t>harttransplantaties</t>
  </si>
  <si>
    <t>hartrevalidatie FIT-module &gt;10 sessies</t>
  </si>
  <si>
    <t>nazorg harttransplantaties</t>
  </si>
  <si>
    <t>hartrevalidatie PEP-module</t>
  </si>
  <si>
    <t>thuisbeademing basis</t>
  </si>
  <si>
    <t>thuisbeademing 1</t>
  </si>
  <si>
    <t>thuisbeademing 2</t>
  </si>
  <si>
    <t>pre-levertransplantatie</t>
  </si>
  <si>
    <t>levertransplantatie</t>
  </si>
  <si>
    <t>nazorg levertransplantatie</t>
  </si>
  <si>
    <t>pre-(hart)longtransplantatie</t>
  </si>
  <si>
    <t>(hart)longtransplantatie</t>
  </si>
  <si>
    <t>nazorg (hart)longtransplantatie</t>
  </si>
  <si>
    <t>cochleaire implantaties kinderen</t>
  </si>
  <si>
    <t>nazorg cochl. impl. kinderen</t>
  </si>
  <si>
    <t>poliklinische verstrekking cytostatica - 1</t>
  </si>
  <si>
    <t>cochleaire implantaties volwassenen</t>
  </si>
  <si>
    <t>poloklinische verstrekking cytostatica- 2</t>
  </si>
  <si>
    <t>nazorg cochl. impl. volwassenen</t>
  </si>
  <si>
    <t>multitraumapatienten (ISS&gt;=16)</t>
  </si>
  <si>
    <t>hoofd-halsoncologie primaire behandeling</t>
  </si>
  <si>
    <t>med sp. Per erkend bed-1 (kap)</t>
  </si>
  <si>
    <t>hoofd-halsoncologie recidief behandeling</t>
  </si>
  <si>
    <t>med sp. Per erkend bed-2 (kap)</t>
  </si>
  <si>
    <t>agio's loondienst</t>
  </si>
  <si>
    <t>agio's vrijgevestigd</t>
  </si>
  <si>
    <t>agio's extra</t>
  </si>
  <si>
    <t>verg. opleiding type 1</t>
  </si>
  <si>
    <t>verg. opleiding type 2</t>
  </si>
  <si>
    <t>verg. opleiding type 3</t>
  </si>
  <si>
    <t>Beleidsregelbedragen ziekenhuizen (productiedeel)</t>
  </si>
  <si>
    <t>Herschikking budget ivm nieuwe bekostigingssystematiek zorgopleidingen</t>
  </si>
  <si>
    <t>Berekende schoning</t>
  </si>
  <si>
    <t>Aantal erkende bedden conform laatste rekenstaat 2005:</t>
  </si>
  <si>
    <t>Interne geneeskunde</t>
  </si>
  <si>
    <t>Klinische geriatrie</t>
  </si>
  <si>
    <t>Longziekten en tuberculose</t>
  </si>
  <si>
    <t>Cardiologie</t>
  </si>
  <si>
    <t>Reumatologie</t>
  </si>
  <si>
    <t>Maag-darm-leverziekten</t>
  </si>
  <si>
    <t>Allergologie</t>
  </si>
  <si>
    <t>Kindergeneeskunde</t>
  </si>
  <si>
    <t>Heelkunde/chirurgie</t>
  </si>
  <si>
    <t>Orthopedie</t>
  </si>
  <si>
    <t>Urologie</t>
  </si>
  <si>
    <t>Plastische chirurgie</t>
  </si>
  <si>
    <t>Neurochirurgie</t>
  </si>
  <si>
    <t>Cardiothoraxale/card.pulm. Chirurgie</t>
  </si>
  <si>
    <t>Gyneacologie en verloskunde</t>
  </si>
  <si>
    <t>Oogheelkunde</t>
  </si>
  <si>
    <t>Keel-neus-oorheelkunde</t>
  </si>
  <si>
    <t>Dermatologie en venerologie</t>
  </si>
  <si>
    <t>Neurologie</t>
  </si>
  <si>
    <t>neurologen/zenuwartsen</t>
  </si>
  <si>
    <t>Revalidatiegeneeskunde</t>
  </si>
  <si>
    <t>Radiotherapie</t>
  </si>
  <si>
    <t>tandartsspecialisten voor :</t>
  </si>
  <si>
    <t>Kaakchirurgie</t>
  </si>
  <si>
    <t>-dentomax. Orthopedie/Orthodontie</t>
  </si>
  <si>
    <t>Anesthesiologie</t>
  </si>
  <si>
    <t>Overzicht medisch specialismen</t>
  </si>
  <si>
    <t>wegings-factor</t>
  </si>
  <si>
    <t xml:space="preserve"> aantal agio's in RS 2005</t>
  </si>
  <si>
    <t>bezette opl.plaatsen ult. 2005</t>
  </si>
  <si>
    <t>Klinische genetica</t>
  </si>
  <si>
    <t>Medische microbiologie</t>
  </si>
  <si>
    <t>Nucleaire geneeskunde</t>
  </si>
  <si>
    <t>Pathologie</t>
  </si>
  <si>
    <t>Radiologie</t>
  </si>
  <si>
    <t>Ziekenhuisapotheker</t>
  </si>
  <si>
    <t>Klinisch fysicus</t>
  </si>
  <si>
    <t>Klinisch chemicus, mits erkend</t>
  </si>
  <si>
    <t>totaal voor schaalgrootte afhankelijke bekostiging</t>
  </si>
  <si>
    <t>totaal gewogen</t>
  </si>
  <si>
    <t>Herschikkingssbedragen</t>
  </si>
  <si>
    <t>gewogen agio's</t>
  </si>
  <si>
    <t>Vergoedingsbedrag op basis van aantallen bezette opleidingsplaatsen ultimo 2005</t>
  </si>
  <si>
    <t>bedrag ogv type</t>
  </si>
  <si>
    <t>Totaal</t>
  </si>
  <si>
    <t>specialismen met schaalgrootte afhankelijke bekostiging</t>
  </si>
  <si>
    <t>specialismen zonder schaalgrootte afhankelijke bekostiging</t>
  </si>
  <si>
    <t>lumpsumschoning</t>
  </si>
  <si>
    <t>bezette plaatsen ult. 2000*</t>
  </si>
  <si>
    <t>* u wordt verzocht de werkelijke aantallen vrijgevestigde agio's ultimo 2000 op te geven ten behoeve van de schoning van de lumpsum.</t>
  </si>
  <si>
    <t xml:space="preserve">loonkosten agio's 2005 </t>
  </si>
  <si>
    <t>bedrag voor loonkosten agio's conform regel loonkosten medisch specialisten rekenstaat 2005 (excl. trend 2005)</t>
  </si>
  <si>
    <t xml:space="preserve">In verband met de invoering van een nieuwe bekostigingssystematiek voor opleidingen verzoeken wij u voor de eerste kolom de aantallen agio's </t>
  </si>
  <si>
    <t xml:space="preserve">conform de meest recente rekenstaat 2005 op te geven. In de tweede kolom kunt u het aantal agio's van vrijgevestigde medisch specialismen </t>
  </si>
  <si>
    <t>ultimo 2000 opgeven. In de laatste kolom dient u het werkelijk aantal ingevulde opleidingsplaatsen in 2005 op te geven.</t>
  </si>
  <si>
    <t>Investeringsrichtlijn 2005</t>
  </si>
  <si>
    <t>totaal 2005</t>
  </si>
  <si>
    <t>Budgetparameters agio's</t>
  </si>
  <si>
    <t>Infliximab (bij Spondylitis Ankylopoetica)*</t>
  </si>
</sst>
</file>

<file path=xl/styles.xml><?xml version="1.0" encoding="utf-8"?>
<styleSheet xmlns="http://schemas.openxmlformats.org/spreadsheetml/2006/main">
  <numFmts count="3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.00_ ;[Red]\-#,##0.00\ "/>
    <numFmt numFmtId="171" formatCode="#,##0_ ;[Red]\-#,##0\ "/>
    <numFmt numFmtId="172" formatCode="General_)"/>
    <numFmt numFmtId="173" formatCode="#,##0_ ;\-#,##0\ "/>
    <numFmt numFmtId="174" formatCode="0.000"/>
    <numFmt numFmtId="175" formatCode="0.0"/>
    <numFmt numFmtId="176" formatCode="d\ mmmm\ yyyy"/>
    <numFmt numFmtId="177" formatCode="#,##0.0000_ ;[Red]\-#,##0.0000\ "/>
    <numFmt numFmtId="178" formatCode="0.0%"/>
    <numFmt numFmtId="179" formatCode="_-\€\ * #,##0_-;_-\€\ * #,##0\-;_-\€\ * &quot;-&quot;??_-;_-@_-"/>
    <numFmt numFmtId="180" formatCode="#,##0.00_-"/>
    <numFmt numFmtId="181" formatCode="#,##0.0_ ;[Red]\-#,##0.0\ "/>
    <numFmt numFmtId="182" formatCode="0.000000"/>
    <numFmt numFmtId="183" formatCode="0.00000"/>
    <numFmt numFmtId="184" formatCode="0.0000"/>
    <numFmt numFmtId="185" formatCode="&quot;€&quot;\ #,##0_-"/>
    <numFmt numFmtId="186" formatCode="#,##0.0"/>
    <numFmt numFmtId="187" formatCode="_-\€\ * #,##0.00_-;_-\€\ * #,##0.00\-;_-\€\ * &quot;-&quot;??_-;_-@_-"/>
    <numFmt numFmtId="188" formatCode="#,##0.000_ ;[Red]\-#,##0.000\ 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1" fontId="0" fillId="2" borderId="0" xfId="0" applyNumberFormat="1" applyFont="1" applyFill="1" applyAlignment="1">
      <alignment/>
    </xf>
    <xf numFmtId="171" fontId="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81" fontId="0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170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8" fontId="0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1" fontId="0" fillId="0" borderId="0" xfId="0" applyNumberFormat="1" applyFont="1" applyFill="1" applyAlignment="1">
      <alignment/>
    </xf>
    <xf numFmtId="184" fontId="0" fillId="2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4" fontId="0" fillId="2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78" fontId="0" fillId="0" borderId="0" xfId="18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0" borderId="7" xfId="0" applyNumberFormat="1" applyFont="1" applyFill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0" fillId="0" borderId="0" xfId="18" applyNumberFormat="1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5" fontId="1" fillId="0" borderId="1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171" fontId="1" fillId="3" borderId="1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0" xfId="0" applyNumberFormat="1" applyFont="1" applyFill="1" applyBorder="1" applyAlignment="1">
      <alignment horizontal="center"/>
    </xf>
    <xf numFmtId="171" fontId="1" fillId="3" borderId="20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/>
      <protection locked="0"/>
    </xf>
    <xf numFmtId="0" fontId="1" fillId="3" borderId="20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/>
      <protection locked="0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5" fontId="0" fillId="0" borderId="0" xfId="19" applyNumberFormat="1" applyFont="1" applyFill="1" applyBorder="1" applyAlignment="1">
      <alignment horizontal="right"/>
    </xf>
    <xf numFmtId="185" fontId="0" fillId="0" borderId="12" xfId="19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" borderId="1" xfId="0" applyFont="1" applyFill="1" applyBorder="1" applyAlignment="1" applyProtection="1">
      <alignment horizontal="center"/>
      <protection/>
    </xf>
    <xf numFmtId="10" fontId="0" fillId="3" borderId="16" xfId="0" applyNumberFormat="1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10" fontId="0" fillId="3" borderId="17" xfId="0" applyNumberFormat="1" applyFont="1" applyFill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center"/>
      <protection/>
    </xf>
    <xf numFmtId="10" fontId="0" fillId="3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1" fontId="1" fillId="3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9" fontId="0" fillId="0" borderId="12" xfId="0" applyNumberFormat="1" applyFont="1" applyFill="1" applyBorder="1" applyAlignment="1" applyProtection="1">
      <alignment/>
      <protection/>
    </xf>
    <xf numFmtId="171" fontId="0" fillId="2" borderId="12" xfId="0" applyNumberFormat="1" applyFont="1" applyFill="1" applyBorder="1" applyAlignment="1" applyProtection="1">
      <alignment/>
      <protection/>
    </xf>
    <xf numFmtId="171" fontId="0" fillId="0" borderId="12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1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171" fontId="0" fillId="2" borderId="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9" fontId="0" fillId="0" borderId="12" xfId="18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0" fontId="0" fillId="0" borderId="21" xfId="0" applyNumberFormat="1" applyFont="1" applyBorder="1" applyAlignment="1" applyProtection="1">
      <alignment/>
      <protection/>
    </xf>
    <xf numFmtId="171" fontId="0" fillId="0" borderId="7" xfId="0" applyNumberFormat="1" applyFont="1" applyBorder="1" applyAlignment="1" applyProtection="1">
      <alignment/>
      <protection/>
    </xf>
    <xf numFmtId="10" fontId="0" fillId="0" borderId="7" xfId="0" applyNumberFormat="1" applyFont="1" applyBorder="1" applyAlignment="1" applyProtection="1">
      <alignment/>
      <protection/>
    </xf>
    <xf numFmtId="171" fontId="0" fillId="3" borderId="19" xfId="0" applyNumberFormat="1" applyFont="1" applyFill="1" applyBorder="1" applyAlignment="1" applyProtection="1">
      <alignment/>
      <protection/>
    </xf>
    <xf numFmtId="171" fontId="0" fillId="0" borderId="10" xfId="0" applyNumberFormat="1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12" xfId="0" applyBorder="1" applyAlignment="1" quotePrefix="1">
      <alignment/>
    </xf>
    <xf numFmtId="171" fontId="0" fillId="0" borderId="12" xfId="0" applyNumberFormat="1" applyBorder="1" applyAlignment="1" quotePrefix="1">
      <alignment/>
    </xf>
    <xf numFmtId="0" fontId="0" fillId="0" borderId="12" xfId="0" applyFont="1" applyBorder="1" applyAlignment="1" quotePrefix="1">
      <alignment/>
    </xf>
    <xf numFmtId="171" fontId="0" fillId="3" borderId="12" xfId="0" applyNumberFormat="1" applyFill="1" applyBorder="1" applyAlignment="1" applyProtection="1">
      <alignment/>
      <protection locked="0"/>
    </xf>
    <xf numFmtId="171" fontId="0" fillId="0" borderId="12" xfId="0" applyNumberFormat="1" applyBorder="1" applyAlignment="1">
      <alignment/>
    </xf>
    <xf numFmtId="0" fontId="4" fillId="0" borderId="12" xfId="0" applyFont="1" applyBorder="1" applyAlignment="1">
      <alignment/>
    </xf>
    <xf numFmtId="171" fontId="0" fillId="0" borderId="12" xfId="0" applyNumberFormat="1" applyBorder="1" applyAlignment="1">
      <alignment/>
    </xf>
    <xf numFmtId="0" fontId="0" fillId="3" borderId="7" xfId="0" applyFont="1" applyFill="1" applyBorder="1" applyAlignment="1">
      <alignment horizontal="center"/>
    </xf>
    <xf numFmtId="1" fontId="1" fillId="3" borderId="12" xfId="16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 applyProtection="1">
      <alignment/>
      <protection/>
    </xf>
    <xf numFmtId="43" fontId="0" fillId="0" borderId="12" xfId="16" applyFont="1" applyBorder="1" applyAlignment="1">
      <alignment/>
    </xf>
    <xf numFmtId="188" fontId="0" fillId="0" borderId="12" xfId="0" applyNumberFormat="1" applyFont="1" applyFill="1" applyBorder="1" applyAlignment="1" applyProtection="1">
      <alignment/>
      <protection/>
    </xf>
    <xf numFmtId="43" fontId="0" fillId="0" borderId="0" xfId="16" applyAlignment="1">
      <alignment/>
    </xf>
    <xf numFmtId="178" fontId="0" fillId="0" borderId="12" xfId="18" applyNumberFormat="1" applyFont="1" applyFill="1" applyBorder="1" applyAlignment="1" applyProtection="1">
      <alignment/>
      <protection/>
    </xf>
    <xf numFmtId="43" fontId="0" fillId="0" borderId="12" xfId="16" applyFont="1" applyFill="1" applyBorder="1" applyAlignment="1">
      <alignment/>
    </xf>
    <xf numFmtId="0" fontId="0" fillId="0" borderId="12" xfId="0" applyFont="1" applyBorder="1" applyAlignment="1">
      <alignment/>
    </xf>
    <xf numFmtId="1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" fontId="1" fillId="3" borderId="12" xfId="16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71" fontId="0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12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0" fontId="0" fillId="0" borderId="12" xfId="0" applyFont="1" applyFill="1" applyBorder="1" applyAlignment="1" quotePrefix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3" borderId="23" xfId="0" applyFont="1" applyFill="1" applyBorder="1" applyAlignment="1" applyProtection="1">
      <alignment/>
      <protection hidden="1"/>
    </xf>
    <xf numFmtId="0" fontId="1" fillId="3" borderId="15" xfId="0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1" fontId="1" fillId="0" borderId="0" xfId="16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70" fontId="0" fillId="0" borderId="15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/>
    </xf>
    <xf numFmtId="1" fontId="1" fillId="0" borderId="15" xfId="16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23" xfId="0" applyFont="1" applyFill="1" applyBorder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0" fillId="0" borderId="22" xfId="0" applyFont="1" applyFill="1" applyBorder="1" applyAlignment="1" applyProtection="1">
      <alignment horizontal="left"/>
      <protection hidden="1"/>
    </xf>
    <xf numFmtId="4" fontId="0" fillId="0" borderId="13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70" fontId="0" fillId="0" borderId="24" xfId="0" applyNumberFormat="1" applyFont="1" applyBorder="1" applyAlignment="1">
      <alignment/>
    </xf>
    <xf numFmtId="0" fontId="0" fillId="0" borderId="23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2" xfId="0" applyBorder="1" applyAlignment="1">
      <alignment/>
    </xf>
    <xf numFmtId="4" fontId="1" fillId="0" borderId="25" xfId="0" applyNumberFormat="1" applyFont="1" applyBorder="1" applyAlignment="1">
      <alignment/>
    </xf>
    <xf numFmtId="0" fontId="0" fillId="0" borderId="23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3" borderId="12" xfId="0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horizontal="center" vertical="top"/>
      <protection/>
    </xf>
    <xf numFmtId="171" fontId="1" fillId="3" borderId="18" xfId="0" applyNumberFormat="1" applyFont="1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3" borderId="19" xfId="0" applyFill="1" applyBorder="1" applyAlignment="1">
      <alignment/>
    </xf>
    <xf numFmtId="171" fontId="1" fillId="3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71" fontId="1" fillId="3" borderId="26" xfId="0" applyNumberFormat="1" applyFont="1" applyFill="1" applyBorder="1" applyAlignment="1">
      <alignment horizontal="center"/>
    </xf>
    <xf numFmtId="171" fontId="1" fillId="3" borderId="19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3" borderId="2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1" fontId="1" fillId="3" borderId="25" xfId="16" applyNumberFormat="1" applyFont="1" applyFill="1" applyBorder="1" applyAlignment="1">
      <alignment horizontal="center" vertical="top"/>
    </xf>
    <xf numFmtId="1" fontId="1" fillId="3" borderId="27" xfId="16" applyNumberFormat="1" applyFont="1" applyFill="1" applyBorder="1" applyAlignment="1">
      <alignment horizontal="center" vertical="top"/>
    </xf>
    <xf numFmtId="1" fontId="1" fillId="3" borderId="28" xfId="16" applyNumberFormat="1" applyFont="1" applyFill="1" applyBorder="1" applyAlignment="1">
      <alignment horizontal="center" vertical="top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3" borderId="23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left" wrapText="1"/>
    </xf>
    <xf numFmtId="0" fontId="1" fillId="3" borderId="23" xfId="0" applyFont="1" applyFill="1" applyBorder="1" applyAlignment="1" applyProtection="1">
      <alignment horizontal="center" vertical="top" wrapText="1"/>
      <protection hidden="1"/>
    </xf>
    <xf numFmtId="0" fontId="1" fillId="3" borderId="22" xfId="0" applyFont="1" applyFill="1" applyBorder="1" applyAlignment="1" applyProtection="1">
      <alignment horizontal="center" vertical="top" wrapText="1"/>
      <protection hidden="1"/>
    </xf>
    <xf numFmtId="0" fontId="0" fillId="0" borderId="2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pic>
      <xdr:nvPicPr>
        <xdr:cNvPr id="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0</xdr:rowOff>
    </xdr:from>
    <xdr:to>
      <xdr:col>2</xdr:col>
      <xdr:colOff>2286000</xdr:colOff>
      <xdr:row>4</xdr:row>
      <xdr:rowOff>142875</xdr:rowOff>
    </xdr:to>
    <xdr:pic>
      <xdr:nvPicPr>
        <xdr:cNvPr id="2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61925"/>
          <a:ext cx="2219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GridLines="0" showRowColHeaders="0" showZeros="0" tabSelected="1" showOutlineSymbols="0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5.7109375" style="2" customWidth="1"/>
    <col min="2" max="2" width="7.7109375" style="2" customWidth="1"/>
    <col min="3" max="3" width="50.7109375" style="2" customWidth="1"/>
    <col min="4" max="16384" width="9.140625" style="2" customWidth="1"/>
  </cols>
  <sheetData>
    <row r="1" spans="1:3" ht="12.75" customHeight="1">
      <c r="A1" s="43"/>
      <c r="B1" s="43"/>
      <c r="C1" s="43"/>
    </row>
    <row r="2" spans="1:3" ht="16.5" customHeight="1" thickBot="1">
      <c r="A2" s="50"/>
      <c r="B2" s="43"/>
      <c r="C2" s="43"/>
    </row>
    <row r="3" spans="1:3" ht="16.5" customHeight="1" thickBot="1">
      <c r="A3" s="51" t="s">
        <v>144</v>
      </c>
      <c r="B3" s="52">
        <v>2006</v>
      </c>
      <c r="C3" s="43"/>
    </row>
    <row r="4" spans="1:3" ht="18" customHeight="1">
      <c r="A4" s="53"/>
      <c r="B4" s="43"/>
      <c r="C4" s="43"/>
    </row>
    <row r="5" spans="1:3" ht="18" customHeight="1">
      <c r="A5" s="43"/>
      <c r="B5" s="43"/>
      <c r="C5" s="43"/>
    </row>
    <row r="6" spans="1:3" ht="18" customHeight="1">
      <c r="A6" s="43"/>
      <c r="B6" s="43"/>
      <c r="C6" s="43"/>
    </row>
    <row r="7" spans="1:3" ht="18" customHeight="1">
      <c r="A7" s="54" t="str">
        <f>CONCATENATE("Budgetaanpassingen per 1 januari ",B3," op grond van voorlopige nacalculatie productie ",B3-1)</f>
        <v>Budgetaanpassingen per 1 januari 2006 op grond van voorlopige nacalculatie productie 2005</v>
      </c>
      <c r="B7" s="54"/>
      <c r="C7" s="54"/>
    </row>
    <row r="8" spans="1:3" ht="18" customHeight="1">
      <c r="A8" s="55" t="str">
        <f>CONCATENATE("en productieafspraken ",B3)</f>
        <v>en productieafspraken 2006</v>
      </c>
      <c r="B8" s="55"/>
      <c r="C8" s="55"/>
    </row>
    <row r="9" spans="1:3" ht="12.75" customHeight="1">
      <c r="A9" s="55"/>
      <c r="B9" s="55"/>
      <c r="C9" s="55"/>
    </row>
    <row r="10" spans="1:3" ht="12.75" customHeight="1">
      <c r="A10" s="53"/>
      <c r="B10" s="53"/>
      <c r="C10" s="53"/>
    </row>
    <row r="11" spans="1:3" ht="12.75" customHeight="1">
      <c r="A11" s="53" t="s">
        <v>145</v>
      </c>
      <c r="B11" s="53"/>
      <c r="C11" s="53"/>
    </row>
    <row r="12" spans="1:3" ht="12.75" customHeight="1">
      <c r="A12" s="2" t="s">
        <v>119</v>
      </c>
      <c r="B12" s="53"/>
      <c r="C12" s="53"/>
    </row>
    <row r="13" spans="1:3" ht="12.75" customHeight="1">
      <c r="A13" s="53"/>
      <c r="B13" s="53"/>
      <c r="C13" s="53"/>
    </row>
    <row r="14" spans="1:3" ht="12.75" customHeight="1">
      <c r="A14" s="56"/>
      <c r="B14" s="56"/>
      <c r="C14" s="56"/>
    </row>
    <row r="15" spans="1:3" ht="12.75" customHeight="1">
      <c r="A15" s="57" t="s">
        <v>0</v>
      </c>
      <c r="B15" s="237"/>
      <c r="C15" s="238"/>
    </row>
    <row r="16" spans="1:3" ht="12.75" customHeight="1">
      <c r="A16" s="57" t="s">
        <v>11</v>
      </c>
      <c r="B16" s="237"/>
      <c r="C16" s="238"/>
    </row>
    <row r="17" spans="1:3" ht="12.75" customHeight="1">
      <c r="A17" s="57" t="s">
        <v>1</v>
      </c>
      <c r="B17" s="237"/>
      <c r="C17" s="238"/>
    </row>
    <row r="18" spans="1:3" ht="12.75" customHeight="1">
      <c r="A18" s="57" t="s">
        <v>146</v>
      </c>
      <c r="B18" s="237"/>
      <c r="C18" s="238"/>
    </row>
    <row r="19" spans="1:3" ht="12.75" customHeight="1">
      <c r="A19" s="57" t="s">
        <v>147</v>
      </c>
      <c r="B19" s="237"/>
      <c r="C19" s="238"/>
    </row>
    <row r="20" spans="1:3" ht="12.75" customHeight="1">
      <c r="A20" s="60" t="s">
        <v>148</v>
      </c>
      <c r="B20" s="237"/>
      <c r="C20" s="238"/>
    </row>
    <row r="21" spans="1:3" ht="12.75" customHeight="1">
      <c r="A21" s="61"/>
      <c r="B21" s="61"/>
      <c r="C21" s="62" t="s">
        <v>161</v>
      </c>
    </row>
    <row r="22" spans="1:3" ht="12.75" customHeight="1">
      <c r="A22" s="53"/>
      <c r="B22" s="53"/>
      <c r="C22" s="63" t="str">
        <f>CONCATENATE("Inzenden voor 1 april ",B3)</f>
        <v>Inzenden voor 1 april 2006</v>
      </c>
    </row>
    <row r="23" spans="1:3" ht="12.75" customHeight="1">
      <c r="A23" s="239" t="str">
        <f>IF($A$24=TRUE,"      Invulvelden gearceerd","      Invulvelden niet gearceerd")</f>
        <v>      Invulvelden gearceerd</v>
      </c>
      <c r="B23" s="240"/>
      <c r="C23" s="64"/>
    </row>
    <row r="24" spans="1:3" ht="12.75" customHeight="1" hidden="1">
      <c r="A24" s="65" t="b">
        <v>1</v>
      </c>
      <c r="B24" s="53"/>
      <c r="C24" s="53"/>
    </row>
    <row r="25" spans="1:3" ht="12.75" customHeight="1">
      <c r="A25" s="66"/>
      <c r="B25" s="53"/>
      <c r="C25" s="53"/>
    </row>
    <row r="26" spans="1:3" ht="12.75" customHeight="1">
      <c r="A26" s="53" t="str">
        <f>CONCATENATE("Partijen verzoeken u op grond van artikel 4 lid 1 / 8 lid 2* van de WTG de aanvaardbare kosten ",B3-1," en ",B3," aan te passen")</f>
        <v>Partijen verzoeken u op grond van artikel 4 lid 1 / 8 lid 2* van de WTG de aanvaardbare kosten 2005 en 2006 aan te passen</v>
      </c>
      <c r="B26" s="53"/>
      <c r="C26" s="53"/>
    </row>
    <row r="27" spans="1:3" ht="12.75" customHeight="1">
      <c r="A27" s="53" t="s">
        <v>162</v>
      </c>
      <c r="B27" s="53"/>
      <c r="C27" s="53"/>
    </row>
    <row r="28" spans="1:3" ht="12.75" customHeight="1">
      <c r="A28" s="67"/>
      <c r="B28" s="63"/>
      <c r="C28" s="67"/>
    </row>
    <row r="29" spans="1:3" ht="12.75" customHeight="1">
      <c r="A29" s="55"/>
      <c r="B29" s="55"/>
      <c r="C29" s="53"/>
    </row>
    <row r="30" spans="1:3" ht="12.75" customHeight="1">
      <c r="A30" s="53"/>
      <c r="B30" s="53"/>
      <c r="C30" s="53"/>
    </row>
    <row r="31" spans="1:3" ht="12.75" customHeight="1">
      <c r="A31" s="53"/>
      <c r="B31" s="53"/>
      <c r="C31" s="53"/>
    </row>
    <row r="32" spans="1:3" ht="12.75" customHeight="1">
      <c r="A32" s="68" t="s">
        <v>2</v>
      </c>
      <c r="B32" s="68"/>
      <c r="C32" s="68"/>
    </row>
    <row r="33" spans="1:3" ht="12.75" customHeight="1">
      <c r="A33" s="234" t="s">
        <v>4</v>
      </c>
      <c r="B33" s="235"/>
      <c r="C33" s="236"/>
    </row>
    <row r="34" spans="1:3" ht="12.75" customHeight="1">
      <c r="A34" s="234" t="s">
        <v>5</v>
      </c>
      <c r="B34" s="235"/>
      <c r="C34" s="236"/>
    </row>
    <row r="35" spans="1:3" ht="12.75" customHeight="1">
      <c r="A35" s="69" t="s">
        <v>3</v>
      </c>
      <c r="B35" s="69"/>
      <c r="C35" s="69"/>
    </row>
    <row r="36" spans="1:3" ht="12.75" customHeight="1">
      <c r="A36" s="234" t="s">
        <v>4</v>
      </c>
      <c r="B36" s="235"/>
      <c r="C36" s="236"/>
    </row>
    <row r="37" spans="1:3" ht="12.75" customHeight="1">
      <c r="A37" s="234" t="s">
        <v>5</v>
      </c>
      <c r="B37" s="235"/>
      <c r="C37" s="236"/>
    </row>
    <row r="38" spans="1:3" ht="12.75" customHeight="1">
      <c r="A38" s="234" t="s">
        <v>4</v>
      </c>
      <c r="B38" s="235"/>
      <c r="C38" s="236"/>
    </row>
    <row r="39" spans="1:3" ht="12.75" customHeight="1">
      <c r="A39" s="234" t="s">
        <v>5</v>
      </c>
      <c r="B39" s="235"/>
      <c r="C39" s="236"/>
    </row>
    <row r="40" spans="1:3" ht="12.75" customHeight="1">
      <c r="A40" s="234" t="s">
        <v>4</v>
      </c>
      <c r="B40" s="235"/>
      <c r="C40" s="236"/>
    </row>
    <row r="41" spans="1:3" ht="12.75" customHeight="1">
      <c r="A41" s="234" t="s">
        <v>5</v>
      </c>
      <c r="B41" s="235"/>
      <c r="C41" s="236"/>
    </row>
    <row r="42" spans="1:3" ht="12.75" customHeight="1">
      <c r="A42" s="70"/>
      <c r="B42" s="70"/>
      <c r="C42" s="70"/>
    </row>
    <row r="43" spans="1:3" ht="12.75" customHeight="1">
      <c r="A43" s="68" t="s">
        <v>149</v>
      </c>
      <c r="B43" s="68"/>
      <c r="C43" s="68"/>
    </row>
    <row r="44" spans="1:3" ht="12.75" customHeight="1">
      <c r="A44" s="234" t="s">
        <v>4</v>
      </c>
      <c r="B44" s="235"/>
      <c r="C44" s="236"/>
    </row>
    <row r="45" spans="1:3" ht="12.75" customHeight="1">
      <c r="A45" s="234" t="s">
        <v>5</v>
      </c>
      <c r="B45" s="235"/>
      <c r="C45" s="236"/>
    </row>
    <row r="46" spans="1:3" ht="12.75" customHeight="1">
      <c r="A46" s="71"/>
      <c r="B46" s="71"/>
      <c r="C46" s="72"/>
    </row>
    <row r="47" spans="1:3" ht="12.75" customHeight="1">
      <c r="A47" s="73" t="s">
        <v>150</v>
      </c>
      <c r="B47" s="73"/>
      <c r="C47" s="53"/>
    </row>
    <row r="48" spans="1:3" ht="12.75" customHeight="1">
      <c r="A48" s="73" t="s">
        <v>151</v>
      </c>
      <c r="B48" s="73"/>
      <c r="C48" s="53"/>
    </row>
    <row r="49" spans="1:3" ht="12.75" customHeight="1">
      <c r="A49" s="73" t="s">
        <v>152</v>
      </c>
      <c r="B49" s="73"/>
      <c r="C49" s="53"/>
    </row>
    <row r="50" spans="1:3" ht="12.75" customHeight="1">
      <c r="A50" s="73" t="s">
        <v>153</v>
      </c>
      <c r="B50" s="73"/>
      <c r="C50" s="53"/>
    </row>
    <row r="51" spans="1:3" ht="12.75" customHeight="1">
      <c r="A51" s="53" t="s">
        <v>154</v>
      </c>
      <c r="B51" s="73"/>
      <c r="C51" s="53"/>
    </row>
    <row r="52" spans="1:3" ht="12.75" customHeight="1">
      <c r="A52" s="53"/>
      <c r="B52" s="53"/>
      <c r="C52" s="53"/>
    </row>
    <row r="53" spans="1:3" ht="12.75" customHeight="1">
      <c r="A53" s="73" t="s">
        <v>155</v>
      </c>
      <c r="B53" s="53"/>
      <c r="C53" s="53"/>
    </row>
    <row r="54" spans="1:3" ht="12.75" customHeight="1">
      <c r="A54" s="53" t="s">
        <v>156</v>
      </c>
      <c r="B54" s="73"/>
      <c r="C54" s="53"/>
    </row>
    <row r="55" spans="1:3" ht="12.75" customHeight="1">
      <c r="A55" s="74"/>
      <c r="B55" s="53"/>
      <c r="C55" s="53"/>
    </row>
    <row r="56" spans="1:3" ht="12.75" customHeight="1">
      <c r="A56" s="53"/>
      <c r="B56" s="53"/>
      <c r="C56" s="53"/>
    </row>
    <row r="57" spans="1:3" ht="12.75" customHeight="1">
      <c r="A57" s="53" t="s">
        <v>157</v>
      </c>
      <c r="B57" s="53"/>
      <c r="C57" s="53"/>
    </row>
    <row r="58" spans="1:4" ht="12.75" customHeight="1">
      <c r="A58" s="53" t="s">
        <v>158</v>
      </c>
      <c r="B58" s="58" t="s">
        <v>159</v>
      </c>
      <c r="C58" s="53"/>
      <c r="D58" s="75" t="s">
        <v>160</v>
      </c>
    </row>
    <row r="59" spans="1:4" ht="12.75">
      <c r="A59" s="53"/>
      <c r="B59" s="53"/>
      <c r="C59" s="53">
        <v>1</v>
      </c>
      <c r="D59" s="75" t="s">
        <v>159</v>
      </c>
    </row>
  </sheetData>
  <sheetProtection password="CCBC" sheet="1" objects="1" scenarios="1"/>
  <mergeCells count="17">
    <mergeCell ref="B15:C15"/>
    <mergeCell ref="B16:C16"/>
    <mergeCell ref="B17:C17"/>
    <mergeCell ref="B18:C18"/>
    <mergeCell ref="B19:C19"/>
    <mergeCell ref="B20:C20"/>
    <mergeCell ref="A23:B23"/>
    <mergeCell ref="A33:C33"/>
    <mergeCell ref="A34:C34"/>
    <mergeCell ref="A36:C36"/>
    <mergeCell ref="A37:C37"/>
    <mergeCell ref="A38:C38"/>
    <mergeCell ref="A45:C45"/>
    <mergeCell ref="A39:C39"/>
    <mergeCell ref="A40:C40"/>
    <mergeCell ref="A41:C41"/>
    <mergeCell ref="A44:C44"/>
  </mergeCells>
  <conditionalFormatting sqref="A33:A34 B58 A36:A41 A44:A45 A23 B15:C20">
    <cfRule type="expression" priority="1" dxfId="0" stopIfTrue="1">
      <formula>$A$24=TRUE</formula>
    </cfRule>
  </conditionalFormatting>
  <dataValidations count="1">
    <dataValidation type="list" allowBlank="1" showInputMessage="1" showErrorMessage="1" prompt="U kunt hier 'ja' selecteren indien u geen toestemming wenst te verlenen." errorTitle="Fout!" error="U moet hier een ja of nee opgeven" sqref="B58">
      <formula1>$D$58:$D$59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6" r:id="rId3"/>
  <headerFooter alignWithMargins="0">
    <oddHeader>&amp;LBijlage bij JHYM/erug/CI/06/15c</oddHeader>
    <oddFooter>&amp;Rblad 1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showRowColHeaders="0" showZeros="0" showOutlineSymbols="0" view="pageBreakPreview" zoomScale="75" zoomScaleNormal="75" zoomScaleSheetLayoutView="75" workbookViewId="0" topLeftCell="A1">
      <selection activeCell="M62" sqref="M62"/>
    </sheetView>
  </sheetViews>
  <sheetFormatPr defaultColWidth="9.140625" defaultRowHeight="12.75"/>
  <cols>
    <col min="1" max="1" width="7.7109375" style="16" customWidth="1"/>
    <col min="2" max="2" width="38.140625" style="16" customWidth="1"/>
    <col min="3" max="3" width="12.7109375" style="16" customWidth="1"/>
    <col min="4" max="4" width="12.00390625" style="16" bestFit="1" customWidth="1"/>
    <col min="5" max="5" width="12.8515625" style="16" customWidth="1"/>
    <col min="6" max="6" width="11.8515625" style="16" customWidth="1"/>
    <col min="7" max="7" width="11.7109375" style="16" customWidth="1"/>
    <col min="8" max="8" width="9.28125" style="16" bestFit="1" customWidth="1"/>
    <col min="9" max="9" width="37.57421875" style="23" customWidth="1"/>
    <col min="10" max="10" width="11.140625" style="23" customWidth="1"/>
    <col min="11" max="11" width="10.421875" style="23" bestFit="1" customWidth="1"/>
    <col min="12" max="12" width="11.57421875" style="23" customWidth="1"/>
    <col min="13" max="13" width="11.8515625" style="23" customWidth="1"/>
    <col min="14" max="17" width="9.140625" style="23" customWidth="1"/>
    <col min="18" max="16384" width="9.140625" style="16" customWidth="1"/>
  </cols>
  <sheetData>
    <row r="1" spans="2:14" ht="12.75">
      <c r="B1" s="9" t="s">
        <v>258</v>
      </c>
      <c r="I1" s="9"/>
      <c r="J1" s="16"/>
      <c r="K1" s="16"/>
      <c r="L1" s="16"/>
      <c r="M1" s="16"/>
      <c r="N1" s="16"/>
    </row>
    <row r="2" spans="3:14" ht="12.75">
      <c r="C2" s="282" t="s">
        <v>132</v>
      </c>
      <c r="D2" s="283"/>
      <c r="E2" s="282" t="s">
        <v>206</v>
      </c>
      <c r="F2" s="283"/>
      <c r="I2" s="16"/>
      <c r="J2" s="282" t="s">
        <v>132</v>
      </c>
      <c r="K2" s="283"/>
      <c r="L2" s="282" t="s">
        <v>206</v>
      </c>
      <c r="M2" s="283"/>
      <c r="N2" s="16"/>
    </row>
    <row r="3" spans="3:14" ht="12.75">
      <c r="C3" s="282" t="s">
        <v>207</v>
      </c>
      <c r="D3" s="283"/>
      <c r="E3" s="282" t="s">
        <v>208</v>
      </c>
      <c r="F3" s="283"/>
      <c r="I3" s="16"/>
      <c r="J3" s="282" t="s">
        <v>207</v>
      </c>
      <c r="K3" s="283"/>
      <c r="L3" s="282" t="s">
        <v>208</v>
      </c>
      <c r="M3" s="283"/>
      <c r="N3" s="16"/>
    </row>
    <row r="4" spans="3:14" ht="12.75">
      <c r="C4" s="166" t="s">
        <v>45</v>
      </c>
      <c r="D4" s="166" t="s">
        <v>46</v>
      </c>
      <c r="E4" s="166" t="s">
        <v>45</v>
      </c>
      <c r="F4" s="166" t="s">
        <v>46</v>
      </c>
      <c r="I4" s="16"/>
      <c r="J4" s="166" t="s">
        <v>45</v>
      </c>
      <c r="K4" s="166" t="s">
        <v>46</v>
      </c>
      <c r="L4" s="166" t="s">
        <v>45</v>
      </c>
      <c r="M4" s="166" t="s">
        <v>46</v>
      </c>
      <c r="N4" s="16"/>
    </row>
    <row r="5" spans="2:14" ht="12.75">
      <c r="B5" s="23"/>
      <c r="C5" s="13">
        <v>1.0092</v>
      </c>
      <c r="D5" s="13">
        <v>1.0142</v>
      </c>
      <c r="E5" s="13">
        <v>1.0033</v>
      </c>
      <c r="F5" s="13">
        <v>1.01</v>
      </c>
      <c r="J5" s="13">
        <v>1.0092</v>
      </c>
      <c r="K5" s="13">
        <v>1.0142</v>
      </c>
      <c r="L5" s="13">
        <v>1.0033</v>
      </c>
      <c r="M5" s="13">
        <v>1.01</v>
      </c>
      <c r="N5" s="16"/>
    </row>
    <row r="6" spans="2:14" ht="12.75">
      <c r="B6" s="9" t="s">
        <v>44</v>
      </c>
      <c r="E6" s="36"/>
      <c r="F6" s="36"/>
      <c r="I6" s="9" t="s">
        <v>44</v>
      </c>
      <c r="J6" s="16"/>
      <c r="K6" s="16"/>
      <c r="L6" s="36"/>
      <c r="M6" s="36"/>
      <c r="N6" s="16"/>
    </row>
    <row r="7" spans="1:14" ht="12.75">
      <c r="A7" s="167">
        <v>901</v>
      </c>
      <c r="B7" s="97" t="s">
        <v>47</v>
      </c>
      <c r="C7" s="168">
        <v>24.98</v>
      </c>
      <c r="D7" s="168">
        <v>6.84</v>
      </c>
      <c r="E7" s="168">
        <v>25.21</v>
      </c>
      <c r="F7" s="168">
        <v>6.93</v>
      </c>
      <c r="H7" s="167">
        <f>A70+1</f>
        <v>965</v>
      </c>
      <c r="I7" s="97" t="s">
        <v>174</v>
      </c>
      <c r="J7" s="168">
        <v>1941</v>
      </c>
      <c r="K7" s="168">
        <v>320.65</v>
      </c>
      <c r="L7" s="168">
        <v>1959.24</v>
      </c>
      <c r="M7" s="168">
        <v>325.2</v>
      </c>
      <c r="N7" s="16"/>
    </row>
    <row r="8" spans="1:14" ht="12.75">
      <c r="A8" s="167">
        <f>A7+1</f>
        <v>902</v>
      </c>
      <c r="B8" s="97" t="s">
        <v>48</v>
      </c>
      <c r="C8" s="168">
        <v>10.39</v>
      </c>
      <c r="D8" s="168">
        <v>2.84</v>
      </c>
      <c r="E8" s="168">
        <v>10.49</v>
      </c>
      <c r="F8" s="168">
        <v>2.87</v>
      </c>
      <c r="H8" s="167">
        <f>H7+1</f>
        <v>966</v>
      </c>
      <c r="I8" s="97" t="s">
        <v>175</v>
      </c>
      <c r="J8" s="168">
        <v>1941</v>
      </c>
      <c r="K8" s="168">
        <v>4432</v>
      </c>
      <c r="L8" s="168">
        <v>1959.24</v>
      </c>
      <c r="M8" s="168">
        <v>4495.01</v>
      </c>
      <c r="N8" s="16"/>
    </row>
    <row r="9" spans="1:14" ht="12.75">
      <c r="A9" s="167">
        <f aca="true" t="shared" si="0" ref="A9:A70">A8+1</f>
        <v>903</v>
      </c>
      <c r="B9" s="97" t="s">
        <v>49</v>
      </c>
      <c r="C9" s="168">
        <v>181634</v>
      </c>
      <c r="D9" s="168">
        <v>6631</v>
      </c>
      <c r="E9" s="168">
        <v>183305</v>
      </c>
      <c r="F9" s="168">
        <v>6725</v>
      </c>
      <c r="H9" s="167">
        <f aca="true" t="shared" si="1" ref="H9:H69">H8+1</f>
        <v>967</v>
      </c>
      <c r="I9" s="97" t="s">
        <v>209</v>
      </c>
      <c r="J9" s="168"/>
      <c r="K9" s="168">
        <v>3150</v>
      </c>
      <c r="L9" s="168"/>
      <c r="M9" s="168">
        <v>3195</v>
      </c>
      <c r="N9" s="16"/>
    </row>
    <row r="10" spans="1:14" ht="12.75">
      <c r="A10" s="167">
        <f t="shared" si="0"/>
        <v>904</v>
      </c>
      <c r="B10" s="97" t="s">
        <v>50</v>
      </c>
      <c r="C10" s="168">
        <v>6711</v>
      </c>
      <c r="D10" s="168">
        <v>139</v>
      </c>
      <c r="E10" s="168">
        <v>6773</v>
      </c>
      <c r="F10" s="168">
        <v>141</v>
      </c>
      <c r="H10" s="167">
        <f t="shared" si="1"/>
        <v>968</v>
      </c>
      <c r="I10" s="97" t="s">
        <v>210</v>
      </c>
      <c r="J10" s="168"/>
      <c r="K10" s="168"/>
      <c r="L10" s="168">
        <v>968</v>
      </c>
      <c r="M10" s="168">
        <v>72</v>
      </c>
      <c r="N10" s="16"/>
    </row>
    <row r="11" spans="1:14" ht="12.75">
      <c r="A11" s="167">
        <f t="shared" si="0"/>
        <v>905</v>
      </c>
      <c r="B11" s="97" t="s">
        <v>51</v>
      </c>
      <c r="C11" s="168">
        <v>50</v>
      </c>
      <c r="D11" s="168">
        <v>0</v>
      </c>
      <c r="E11" s="168">
        <v>50</v>
      </c>
      <c r="F11" s="168">
        <v>0</v>
      </c>
      <c r="H11" s="167">
        <f t="shared" si="1"/>
        <v>969</v>
      </c>
      <c r="I11" s="97" t="s">
        <v>211</v>
      </c>
      <c r="J11" s="168"/>
      <c r="K11" s="168"/>
      <c r="L11" s="168">
        <v>3367</v>
      </c>
      <c r="M11" s="168">
        <v>1484</v>
      </c>
      <c r="N11" s="16"/>
    </row>
    <row r="12" spans="1:14" ht="12.75">
      <c r="A12" s="167">
        <f t="shared" si="0"/>
        <v>906</v>
      </c>
      <c r="B12" s="97" t="s">
        <v>52</v>
      </c>
      <c r="C12" s="168">
        <v>99</v>
      </c>
      <c r="D12" s="168">
        <v>0</v>
      </c>
      <c r="E12" s="168">
        <v>100</v>
      </c>
      <c r="F12" s="168">
        <v>0</v>
      </c>
      <c r="H12" s="167">
        <f t="shared" si="1"/>
        <v>970</v>
      </c>
      <c r="I12" s="97" t="s">
        <v>212</v>
      </c>
      <c r="J12" s="168"/>
      <c r="K12" s="168"/>
      <c r="L12" s="168">
        <v>19181</v>
      </c>
      <c r="M12" s="168"/>
      <c r="N12" s="16"/>
    </row>
    <row r="13" spans="1:14" ht="12.75">
      <c r="A13" s="167">
        <f t="shared" si="0"/>
        <v>907</v>
      </c>
      <c r="B13" s="97" t="s">
        <v>53</v>
      </c>
      <c r="C13" s="168">
        <v>148</v>
      </c>
      <c r="D13" s="168">
        <v>0</v>
      </c>
      <c r="E13" s="168">
        <v>149</v>
      </c>
      <c r="F13" s="168">
        <v>0</v>
      </c>
      <c r="H13" s="167">
        <f t="shared" si="1"/>
        <v>971</v>
      </c>
      <c r="I13" s="97" t="s">
        <v>213</v>
      </c>
      <c r="J13" s="168"/>
      <c r="K13" s="168"/>
      <c r="L13" s="168">
        <v>611.28</v>
      </c>
      <c r="M13" s="168"/>
      <c r="N13" s="16"/>
    </row>
    <row r="14" spans="1:14" ht="12.75">
      <c r="A14" s="167">
        <f t="shared" si="0"/>
        <v>908</v>
      </c>
      <c r="B14" s="97" t="s">
        <v>54</v>
      </c>
      <c r="C14" s="168">
        <v>197</v>
      </c>
      <c r="D14" s="168">
        <v>0</v>
      </c>
      <c r="E14" s="168">
        <v>199</v>
      </c>
      <c r="F14" s="168">
        <v>0</v>
      </c>
      <c r="H14" s="167">
        <f t="shared" si="1"/>
        <v>972</v>
      </c>
      <c r="I14" s="97" t="s">
        <v>70</v>
      </c>
      <c r="J14" s="168">
        <v>408.71</v>
      </c>
      <c r="K14" s="168">
        <v>264.8</v>
      </c>
      <c r="L14" s="168">
        <v>412.47</v>
      </c>
      <c r="M14" s="168">
        <v>268.56</v>
      </c>
      <c r="N14" s="16"/>
    </row>
    <row r="15" spans="1:14" ht="12.75">
      <c r="A15" s="167">
        <f t="shared" si="0"/>
        <v>909</v>
      </c>
      <c r="B15" s="97" t="s">
        <v>55</v>
      </c>
      <c r="C15" s="168">
        <v>120784</v>
      </c>
      <c r="D15" s="168">
        <v>39213</v>
      </c>
      <c r="E15" s="168">
        <v>121895</v>
      </c>
      <c r="F15" s="168">
        <v>39770</v>
      </c>
      <c r="H15" s="167">
        <f t="shared" si="1"/>
        <v>973</v>
      </c>
      <c r="I15" s="97" t="s">
        <v>71</v>
      </c>
      <c r="J15" s="168">
        <v>1046.79</v>
      </c>
      <c r="K15" s="168">
        <v>67.02</v>
      </c>
      <c r="L15" s="168">
        <v>1056.42</v>
      </c>
      <c r="M15" s="168">
        <v>67.97</v>
      </c>
      <c r="N15" s="16"/>
    </row>
    <row r="16" spans="1:14" ht="12.75">
      <c r="A16" s="167">
        <f t="shared" si="0"/>
        <v>910</v>
      </c>
      <c r="B16" s="97" t="s">
        <v>56</v>
      </c>
      <c r="C16" s="168">
        <v>73954</v>
      </c>
      <c r="D16" s="168">
        <v>1673</v>
      </c>
      <c r="E16" s="168">
        <v>74634</v>
      </c>
      <c r="F16" s="168">
        <v>1697</v>
      </c>
      <c r="H16" s="167">
        <f t="shared" si="1"/>
        <v>974</v>
      </c>
      <c r="I16" s="97" t="s">
        <v>72</v>
      </c>
      <c r="J16" s="168">
        <v>35.48</v>
      </c>
      <c r="K16" s="168">
        <v>19.4</v>
      </c>
      <c r="L16" s="168">
        <v>35.81</v>
      </c>
      <c r="M16" s="168">
        <v>19.68</v>
      </c>
      <c r="N16" s="16"/>
    </row>
    <row r="17" spans="1:14" ht="12.75">
      <c r="A17" s="167">
        <f t="shared" si="0"/>
        <v>911</v>
      </c>
      <c r="B17" s="97" t="s">
        <v>57</v>
      </c>
      <c r="C17" s="168">
        <v>43931</v>
      </c>
      <c r="D17" s="168">
        <v>4141</v>
      </c>
      <c r="E17" s="168">
        <v>44335</v>
      </c>
      <c r="F17" s="168">
        <v>4200</v>
      </c>
      <c r="H17" s="167">
        <f t="shared" si="1"/>
        <v>975</v>
      </c>
      <c r="I17" s="97" t="s">
        <v>73</v>
      </c>
      <c r="J17" s="168">
        <v>2325.44</v>
      </c>
      <c r="K17" s="168">
        <v>1082.17</v>
      </c>
      <c r="L17" s="168">
        <v>2346.84</v>
      </c>
      <c r="M17" s="168">
        <v>1097.54</v>
      </c>
      <c r="N17" s="16"/>
    </row>
    <row r="18" spans="1:14" ht="12.75">
      <c r="A18" s="167">
        <f t="shared" si="0"/>
        <v>912</v>
      </c>
      <c r="B18" s="97" t="s">
        <v>58</v>
      </c>
      <c r="C18" s="168">
        <v>9264</v>
      </c>
      <c r="D18" s="168">
        <v>16765</v>
      </c>
      <c r="E18" s="168">
        <v>9349</v>
      </c>
      <c r="F18" s="168">
        <v>17004</v>
      </c>
      <c r="H18" s="167">
        <f t="shared" si="1"/>
        <v>976</v>
      </c>
      <c r="I18" s="97" t="s">
        <v>74</v>
      </c>
      <c r="J18" s="168">
        <v>586.94</v>
      </c>
      <c r="K18" s="168">
        <v>106.95</v>
      </c>
      <c r="L18" s="168">
        <v>592.34</v>
      </c>
      <c r="M18" s="168">
        <v>108.47</v>
      </c>
      <c r="N18" s="16"/>
    </row>
    <row r="19" spans="1:14" ht="12.75">
      <c r="A19" s="167">
        <f t="shared" si="0"/>
        <v>913</v>
      </c>
      <c r="B19" s="97" t="s">
        <v>34</v>
      </c>
      <c r="C19" s="168">
        <v>2739.31</v>
      </c>
      <c r="D19" s="168">
        <v>4227.23</v>
      </c>
      <c r="E19" s="168">
        <v>2764.5</v>
      </c>
      <c r="F19" s="168">
        <v>4287.26</v>
      </c>
      <c r="G19" s="29"/>
      <c r="H19" s="167">
        <f t="shared" si="1"/>
        <v>977</v>
      </c>
      <c r="I19" s="97" t="s">
        <v>75</v>
      </c>
      <c r="J19" s="168">
        <v>174.32</v>
      </c>
      <c r="K19" s="168">
        <v>136.55</v>
      </c>
      <c r="L19" s="168">
        <v>175.92</v>
      </c>
      <c r="M19" s="168">
        <v>138.49</v>
      </c>
      <c r="N19" s="16"/>
    </row>
    <row r="20" spans="1:14" ht="12.75">
      <c r="A20" s="167">
        <f t="shared" si="0"/>
        <v>914</v>
      </c>
      <c r="B20" s="97" t="s">
        <v>59</v>
      </c>
      <c r="C20" s="168">
        <v>0</v>
      </c>
      <c r="D20" s="168">
        <v>4114.92</v>
      </c>
      <c r="E20" s="168">
        <v>0</v>
      </c>
      <c r="F20" s="168">
        <v>4173.35</v>
      </c>
      <c r="G20" s="29"/>
      <c r="H20" s="167">
        <f t="shared" si="1"/>
        <v>978</v>
      </c>
      <c r="I20" s="97" t="s">
        <v>76</v>
      </c>
      <c r="J20" s="168">
        <v>17.8</v>
      </c>
      <c r="K20" s="168">
        <v>79.87</v>
      </c>
      <c r="L20" s="168">
        <v>17.96</v>
      </c>
      <c r="M20" s="168">
        <v>81.01</v>
      </c>
      <c r="N20" s="16"/>
    </row>
    <row r="21" spans="1:14" ht="12.75">
      <c r="A21" s="167">
        <f t="shared" si="0"/>
        <v>915</v>
      </c>
      <c r="B21" s="97" t="s">
        <v>38</v>
      </c>
      <c r="C21" s="168">
        <v>0</v>
      </c>
      <c r="D21" s="168">
        <v>839.19</v>
      </c>
      <c r="E21" s="168">
        <v>0</v>
      </c>
      <c r="F21" s="168">
        <v>851.12</v>
      </c>
      <c r="G21" s="29"/>
      <c r="H21" s="167">
        <f t="shared" si="1"/>
        <v>979</v>
      </c>
      <c r="I21" s="97" t="s">
        <v>77</v>
      </c>
      <c r="J21" s="168">
        <v>174.32</v>
      </c>
      <c r="K21" s="168">
        <v>196.53</v>
      </c>
      <c r="L21" s="168">
        <v>175.92</v>
      </c>
      <c r="M21" s="168">
        <v>199.31</v>
      </c>
      <c r="N21" s="16"/>
    </row>
    <row r="22" spans="1:14" ht="12.75">
      <c r="A22" s="167">
        <f t="shared" si="0"/>
        <v>916</v>
      </c>
      <c r="B22" s="97" t="s">
        <v>60</v>
      </c>
      <c r="C22" s="168">
        <v>0</v>
      </c>
      <c r="D22" s="168">
        <v>35086.14</v>
      </c>
      <c r="E22" s="168">
        <v>0</v>
      </c>
      <c r="F22" s="168">
        <v>35584.35</v>
      </c>
      <c r="G22" s="29"/>
      <c r="H22" s="167">
        <f t="shared" si="1"/>
        <v>980</v>
      </c>
      <c r="I22" s="97" t="s">
        <v>78</v>
      </c>
      <c r="J22" s="168">
        <v>17.8</v>
      </c>
      <c r="K22" s="168">
        <v>100.3</v>
      </c>
      <c r="L22" s="168">
        <v>17.96</v>
      </c>
      <c r="M22" s="168">
        <v>101.72</v>
      </c>
      <c r="N22" s="16"/>
    </row>
    <row r="23" spans="1:14" ht="12.75">
      <c r="A23" s="167">
        <f t="shared" si="0"/>
        <v>917</v>
      </c>
      <c r="B23" s="97" t="s">
        <v>61</v>
      </c>
      <c r="C23" s="168">
        <v>0</v>
      </c>
      <c r="D23" s="168">
        <v>3794.09</v>
      </c>
      <c r="E23" s="168">
        <v>0</v>
      </c>
      <c r="F23" s="168">
        <v>3847.97</v>
      </c>
      <c r="G23" s="29"/>
      <c r="H23" s="167">
        <f t="shared" si="1"/>
        <v>981</v>
      </c>
      <c r="I23" s="97" t="s">
        <v>79</v>
      </c>
      <c r="J23" s="168">
        <v>106.07</v>
      </c>
      <c r="K23" s="168">
        <v>111.02</v>
      </c>
      <c r="L23" s="168">
        <v>107.05</v>
      </c>
      <c r="M23" s="168">
        <v>112.6</v>
      </c>
      <c r="N23" s="16"/>
    </row>
    <row r="24" spans="1:14" ht="12.75">
      <c r="A24" s="167">
        <f t="shared" si="0"/>
        <v>918</v>
      </c>
      <c r="B24" s="97" t="s">
        <v>214</v>
      </c>
      <c r="C24" s="168"/>
      <c r="D24" s="168"/>
      <c r="E24" s="168">
        <v>78147</v>
      </c>
      <c r="F24" s="168">
        <v>108626</v>
      </c>
      <c r="G24" s="29"/>
      <c r="H24" s="167">
        <f t="shared" si="1"/>
        <v>982</v>
      </c>
      <c r="I24" s="97" t="s">
        <v>80</v>
      </c>
      <c r="J24" s="168">
        <v>106.07</v>
      </c>
      <c r="K24" s="168">
        <v>172.28</v>
      </c>
      <c r="L24" s="168">
        <v>107.05</v>
      </c>
      <c r="M24" s="168">
        <v>174.73</v>
      </c>
      <c r="N24" s="16"/>
    </row>
    <row r="25" spans="1:14" ht="12.75">
      <c r="A25" s="167">
        <f t="shared" si="0"/>
        <v>919</v>
      </c>
      <c r="B25" s="97" t="s">
        <v>215</v>
      </c>
      <c r="C25" s="169">
        <v>15231</v>
      </c>
      <c r="D25" s="169">
        <v>5548</v>
      </c>
      <c r="E25" s="169">
        <v>15370.67</v>
      </c>
      <c r="F25" s="169">
        <v>5626.76</v>
      </c>
      <c r="G25" s="29"/>
      <c r="H25" s="167">
        <f t="shared" si="1"/>
        <v>983</v>
      </c>
      <c r="I25" s="97" t="s">
        <v>81</v>
      </c>
      <c r="J25" s="168">
        <v>248.7</v>
      </c>
      <c r="K25" s="168">
        <v>111.02</v>
      </c>
      <c r="L25" s="168">
        <v>250.99</v>
      </c>
      <c r="M25" s="168">
        <v>112.6</v>
      </c>
      <c r="N25" s="16"/>
    </row>
    <row r="26" spans="1:14" ht="12.75">
      <c r="A26" s="167">
        <f t="shared" si="0"/>
        <v>920</v>
      </c>
      <c r="B26" s="97" t="s">
        <v>216</v>
      </c>
      <c r="C26" s="169">
        <v>806</v>
      </c>
      <c r="D26" s="169">
        <v>417</v>
      </c>
      <c r="E26" s="169">
        <v>813.71</v>
      </c>
      <c r="F26" s="169">
        <v>423.07</v>
      </c>
      <c r="G26" s="29"/>
      <c r="H26" s="167">
        <f t="shared" si="1"/>
        <v>984</v>
      </c>
      <c r="I26" s="97" t="s">
        <v>82</v>
      </c>
      <c r="J26" s="168">
        <v>248.7</v>
      </c>
      <c r="K26" s="168">
        <v>172.28</v>
      </c>
      <c r="L26" s="168">
        <v>250.99</v>
      </c>
      <c r="M26" s="168">
        <v>174.73</v>
      </c>
      <c r="N26" s="16"/>
    </row>
    <row r="27" spans="1:14" ht="12.75">
      <c r="A27" s="167">
        <f t="shared" si="0"/>
        <v>921</v>
      </c>
      <c r="B27" s="97" t="s">
        <v>217</v>
      </c>
      <c r="C27" s="168">
        <v>24421.57</v>
      </c>
      <c r="D27" s="168">
        <v>15723.07</v>
      </c>
      <c r="E27" s="168">
        <v>24646.26</v>
      </c>
      <c r="F27" s="168">
        <v>15946.34</v>
      </c>
      <c r="G27" s="29"/>
      <c r="H27" s="167">
        <f t="shared" si="1"/>
        <v>985</v>
      </c>
      <c r="I27" s="97" t="s">
        <v>83</v>
      </c>
      <c r="J27" s="168">
        <v>17.8</v>
      </c>
      <c r="K27" s="168">
        <v>89.63</v>
      </c>
      <c r="L27" s="168">
        <v>17.96</v>
      </c>
      <c r="M27" s="168">
        <v>90.9</v>
      </c>
      <c r="N27" s="16"/>
    </row>
    <row r="28" spans="1:14" ht="12.75">
      <c r="A28" s="167">
        <f t="shared" si="0"/>
        <v>922</v>
      </c>
      <c r="B28" s="97" t="s">
        <v>218</v>
      </c>
      <c r="C28" s="168"/>
      <c r="D28" s="168"/>
      <c r="E28" s="168">
        <v>9021</v>
      </c>
      <c r="F28" s="168">
        <v>21277</v>
      </c>
      <c r="G28" s="29"/>
      <c r="H28" s="167">
        <f t="shared" si="1"/>
        <v>986</v>
      </c>
      <c r="I28" s="97" t="s">
        <v>84</v>
      </c>
      <c r="J28" s="168">
        <v>17.8</v>
      </c>
      <c r="K28" s="168">
        <v>110.04</v>
      </c>
      <c r="L28" s="168">
        <v>17.96</v>
      </c>
      <c r="M28" s="168">
        <v>111.6</v>
      </c>
      <c r="N28" s="16"/>
    </row>
    <row r="29" spans="1:14" ht="12.75">
      <c r="A29" s="167">
        <f t="shared" si="0"/>
        <v>923</v>
      </c>
      <c r="B29" s="97" t="s">
        <v>219</v>
      </c>
      <c r="C29" s="168">
        <v>31928</v>
      </c>
      <c r="D29" s="168">
        <v>19680</v>
      </c>
      <c r="E29" s="168"/>
      <c r="F29" s="168"/>
      <c r="G29" s="29"/>
      <c r="H29" s="167">
        <f t="shared" si="1"/>
        <v>987</v>
      </c>
      <c r="I29" s="97" t="s">
        <v>85</v>
      </c>
      <c r="J29" s="168">
        <v>63.74</v>
      </c>
      <c r="K29" s="168">
        <v>9.93</v>
      </c>
      <c r="L29" s="168">
        <v>64.33</v>
      </c>
      <c r="M29" s="168">
        <v>10.07</v>
      </c>
      <c r="N29" s="16"/>
    </row>
    <row r="30" spans="1:14" ht="12.75">
      <c r="A30" s="167">
        <f t="shared" si="0"/>
        <v>924</v>
      </c>
      <c r="B30" s="97" t="s">
        <v>220</v>
      </c>
      <c r="C30" s="168">
        <v>2418</v>
      </c>
      <c r="D30" s="168"/>
      <c r="E30" s="168">
        <v>12727</v>
      </c>
      <c r="F30" s="168">
        <v>27043</v>
      </c>
      <c r="G30" s="29"/>
      <c r="H30" s="167">
        <f t="shared" si="1"/>
        <v>988</v>
      </c>
      <c r="I30" s="97" t="s">
        <v>221</v>
      </c>
      <c r="J30" s="170">
        <v>1.028</v>
      </c>
      <c r="K30" s="170">
        <v>0.243</v>
      </c>
      <c r="L30" s="170"/>
      <c r="M30" s="170"/>
      <c r="N30" s="16"/>
    </row>
    <row r="31" spans="1:14" ht="12.75">
      <c r="A31" s="167">
        <f t="shared" si="0"/>
        <v>925</v>
      </c>
      <c r="B31" s="97" t="s">
        <v>222</v>
      </c>
      <c r="C31" s="168">
        <v>9503</v>
      </c>
      <c r="D31" s="168">
        <v>632</v>
      </c>
      <c r="E31" s="168">
        <v>50846</v>
      </c>
      <c r="F31" s="168">
        <v>50275</v>
      </c>
      <c r="G31" s="29"/>
      <c r="H31" s="167">
        <f t="shared" si="1"/>
        <v>989</v>
      </c>
      <c r="I31" s="97" t="s">
        <v>223</v>
      </c>
      <c r="J31" s="168">
        <v>176.3</v>
      </c>
      <c r="K31" s="168">
        <v>41.67</v>
      </c>
      <c r="L31" s="168">
        <v>177.92</v>
      </c>
      <c r="M31" s="168">
        <v>42.26</v>
      </c>
      <c r="N31" s="16"/>
    </row>
    <row r="32" spans="1:14" ht="12.75">
      <c r="A32" s="167">
        <f t="shared" si="0"/>
        <v>926</v>
      </c>
      <c r="B32" s="97" t="s">
        <v>224</v>
      </c>
      <c r="C32" s="168">
        <v>6459</v>
      </c>
      <c r="D32" s="168">
        <v>3800</v>
      </c>
      <c r="E32" s="168">
        <v>6518.86</v>
      </c>
      <c r="F32" s="168">
        <v>3853.63</v>
      </c>
      <c r="G32" s="29"/>
      <c r="H32" s="167">
        <f t="shared" si="1"/>
        <v>990</v>
      </c>
      <c r="I32" s="97" t="s">
        <v>225</v>
      </c>
      <c r="J32" s="168">
        <v>95.81</v>
      </c>
      <c r="K32" s="168">
        <v>22.65</v>
      </c>
      <c r="L32" s="168">
        <v>96.69</v>
      </c>
      <c r="M32" s="168">
        <v>22.97</v>
      </c>
      <c r="N32" s="16"/>
    </row>
    <row r="33" spans="1:14" ht="12.75">
      <c r="A33" s="167">
        <f t="shared" si="0"/>
        <v>927</v>
      </c>
      <c r="B33" s="97" t="s">
        <v>226</v>
      </c>
      <c r="C33" s="169">
        <v>19316</v>
      </c>
      <c r="D33" s="169">
        <v>1747</v>
      </c>
      <c r="E33" s="169">
        <v>19493.26</v>
      </c>
      <c r="F33" s="169">
        <v>1771.89</v>
      </c>
      <c r="G33" s="29"/>
      <c r="H33" s="167">
        <f t="shared" si="1"/>
        <v>991</v>
      </c>
      <c r="I33" s="97" t="s">
        <v>227</v>
      </c>
      <c r="J33" s="168">
        <v>221.02</v>
      </c>
      <c r="K33" s="168">
        <v>52.25</v>
      </c>
      <c r="L33" s="168">
        <v>223.05</v>
      </c>
      <c r="M33" s="168">
        <v>52.99</v>
      </c>
      <c r="N33" s="16"/>
    </row>
    <row r="34" spans="1:14" ht="12.75">
      <c r="A34" s="167">
        <f t="shared" si="0"/>
        <v>928</v>
      </c>
      <c r="B34" s="97" t="s">
        <v>228</v>
      </c>
      <c r="C34" s="169">
        <v>41246</v>
      </c>
      <c r="D34" s="169">
        <v>25621</v>
      </c>
      <c r="E34" s="169">
        <v>41625.46</v>
      </c>
      <c r="F34" s="169">
        <v>25984.91</v>
      </c>
      <c r="G34" s="29"/>
      <c r="H34" s="167">
        <f t="shared" si="1"/>
        <v>992</v>
      </c>
      <c r="I34" s="97" t="s">
        <v>229</v>
      </c>
      <c r="J34" s="168">
        <v>440.5</v>
      </c>
      <c r="K34" s="168">
        <v>104.13</v>
      </c>
      <c r="L34" s="168">
        <v>444.55</v>
      </c>
      <c r="M34" s="168">
        <v>105.61</v>
      </c>
      <c r="N34" s="16"/>
    </row>
    <row r="35" spans="1:14" ht="12.75">
      <c r="A35" s="167">
        <f t="shared" si="0"/>
        <v>929</v>
      </c>
      <c r="B35" s="97" t="s">
        <v>230</v>
      </c>
      <c r="C35" s="169">
        <v>15097</v>
      </c>
      <c r="D35" s="169">
        <v>7358</v>
      </c>
      <c r="E35" s="169">
        <v>15236.15</v>
      </c>
      <c r="F35" s="169">
        <v>7462.13</v>
      </c>
      <c r="G35" s="29"/>
      <c r="H35" s="167">
        <f t="shared" si="1"/>
        <v>993</v>
      </c>
      <c r="I35" s="97" t="s">
        <v>231</v>
      </c>
      <c r="J35" s="168">
        <v>797.73</v>
      </c>
      <c r="K35" s="168">
        <v>188.57</v>
      </c>
      <c r="L35" s="168">
        <v>805.07</v>
      </c>
      <c r="M35" s="168">
        <v>191.25</v>
      </c>
      <c r="N35" s="16"/>
    </row>
    <row r="36" spans="1:14" ht="12.75">
      <c r="A36" s="167">
        <f t="shared" si="0"/>
        <v>930</v>
      </c>
      <c r="B36" s="97" t="s">
        <v>232</v>
      </c>
      <c r="C36" s="169">
        <v>540</v>
      </c>
      <c r="D36" s="169">
        <v>2013</v>
      </c>
      <c r="E36" s="169">
        <v>544.67</v>
      </c>
      <c r="F36" s="169">
        <v>2041.91</v>
      </c>
      <c r="G36" s="29"/>
      <c r="H36" s="167">
        <f t="shared" si="1"/>
        <v>994</v>
      </c>
      <c r="I36" s="97" t="s">
        <v>86</v>
      </c>
      <c r="J36" s="168">
        <v>411.95</v>
      </c>
      <c r="K36" s="168">
        <v>483.36</v>
      </c>
      <c r="L36" s="168">
        <v>415.74</v>
      </c>
      <c r="M36" s="168">
        <v>490.22</v>
      </c>
      <c r="N36" s="16"/>
    </row>
    <row r="37" spans="1:14" ht="12.75">
      <c r="A37" s="167">
        <f t="shared" si="0"/>
        <v>931</v>
      </c>
      <c r="B37" s="97" t="s">
        <v>233</v>
      </c>
      <c r="C37" s="169">
        <v>1047</v>
      </c>
      <c r="D37" s="169">
        <v>4489</v>
      </c>
      <c r="E37" s="169">
        <v>1056.36</v>
      </c>
      <c r="F37" s="169">
        <v>4552.92</v>
      </c>
      <c r="G37" s="29"/>
      <c r="H37" s="167">
        <f t="shared" si="1"/>
        <v>995</v>
      </c>
      <c r="I37" s="97" t="s">
        <v>87</v>
      </c>
      <c r="J37" s="168">
        <v>427.84</v>
      </c>
      <c r="K37" s="168">
        <v>531.88</v>
      </c>
      <c r="L37" s="168">
        <v>431.77</v>
      </c>
      <c r="M37" s="168">
        <v>539.44</v>
      </c>
      <c r="N37" s="16"/>
    </row>
    <row r="38" spans="1:14" ht="12.75">
      <c r="A38" s="167">
        <f t="shared" si="0"/>
        <v>932</v>
      </c>
      <c r="B38" s="97" t="s">
        <v>234</v>
      </c>
      <c r="C38" s="169">
        <v>1305</v>
      </c>
      <c r="D38" s="169">
        <v>6571</v>
      </c>
      <c r="E38" s="169">
        <v>1317.48</v>
      </c>
      <c r="F38" s="169">
        <v>6664.52</v>
      </c>
      <c r="G38" s="29"/>
      <c r="H38" s="167">
        <f t="shared" si="1"/>
        <v>996</v>
      </c>
      <c r="I38" s="97" t="s">
        <v>88</v>
      </c>
      <c r="J38" s="168">
        <v>38.55</v>
      </c>
      <c r="K38" s="168">
        <v>8.81</v>
      </c>
      <c r="L38" s="168">
        <v>38.91</v>
      </c>
      <c r="M38" s="168">
        <v>8.94</v>
      </c>
      <c r="N38" s="16"/>
    </row>
    <row r="39" spans="1:14" ht="12.75">
      <c r="A39" s="167">
        <f t="shared" si="0"/>
        <v>933</v>
      </c>
      <c r="B39" s="97" t="s">
        <v>235</v>
      </c>
      <c r="C39" s="169">
        <v>20337</v>
      </c>
      <c r="D39" s="169">
        <v>2147</v>
      </c>
      <c r="E39" s="169">
        <v>20524.56</v>
      </c>
      <c r="F39" s="169">
        <v>2177.55</v>
      </c>
      <c r="G39" s="29"/>
      <c r="H39" s="167">
        <f t="shared" si="1"/>
        <v>997</v>
      </c>
      <c r="I39" s="97" t="s">
        <v>89</v>
      </c>
      <c r="J39" s="168">
        <v>39.82</v>
      </c>
      <c r="K39" s="168">
        <v>9.02</v>
      </c>
      <c r="L39" s="168">
        <v>40.19</v>
      </c>
      <c r="M39" s="168">
        <v>9.15</v>
      </c>
      <c r="N39" s="16"/>
    </row>
    <row r="40" spans="1:14" ht="12.75">
      <c r="A40" s="167">
        <f t="shared" si="0"/>
        <v>934</v>
      </c>
      <c r="B40" s="97" t="s">
        <v>236</v>
      </c>
      <c r="C40" s="169">
        <v>42852</v>
      </c>
      <c r="D40" s="169">
        <v>26691</v>
      </c>
      <c r="E40" s="169">
        <v>43246.28</v>
      </c>
      <c r="F40" s="169">
        <v>27069.95</v>
      </c>
      <c r="G40" s="29"/>
      <c r="H40" s="167">
        <f t="shared" si="1"/>
        <v>998</v>
      </c>
      <c r="I40" s="97" t="s">
        <v>90</v>
      </c>
      <c r="J40" s="168">
        <v>76.38</v>
      </c>
      <c r="K40" s="168">
        <v>37.88</v>
      </c>
      <c r="L40" s="168">
        <v>77.08</v>
      </c>
      <c r="M40" s="168">
        <v>38.41</v>
      </c>
      <c r="N40" s="16"/>
    </row>
    <row r="41" spans="1:14" ht="12.75">
      <c r="A41" s="167">
        <f t="shared" si="0"/>
        <v>935</v>
      </c>
      <c r="B41" s="97" t="s">
        <v>237</v>
      </c>
      <c r="C41" s="169">
        <v>15936</v>
      </c>
      <c r="D41" s="169">
        <v>7915</v>
      </c>
      <c r="E41" s="169">
        <v>16082.84</v>
      </c>
      <c r="F41" s="169">
        <v>8027.04</v>
      </c>
      <c r="G41" s="29"/>
      <c r="H41" s="167">
        <f t="shared" si="1"/>
        <v>999</v>
      </c>
      <c r="I41" s="97" t="s">
        <v>91</v>
      </c>
      <c r="J41" s="168">
        <v>79.52</v>
      </c>
      <c r="K41" s="168">
        <v>41.54</v>
      </c>
      <c r="L41" s="168">
        <v>80.25</v>
      </c>
      <c r="M41" s="168">
        <v>42.12</v>
      </c>
      <c r="N41" s="16"/>
    </row>
    <row r="42" spans="1:14" ht="12.75">
      <c r="A42" s="167">
        <f t="shared" si="0"/>
        <v>936</v>
      </c>
      <c r="B42" s="97" t="s">
        <v>238</v>
      </c>
      <c r="C42" s="169">
        <v>4706</v>
      </c>
      <c r="D42" s="169">
        <v>1208</v>
      </c>
      <c r="E42" s="169">
        <v>4749.02</v>
      </c>
      <c r="F42" s="169">
        <v>1225.64</v>
      </c>
      <c r="G42" s="29"/>
      <c r="H42" s="167">
        <f t="shared" si="1"/>
        <v>1000</v>
      </c>
      <c r="I42" s="97" t="s">
        <v>92</v>
      </c>
      <c r="J42" s="168">
        <v>214.96</v>
      </c>
      <c r="K42" s="168">
        <v>104.06</v>
      </c>
      <c r="L42" s="168">
        <v>216.94</v>
      </c>
      <c r="M42" s="168">
        <v>105.54</v>
      </c>
      <c r="N42" s="16"/>
    </row>
    <row r="43" spans="1:14" ht="12.75">
      <c r="A43" s="167">
        <f t="shared" si="0"/>
        <v>937</v>
      </c>
      <c r="B43" s="97" t="s">
        <v>239</v>
      </c>
      <c r="C43" s="169">
        <v>59639</v>
      </c>
      <c r="D43" s="169">
        <v>16167</v>
      </c>
      <c r="E43" s="169">
        <v>60187.65</v>
      </c>
      <c r="F43" s="169">
        <v>16396.26</v>
      </c>
      <c r="G43" s="29"/>
      <c r="H43" s="167">
        <f t="shared" si="1"/>
        <v>1001</v>
      </c>
      <c r="I43" s="97" t="s">
        <v>93</v>
      </c>
      <c r="J43" s="168">
        <v>219.11</v>
      </c>
      <c r="K43" s="168">
        <v>110.02</v>
      </c>
      <c r="L43" s="168">
        <v>221.13</v>
      </c>
      <c r="M43" s="168">
        <v>111.58</v>
      </c>
      <c r="N43" s="16"/>
    </row>
    <row r="44" spans="1:14" ht="12.75">
      <c r="A44" s="167">
        <f t="shared" si="0"/>
        <v>938</v>
      </c>
      <c r="B44" s="97" t="s">
        <v>240</v>
      </c>
      <c r="C44" s="169">
        <v>21919</v>
      </c>
      <c r="D44" s="169">
        <v>5461</v>
      </c>
      <c r="E44" s="169">
        <v>22120.33</v>
      </c>
      <c r="F44" s="169">
        <v>5538.42</v>
      </c>
      <c r="G44" s="29"/>
      <c r="H44" s="167">
        <f t="shared" si="1"/>
        <v>1002</v>
      </c>
      <c r="I44" s="97" t="s">
        <v>94</v>
      </c>
      <c r="J44" s="168">
        <v>489.05</v>
      </c>
      <c r="K44" s="168">
        <v>500.98</v>
      </c>
      <c r="L44" s="168">
        <v>493.55</v>
      </c>
      <c r="M44" s="168">
        <v>508.09</v>
      </c>
      <c r="N44" s="16"/>
    </row>
    <row r="45" spans="1:14" ht="12.75">
      <c r="A45" s="167">
        <f t="shared" si="0"/>
        <v>939</v>
      </c>
      <c r="B45" s="97" t="s">
        <v>241</v>
      </c>
      <c r="C45" s="169">
        <v>7611</v>
      </c>
      <c r="D45" s="169">
        <v>41282</v>
      </c>
      <c r="E45" s="169">
        <v>7680.73</v>
      </c>
      <c r="F45" s="169">
        <v>41868.51</v>
      </c>
      <c r="G45" s="29"/>
      <c r="H45" s="167">
        <f t="shared" si="1"/>
        <v>1003</v>
      </c>
      <c r="I45" s="97" t="s">
        <v>95</v>
      </c>
      <c r="J45" s="168">
        <v>507.48</v>
      </c>
      <c r="K45" s="168">
        <v>549.93</v>
      </c>
      <c r="L45" s="168">
        <v>512.15</v>
      </c>
      <c r="M45" s="168">
        <v>557.75</v>
      </c>
      <c r="N45" s="16"/>
    </row>
    <row r="46" spans="1:14" ht="12.75">
      <c r="A46" s="167">
        <f t="shared" si="0"/>
        <v>940</v>
      </c>
      <c r="B46" s="97" t="s">
        <v>242</v>
      </c>
      <c r="C46" s="169">
        <v>1731</v>
      </c>
      <c r="D46" s="169">
        <v>1286</v>
      </c>
      <c r="E46" s="169">
        <v>1747.42</v>
      </c>
      <c r="F46" s="169">
        <v>1304.03</v>
      </c>
      <c r="G46" s="29"/>
      <c r="H46" s="167">
        <f t="shared" si="1"/>
        <v>1004</v>
      </c>
      <c r="I46" s="97" t="s">
        <v>243</v>
      </c>
      <c r="J46" s="168">
        <v>214.96</v>
      </c>
      <c r="K46" s="168">
        <v>104.06</v>
      </c>
      <c r="L46" s="168">
        <v>216.94</v>
      </c>
      <c r="M46" s="168">
        <v>105.54</v>
      </c>
      <c r="N46" s="16"/>
    </row>
    <row r="47" spans="1:14" ht="12.75">
      <c r="A47" s="167">
        <f t="shared" si="0"/>
        <v>941</v>
      </c>
      <c r="B47" s="97" t="s">
        <v>244</v>
      </c>
      <c r="C47" s="169">
        <v>6249</v>
      </c>
      <c r="D47" s="169">
        <v>33979</v>
      </c>
      <c r="E47" s="169">
        <v>6306.53</v>
      </c>
      <c r="F47" s="169">
        <v>34461.15</v>
      </c>
      <c r="G47" s="29"/>
      <c r="H47" s="167">
        <f t="shared" si="1"/>
        <v>1005</v>
      </c>
      <c r="I47" s="97" t="s">
        <v>245</v>
      </c>
      <c r="J47" s="168">
        <v>219.11</v>
      </c>
      <c r="K47" s="168">
        <v>110.02</v>
      </c>
      <c r="L47" s="168">
        <v>221.13</v>
      </c>
      <c r="M47" s="168">
        <v>111.58</v>
      </c>
      <c r="N47" s="16"/>
    </row>
    <row r="48" spans="1:14" ht="12.75">
      <c r="A48" s="167">
        <f t="shared" si="0"/>
        <v>942</v>
      </c>
      <c r="B48" s="97" t="s">
        <v>246</v>
      </c>
      <c r="C48" s="169">
        <v>1138</v>
      </c>
      <c r="D48" s="169">
        <v>1686</v>
      </c>
      <c r="E48" s="169">
        <v>1148.68</v>
      </c>
      <c r="F48" s="169">
        <v>1709.69</v>
      </c>
      <c r="G48" s="29"/>
      <c r="H48" s="167">
        <f t="shared" si="1"/>
        <v>1006</v>
      </c>
      <c r="I48" s="97" t="s">
        <v>96</v>
      </c>
      <c r="J48" s="168">
        <v>214.96</v>
      </c>
      <c r="K48" s="168">
        <v>104.06</v>
      </c>
      <c r="L48" s="168">
        <v>216.94</v>
      </c>
      <c r="M48" s="168">
        <v>105.54</v>
      </c>
      <c r="N48" s="16"/>
    </row>
    <row r="49" spans="1:14" ht="12.75">
      <c r="A49" s="167">
        <f t="shared" si="0"/>
        <v>943</v>
      </c>
      <c r="B49" s="97" t="s">
        <v>62</v>
      </c>
      <c r="C49" s="168">
        <v>0</v>
      </c>
      <c r="D49" s="168">
        <v>14346</v>
      </c>
      <c r="E49" s="168">
        <v>0</v>
      </c>
      <c r="F49" s="168">
        <v>14550</v>
      </c>
      <c r="G49" s="29"/>
      <c r="H49" s="167">
        <f t="shared" si="1"/>
        <v>1007</v>
      </c>
      <c r="I49" s="97" t="s">
        <v>97</v>
      </c>
      <c r="J49" s="168">
        <v>219.11</v>
      </c>
      <c r="K49" s="168">
        <v>110.02</v>
      </c>
      <c r="L49" s="168">
        <v>221.13</v>
      </c>
      <c r="M49" s="168">
        <v>111.58</v>
      </c>
      <c r="N49" s="16"/>
    </row>
    <row r="50" spans="1:14" ht="12.75">
      <c r="A50" s="167">
        <f t="shared" si="0"/>
        <v>944</v>
      </c>
      <c r="B50" s="97" t="s">
        <v>63</v>
      </c>
      <c r="C50" s="168">
        <v>0</v>
      </c>
      <c r="D50" s="168">
        <v>12268</v>
      </c>
      <c r="E50" s="168">
        <v>0</v>
      </c>
      <c r="F50" s="168">
        <v>12443.18</v>
      </c>
      <c r="G50" s="29"/>
      <c r="H50" s="167">
        <f t="shared" si="1"/>
        <v>1008</v>
      </c>
      <c r="I50" s="97" t="s">
        <v>98</v>
      </c>
      <c r="J50" s="168">
        <v>9.71</v>
      </c>
      <c r="K50" s="168">
        <v>5.31</v>
      </c>
      <c r="L50" s="168">
        <v>9.8</v>
      </c>
      <c r="M50" s="168">
        <v>5.39</v>
      </c>
      <c r="N50" s="16"/>
    </row>
    <row r="51" spans="1:14" ht="12.75">
      <c r="A51" s="167">
        <f t="shared" si="0"/>
        <v>945</v>
      </c>
      <c r="B51" s="97" t="s">
        <v>64</v>
      </c>
      <c r="C51" s="168">
        <v>0</v>
      </c>
      <c r="D51" s="168">
        <v>20489</v>
      </c>
      <c r="E51" s="168">
        <v>0</v>
      </c>
      <c r="F51" s="168">
        <v>20780.53</v>
      </c>
      <c r="G51" s="29"/>
      <c r="H51" s="167">
        <f t="shared" si="1"/>
        <v>1009</v>
      </c>
      <c r="I51" s="97" t="s">
        <v>99</v>
      </c>
      <c r="J51" s="168">
        <v>5.94</v>
      </c>
      <c r="K51" s="168">
        <v>2.17</v>
      </c>
      <c r="L51" s="168">
        <v>5.99</v>
      </c>
      <c r="M51" s="168">
        <v>2.2</v>
      </c>
      <c r="N51" s="16"/>
    </row>
    <row r="52" spans="1:14" ht="12.75">
      <c r="A52" s="167">
        <f t="shared" si="0"/>
        <v>946</v>
      </c>
      <c r="B52" s="97" t="s">
        <v>65</v>
      </c>
      <c r="C52" s="168">
        <v>0</v>
      </c>
      <c r="D52" s="168">
        <v>9815</v>
      </c>
      <c r="E52" s="168">
        <v>0</v>
      </c>
      <c r="F52" s="168">
        <v>9954.33</v>
      </c>
      <c r="G52" s="29"/>
      <c r="H52" s="167">
        <f t="shared" si="1"/>
        <v>1010</v>
      </c>
      <c r="I52" s="97" t="s">
        <v>100</v>
      </c>
      <c r="J52" s="168">
        <v>3.73</v>
      </c>
      <c r="K52" s="168">
        <v>1.36</v>
      </c>
      <c r="L52" s="168">
        <v>3.76</v>
      </c>
      <c r="M52" s="168">
        <v>1.39</v>
      </c>
      <c r="N52" s="16"/>
    </row>
    <row r="53" spans="1:14" ht="12.75">
      <c r="A53" s="167">
        <f t="shared" si="0"/>
        <v>947</v>
      </c>
      <c r="B53" s="97" t="s">
        <v>66</v>
      </c>
      <c r="C53" s="168">
        <v>0</v>
      </c>
      <c r="D53" s="168">
        <v>15458.64</v>
      </c>
      <c r="E53" s="168">
        <v>0</v>
      </c>
      <c r="F53" s="168">
        <v>15678.15</v>
      </c>
      <c r="G53" s="29"/>
      <c r="H53" s="167">
        <f t="shared" si="1"/>
        <v>1011</v>
      </c>
      <c r="I53" s="97" t="s">
        <v>101</v>
      </c>
      <c r="J53" s="168">
        <v>9.27</v>
      </c>
      <c r="K53" s="168">
        <v>3.39</v>
      </c>
      <c r="L53" s="168">
        <v>9.36</v>
      </c>
      <c r="M53" s="168">
        <v>3.44</v>
      </c>
      <c r="N53" s="16"/>
    </row>
    <row r="54" spans="1:14" ht="12.75">
      <c r="A54" s="167">
        <f t="shared" si="0"/>
        <v>948</v>
      </c>
      <c r="B54" s="97" t="s">
        <v>128</v>
      </c>
      <c r="C54" s="168">
        <v>0</v>
      </c>
      <c r="D54" s="168">
        <v>11979.9</v>
      </c>
      <c r="E54" s="168">
        <v>0</v>
      </c>
      <c r="F54" s="168">
        <v>12150.01</v>
      </c>
      <c r="G54" s="29"/>
      <c r="H54" s="167">
        <f t="shared" si="1"/>
        <v>1012</v>
      </c>
      <c r="I54" s="97" t="s">
        <v>102</v>
      </c>
      <c r="J54" s="168">
        <v>0.63</v>
      </c>
      <c r="K54" s="170">
        <v>0.561</v>
      </c>
      <c r="L54" s="168">
        <v>0.65</v>
      </c>
      <c r="M54" s="170">
        <v>0.58</v>
      </c>
      <c r="N54" s="16"/>
    </row>
    <row r="55" spans="1:14" ht="12.75">
      <c r="A55" s="167">
        <f t="shared" si="0"/>
        <v>949</v>
      </c>
      <c r="B55" s="97" t="s">
        <v>127</v>
      </c>
      <c r="C55" s="168">
        <v>0</v>
      </c>
      <c r="D55" s="168">
        <v>9664.46</v>
      </c>
      <c r="E55" s="168">
        <v>0</v>
      </c>
      <c r="F55" s="168">
        <v>9801.7</v>
      </c>
      <c r="G55" s="29"/>
      <c r="H55" s="167">
        <f t="shared" si="1"/>
        <v>1013</v>
      </c>
      <c r="I55" s="97" t="s">
        <v>103</v>
      </c>
      <c r="J55" s="168">
        <v>7.03</v>
      </c>
      <c r="K55" s="168">
        <v>1.97</v>
      </c>
      <c r="L55" s="168">
        <v>7.09</v>
      </c>
      <c r="M55" s="168">
        <v>2</v>
      </c>
      <c r="N55" s="16"/>
    </row>
    <row r="56" spans="1:14" ht="12.75">
      <c r="A56" s="167">
        <f t="shared" si="0"/>
        <v>950</v>
      </c>
      <c r="B56" s="97" t="s">
        <v>67</v>
      </c>
      <c r="C56" s="168">
        <v>9736</v>
      </c>
      <c r="D56" s="168">
        <v>5392</v>
      </c>
      <c r="E56" s="168">
        <v>9825.61</v>
      </c>
      <c r="F56" s="168">
        <v>5469.32</v>
      </c>
      <c r="G56" s="29"/>
      <c r="H56" s="167">
        <f t="shared" si="1"/>
        <v>1014</v>
      </c>
      <c r="I56" s="97" t="s">
        <v>104</v>
      </c>
      <c r="J56" s="168">
        <v>238.13</v>
      </c>
      <c r="K56" s="168">
        <v>200.43</v>
      </c>
      <c r="L56" s="168">
        <v>240.32</v>
      </c>
      <c r="M56" s="168">
        <v>203.28</v>
      </c>
      <c r="N56" s="16"/>
    </row>
    <row r="57" spans="1:14" ht="12.75">
      <c r="A57" s="167">
        <f t="shared" si="0"/>
        <v>951</v>
      </c>
      <c r="B57" s="97" t="s">
        <v>67</v>
      </c>
      <c r="C57" s="171">
        <v>3062</v>
      </c>
      <c r="D57" s="171">
        <v>1864</v>
      </c>
      <c r="E57" s="168">
        <v>3089.96</v>
      </c>
      <c r="F57" s="168">
        <v>1890.1</v>
      </c>
      <c r="G57" s="29"/>
      <c r="H57" s="167">
        <f t="shared" si="1"/>
        <v>1015</v>
      </c>
      <c r="I57" s="97" t="s">
        <v>105</v>
      </c>
      <c r="J57" s="168">
        <v>202.47</v>
      </c>
      <c r="K57" s="168">
        <v>632.13</v>
      </c>
      <c r="L57" s="168">
        <v>204.33</v>
      </c>
      <c r="M57" s="168">
        <v>641.11</v>
      </c>
      <c r="N57" s="16"/>
    </row>
    <row r="58" spans="1:14" ht="12.75">
      <c r="A58" s="167">
        <f t="shared" si="0"/>
        <v>952</v>
      </c>
      <c r="B58" s="97" t="s">
        <v>68</v>
      </c>
      <c r="C58" s="168">
        <v>651.77</v>
      </c>
      <c r="D58" s="168">
        <v>67.99</v>
      </c>
      <c r="E58" s="168">
        <v>859</v>
      </c>
      <c r="F58" s="168">
        <v>91</v>
      </c>
      <c r="G58" s="29"/>
      <c r="H58" s="167">
        <f t="shared" si="1"/>
        <v>1016</v>
      </c>
      <c r="I58" s="97" t="s">
        <v>106</v>
      </c>
      <c r="J58" s="172">
        <v>0.413</v>
      </c>
      <c r="K58" s="172">
        <v>0.085</v>
      </c>
      <c r="L58" s="172">
        <v>0.413</v>
      </c>
      <c r="M58" s="172">
        <v>0.085</v>
      </c>
      <c r="N58" s="16"/>
    </row>
    <row r="59" spans="1:14" ht="12.75">
      <c r="A59" s="167">
        <f t="shared" si="0"/>
        <v>953</v>
      </c>
      <c r="B59" s="97" t="s">
        <v>247</v>
      </c>
      <c r="C59" s="168"/>
      <c r="D59" s="168"/>
      <c r="E59" s="168">
        <v>8510</v>
      </c>
      <c r="F59" s="168">
        <v>12624</v>
      </c>
      <c r="G59" s="29"/>
      <c r="H59" s="167">
        <f t="shared" si="1"/>
        <v>1017</v>
      </c>
      <c r="I59" s="97" t="s">
        <v>107</v>
      </c>
      <c r="J59" s="172">
        <v>0.464</v>
      </c>
      <c r="K59" s="172">
        <v>0.108</v>
      </c>
      <c r="L59" s="172">
        <v>0.464</v>
      </c>
      <c r="M59" s="172">
        <v>0.108</v>
      </c>
      <c r="N59" s="16"/>
    </row>
    <row r="60" spans="1:14" ht="12.75">
      <c r="A60" s="167">
        <f t="shared" si="0"/>
        <v>954</v>
      </c>
      <c r="B60" s="97" t="s">
        <v>69</v>
      </c>
      <c r="C60" s="168">
        <v>0</v>
      </c>
      <c r="D60" s="168">
        <v>4805.31</v>
      </c>
      <c r="E60" s="168">
        <v>0</v>
      </c>
      <c r="F60" s="168">
        <v>4873.54</v>
      </c>
      <c r="G60" s="29"/>
      <c r="H60" s="167">
        <f t="shared" si="1"/>
        <v>1018</v>
      </c>
      <c r="I60" s="97" t="s">
        <v>108</v>
      </c>
      <c r="J60" s="172">
        <v>0.849</v>
      </c>
      <c r="K60" s="172">
        <v>0.17</v>
      </c>
      <c r="L60" s="172">
        <v>0.849</v>
      </c>
      <c r="M60" s="172">
        <v>0.17</v>
      </c>
      <c r="N60" s="16"/>
    </row>
    <row r="61" spans="1:14" ht="12.75">
      <c r="A61" s="167">
        <f t="shared" si="0"/>
        <v>955</v>
      </c>
      <c r="B61" s="97" t="s">
        <v>42</v>
      </c>
      <c r="C61" s="168">
        <v>0</v>
      </c>
      <c r="D61" s="168">
        <v>2967.47</v>
      </c>
      <c r="E61" s="168">
        <v>0</v>
      </c>
      <c r="F61" s="168">
        <v>3009.61</v>
      </c>
      <c r="G61" s="29"/>
      <c r="H61" s="167">
        <f t="shared" si="1"/>
        <v>1019</v>
      </c>
      <c r="I61" s="97" t="s">
        <v>109</v>
      </c>
      <c r="J61" s="172">
        <v>0.849</v>
      </c>
      <c r="K61" s="172">
        <v>0.17</v>
      </c>
      <c r="L61" s="172">
        <v>0.849</v>
      </c>
      <c r="M61" s="172">
        <v>0.17</v>
      </c>
      <c r="N61" s="16"/>
    </row>
    <row r="62" spans="1:14" ht="12.75">
      <c r="A62" s="167">
        <f t="shared" si="0"/>
        <v>956</v>
      </c>
      <c r="B62" s="97" t="s">
        <v>248</v>
      </c>
      <c r="C62" s="168"/>
      <c r="D62" s="168"/>
      <c r="E62" s="168">
        <v>14260</v>
      </c>
      <c r="F62" s="168">
        <v>5953</v>
      </c>
      <c r="G62" s="29"/>
      <c r="H62" s="167">
        <f t="shared" si="1"/>
        <v>1020</v>
      </c>
      <c r="I62" s="97" t="s">
        <v>249</v>
      </c>
      <c r="J62" s="97"/>
      <c r="K62" s="97"/>
      <c r="L62" s="97"/>
      <c r="M62" s="173">
        <v>38477</v>
      </c>
      <c r="N62" s="16"/>
    </row>
    <row r="63" spans="1:14" ht="12.75">
      <c r="A63" s="167">
        <f t="shared" si="0"/>
        <v>957</v>
      </c>
      <c r="B63" s="97" t="s">
        <v>250</v>
      </c>
      <c r="C63" s="168"/>
      <c r="D63" s="168"/>
      <c r="E63" s="168">
        <v>20242</v>
      </c>
      <c r="F63" s="168">
        <v>7686</v>
      </c>
      <c r="G63" s="29"/>
      <c r="H63" s="167">
        <f t="shared" si="1"/>
        <v>1021</v>
      </c>
      <c r="I63" s="97" t="s">
        <v>251</v>
      </c>
      <c r="J63" s="97"/>
      <c r="K63" s="97"/>
      <c r="L63" s="97"/>
      <c r="M63" s="173">
        <v>33442</v>
      </c>
      <c r="N63" s="16"/>
    </row>
    <row r="64" spans="1:14" ht="12.75">
      <c r="A64" s="167">
        <f t="shared" si="0"/>
        <v>958</v>
      </c>
      <c r="B64" s="97" t="s">
        <v>167</v>
      </c>
      <c r="C64" s="168">
        <v>323.96</v>
      </c>
      <c r="D64" s="168">
        <v>53.87</v>
      </c>
      <c r="E64" s="168">
        <v>326.94</v>
      </c>
      <c r="F64" s="168">
        <v>54.63</v>
      </c>
      <c r="G64" s="29"/>
      <c r="H64" s="167">
        <f t="shared" si="1"/>
        <v>1022</v>
      </c>
      <c r="I64" s="97" t="s">
        <v>252</v>
      </c>
      <c r="J64" s="97">
        <v>60279</v>
      </c>
      <c r="K64" s="97"/>
      <c r="L64" s="97">
        <v>60834</v>
      </c>
      <c r="M64" s="173"/>
      <c r="N64" s="16"/>
    </row>
    <row r="65" spans="1:14" ht="12.75">
      <c r="A65" s="167">
        <f t="shared" si="0"/>
        <v>959</v>
      </c>
      <c r="B65" s="97" t="s">
        <v>168</v>
      </c>
      <c r="C65" s="168">
        <v>1037.72</v>
      </c>
      <c r="D65" s="168">
        <v>171.34</v>
      </c>
      <c r="E65" s="168">
        <v>1047.27</v>
      </c>
      <c r="F65" s="168">
        <v>173.78</v>
      </c>
      <c r="G65" s="29"/>
      <c r="H65" s="167">
        <f t="shared" si="1"/>
        <v>1023</v>
      </c>
      <c r="I65" s="97" t="s">
        <v>253</v>
      </c>
      <c r="J65" s="97">
        <v>42195</v>
      </c>
      <c r="K65" s="97"/>
      <c r="L65" s="97">
        <v>42584</v>
      </c>
      <c r="M65" s="173"/>
      <c r="N65" s="16"/>
    </row>
    <row r="66" spans="1:14" ht="12.75">
      <c r="A66" s="167">
        <f t="shared" si="0"/>
        <v>960</v>
      </c>
      <c r="B66" s="97" t="s">
        <v>169</v>
      </c>
      <c r="C66" s="168">
        <v>1777.93</v>
      </c>
      <c r="D66" s="168">
        <v>293.45</v>
      </c>
      <c r="E66" s="168">
        <v>1794.29</v>
      </c>
      <c r="F66" s="168">
        <v>297.62</v>
      </c>
      <c r="G66" s="29"/>
      <c r="H66" s="167">
        <f t="shared" si="1"/>
        <v>1024</v>
      </c>
      <c r="I66" s="97" t="s">
        <v>254</v>
      </c>
      <c r="J66" s="97">
        <v>18084</v>
      </c>
      <c r="K66" s="97"/>
      <c r="L66" s="97">
        <v>18250</v>
      </c>
      <c r="M66" s="173"/>
      <c r="N66" s="16"/>
    </row>
    <row r="67" spans="1:14" ht="12.75">
      <c r="A67" s="167">
        <f t="shared" si="0"/>
        <v>961</v>
      </c>
      <c r="B67" s="97" t="s">
        <v>170</v>
      </c>
      <c r="C67" s="168">
        <v>2986.75</v>
      </c>
      <c r="D67" s="168">
        <v>492.51</v>
      </c>
      <c r="E67" s="168">
        <v>3014.23</v>
      </c>
      <c r="F67" s="168">
        <v>499.5</v>
      </c>
      <c r="G67" s="29"/>
      <c r="H67" s="167">
        <f t="shared" si="1"/>
        <v>1025</v>
      </c>
      <c r="I67" s="97" t="s">
        <v>255</v>
      </c>
      <c r="J67" s="97"/>
      <c r="K67" s="97"/>
      <c r="L67" s="97">
        <v>145000</v>
      </c>
      <c r="M67" s="97"/>
      <c r="N67" s="16"/>
    </row>
    <row r="68" spans="1:14" ht="12.75">
      <c r="A68" s="167">
        <f t="shared" si="0"/>
        <v>962</v>
      </c>
      <c r="B68" s="97" t="s">
        <v>171</v>
      </c>
      <c r="C68" s="168">
        <v>157.56</v>
      </c>
      <c r="D68" s="168">
        <v>26.16</v>
      </c>
      <c r="E68" s="168">
        <v>159.02</v>
      </c>
      <c r="F68" s="168">
        <v>26.53</v>
      </c>
      <c r="G68" s="29"/>
      <c r="H68" s="167">
        <f t="shared" si="1"/>
        <v>1026</v>
      </c>
      <c r="I68" s="97" t="s">
        <v>256</v>
      </c>
      <c r="J68" s="97"/>
      <c r="K68" s="97"/>
      <c r="L68" s="97">
        <v>135000</v>
      </c>
      <c r="M68" s="97"/>
      <c r="N68" s="16"/>
    </row>
    <row r="69" spans="1:14" ht="12.75">
      <c r="A69" s="167">
        <f t="shared" si="0"/>
        <v>963</v>
      </c>
      <c r="B69" s="97" t="s">
        <v>172</v>
      </c>
      <c r="C69" s="168">
        <v>269.45</v>
      </c>
      <c r="D69" s="168">
        <v>39.51</v>
      </c>
      <c r="E69" s="168">
        <v>271.93</v>
      </c>
      <c r="F69" s="168">
        <v>40.07</v>
      </c>
      <c r="G69" s="29"/>
      <c r="H69" s="167">
        <f t="shared" si="1"/>
        <v>1027</v>
      </c>
      <c r="I69" s="97" t="s">
        <v>257</v>
      </c>
      <c r="J69" s="97"/>
      <c r="K69" s="97"/>
      <c r="L69" s="97">
        <v>108000</v>
      </c>
      <c r="M69" s="97"/>
      <c r="N69" s="16"/>
    </row>
    <row r="70" spans="1:14" ht="12.75">
      <c r="A70" s="167">
        <f t="shared" si="0"/>
        <v>964</v>
      </c>
      <c r="B70" s="97" t="s">
        <v>173</v>
      </c>
      <c r="C70" s="168">
        <v>548.55</v>
      </c>
      <c r="D70" s="168">
        <v>90.29</v>
      </c>
      <c r="E70" s="168">
        <v>553.59</v>
      </c>
      <c r="F70" s="168">
        <v>91.57</v>
      </c>
      <c r="G70" s="29"/>
      <c r="I70" s="16"/>
      <c r="J70" s="16"/>
      <c r="K70" s="16"/>
      <c r="L70" s="16"/>
      <c r="M70" s="16"/>
      <c r="N70" s="16"/>
    </row>
    <row r="71" spans="2:14" ht="12.75">
      <c r="B71" s="27"/>
      <c r="C71" s="27"/>
      <c r="D71" s="37"/>
      <c r="E71" s="37"/>
      <c r="F71" s="37"/>
      <c r="G71" s="37"/>
      <c r="H71" s="28"/>
      <c r="I71" s="9" t="s">
        <v>166</v>
      </c>
      <c r="J71" s="16"/>
      <c r="K71" s="16"/>
      <c r="L71" s="16"/>
      <c r="M71" s="16"/>
      <c r="N71" s="16"/>
    </row>
    <row r="72" spans="2:14" ht="12.75">
      <c r="B72" s="27"/>
      <c r="C72" s="27"/>
      <c r="D72" s="37"/>
      <c r="E72" s="37"/>
      <c r="F72" s="37"/>
      <c r="G72" s="37"/>
      <c r="H72" s="28"/>
      <c r="I72" s="16"/>
      <c r="J72" s="16"/>
      <c r="K72" s="16"/>
      <c r="L72" s="16"/>
      <c r="M72" s="16"/>
      <c r="N72" s="16"/>
    </row>
    <row r="73" spans="2:14" ht="12.75">
      <c r="B73" s="27"/>
      <c r="C73" s="27"/>
      <c r="D73" s="37"/>
      <c r="E73" s="37"/>
      <c r="F73" s="37"/>
      <c r="G73" s="37"/>
      <c r="H73" s="175">
        <f>H69+1</f>
        <v>1028</v>
      </c>
      <c r="I73" s="90" t="s">
        <v>30</v>
      </c>
      <c r="J73" s="174">
        <v>1922</v>
      </c>
      <c r="K73" s="174"/>
      <c r="L73" s="174">
        <f>ROUND(J73*1.0092,2)</f>
        <v>1939.68</v>
      </c>
      <c r="M73" s="174"/>
      <c r="N73" s="16"/>
    </row>
    <row r="74" spans="2:14" ht="12.75">
      <c r="B74" s="27"/>
      <c r="C74" s="27"/>
      <c r="D74" s="37"/>
      <c r="E74" s="37"/>
      <c r="F74" s="37"/>
      <c r="G74" s="37"/>
      <c r="H74" s="175">
        <f>H73+1</f>
        <v>1029</v>
      </c>
      <c r="I74" s="90" t="s">
        <v>112</v>
      </c>
      <c r="J74" s="174">
        <v>80</v>
      </c>
      <c r="K74" s="174"/>
      <c r="L74" s="174">
        <f aca="true" t="shared" si="2" ref="L74:L80">ROUND(J74*1.0092,2)</f>
        <v>80.74</v>
      </c>
      <c r="M74" s="174"/>
      <c r="N74" s="16"/>
    </row>
    <row r="75" spans="2:14" ht="12.75">
      <c r="B75" s="27"/>
      <c r="C75" s="27"/>
      <c r="D75" s="37"/>
      <c r="E75" s="37"/>
      <c r="F75" s="37"/>
      <c r="G75" s="37"/>
      <c r="H75" s="175">
        <f aca="true" t="shared" si="3" ref="H75:H80">H74+1</f>
        <v>1030</v>
      </c>
      <c r="I75" s="90" t="s">
        <v>113</v>
      </c>
      <c r="J75" s="174">
        <v>54</v>
      </c>
      <c r="K75" s="174"/>
      <c r="L75" s="174">
        <f t="shared" si="2"/>
        <v>54.5</v>
      </c>
      <c r="M75" s="174"/>
      <c r="N75" s="16"/>
    </row>
    <row r="76" spans="2:14" ht="12.75">
      <c r="B76" s="27"/>
      <c r="C76" s="27"/>
      <c r="D76" s="37"/>
      <c r="E76" s="37"/>
      <c r="F76" s="37"/>
      <c r="G76" s="37"/>
      <c r="H76" s="175">
        <f t="shared" si="3"/>
        <v>1031</v>
      </c>
      <c r="I76" s="90" t="s">
        <v>114</v>
      </c>
      <c r="J76" s="174">
        <v>268</v>
      </c>
      <c r="K76" s="174"/>
      <c r="L76" s="174">
        <f t="shared" si="2"/>
        <v>270.47</v>
      </c>
      <c r="M76" s="174"/>
      <c r="N76" s="16"/>
    </row>
    <row r="77" spans="2:14" ht="12.75">
      <c r="B77" s="27"/>
      <c r="C77" s="27"/>
      <c r="D77" s="37"/>
      <c r="E77" s="37"/>
      <c r="F77" s="37"/>
      <c r="G77" s="37"/>
      <c r="H77" s="175">
        <f t="shared" si="3"/>
        <v>1032</v>
      </c>
      <c r="I77" s="90" t="s">
        <v>115</v>
      </c>
      <c r="J77" s="174">
        <v>235</v>
      </c>
      <c r="K77" s="174"/>
      <c r="L77" s="174">
        <f t="shared" si="2"/>
        <v>237.16</v>
      </c>
      <c r="M77" s="174"/>
      <c r="N77" s="16"/>
    </row>
    <row r="78" spans="2:14" ht="12.75">
      <c r="B78" s="27"/>
      <c r="C78" s="27"/>
      <c r="D78" s="37"/>
      <c r="E78" s="37"/>
      <c r="F78" s="37"/>
      <c r="G78" s="37"/>
      <c r="H78" s="175">
        <f t="shared" si="3"/>
        <v>1033</v>
      </c>
      <c r="I78" s="90" t="s">
        <v>116</v>
      </c>
      <c r="J78" s="174">
        <v>6319</v>
      </c>
      <c r="K78" s="174"/>
      <c r="L78" s="174">
        <f t="shared" si="2"/>
        <v>6377.13</v>
      </c>
      <c r="M78" s="174"/>
      <c r="N78" s="16"/>
    </row>
    <row r="79" spans="2:14" ht="12.75">
      <c r="B79" s="27"/>
      <c r="C79" s="27"/>
      <c r="D79" s="27"/>
      <c r="E79" s="27"/>
      <c r="F79" s="37"/>
      <c r="G79" s="37"/>
      <c r="H79" s="175">
        <f t="shared" si="3"/>
        <v>1034</v>
      </c>
      <c r="I79" s="90" t="s">
        <v>117</v>
      </c>
      <c r="J79" s="174">
        <v>4337</v>
      </c>
      <c r="K79" s="174"/>
      <c r="L79" s="174">
        <f t="shared" si="2"/>
        <v>4376.9</v>
      </c>
      <c r="M79" s="174"/>
      <c r="N79" s="16"/>
    </row>
    <row r="80" spans="2:14" ht="12.75">
      <c r="B80" s="27"/>
      <c r="C80" s="27"/>
      <c r="D80" s="27"/>
      <c r="E80" s="27"/>
      <c r="F80" s="37"/>
      <c r="G80" s="37"/>
      <c r="H80" s="175">
        <f t="shared" si="3"/>
        <v>1035</v>
      </c>
      <c r="I80" s="90" t="s">
        <v>118</v>
      </c>
      <c r="J80" s="174">
        <v>2323</v>
      </c>
      <c r="K80" s="174"/>
      <c r="L80" s="174">
        <f t="shared" si="2"/>
        <v>2344.37</v>
      </c>
      <c r="M80" s="174"/>
      <c r="N80" s="16"/>
    </row>
    <row r="81" spans="2:14" ht="12.75">
      <c r="B81" s="27"/>
      <c r="C81" s="27"/>
      <c r="D81" s="27"/>
      <c r="E81" s="27"/>
      <c r="F81" s="37"/>
      <c r="G81" s="37"/>
      <c r="H81" s="28"/>
      <c r="I81" s="16"/>
      <c r="J81" s="16"/>
      <c r="K81" s="16"/>
      <c r="L81" s="16"/>
      <c r="M81" s="16"/>
      <c r="N81" s="16"/>
    </row>
    <row r="82" spans="2:14" ht="12.75">
      <c r="B82" s="27"/>
      <c r="C82" s="27"/>
      <c r="D82" s="27"/>
      <c r="E82" s="27"/>
      <c r="F82" s="37"/>
      <c r="G82" s="37"/>
      <c r="H82" s="28"/>
      <c r="I82" s="16"/>
      <c r="J82" s="16"/>
      <c r="K82" s="16"/>
      <c r="L82" s="16"/>
      <c r="M82" s="16"/>
      <c r="N82" s="16"/>
    </row>
    <row r="83" spans="2:13" ht="12.75">
      <c r="B83" s="27"/>
      <c r="C83" s="27"/>
      <c r="D83" s="27"/>
      <c r="E83" s="27"/>
      <c r="F83" s="37"/>
      <c r="G83" s="38"/>
      <c r="J83" s="45"/>
      <c r="K83" s="45"/>
      <c r="L83" s="46"/>
      <c r="M83" s="47"/>
    </row>
    <row r="84" spans="2:13" ht="12.75">
      <c r="B84" s="27"/>
      <c r="C84" s="27"/>
      <c r="D84" s="27"/>
      <c r="E84" s="27"/>
      <c r="F84" s="37"/>
      <c r="G84" s="37"/>
      <c r="J84" s="45"/>
      <c r="K84" s="45"/>
      <c r="L84" s="46"/>
      <c r="M84" s="46"/>
    </row>
    <row r="85" spans="2:13" ht="12.75">
      <c r="B85" s="27"/>
      <c r="C85" s="27"/>
      <c r="D85" s="27"/>
      <c r="E85" s="27"/>
      <c r="F85" s="37"/>
      <c r="G85" s="37"/>
      <c r="J85" s="45"/>
      <c r="K85" s="45"/>
      <c r="L85" s="46"/>
      <c r="M85" s="46"/>
    </row>
    <row r="86" spans="2:13" ht="12.75">
      <c r="B86" s="27"/>
      <c r="C86" s="27"/>
      <c r="D86" s="27"/>
      <c r="E86" s="27"/>
      <c r="F86" s="37"/>
      <c r="G86" s="37"/>
      <c r="J86" s="45"/>
      <c r="K86" s="45"/>
      <c r="L86" s="46"/>
      <c r="M86" s="46"/>
    </row>
    <row r="87" spans="2:13" ht="12.75">
      <c r="B87" s="30"/>
      <c r="C87" s="30"/>
      <c r="D87" s="30"/>
      <c r="E87" s="30"/>
      <c r="F87" s="39"/>
      <c r="G87" s="39"/>
      <c r="J87" s="48"/>
      <c r="K87" s="48"/>
      <c r="L87" s="49"/>
      <c r="M87" s="49"/>
    </row>
    <row r="88" spans="2:13" ht="12.75">
      <c r="B88" s="30"/>
      <c r="C88" s="30"/>
      <c r="D88" s="30"/>
      <c r="E88" s="30"/>
      <c r="F88" s="39"/>
      <c r="G88" s="39"/>
      <c r="J88" s="48"/>
      <c r="K88" s="48"/>
      <c r="L88" s="49"/>
      <c r="M88" s="49"/>
    </row>
    <row r="89" spans="2:13" ht="12.75">
      <c r="B89" s="30"/>
      <c r="C89" s="30"/>
      <c r="D89" s="30"/>
      <c r="E89" s="30"/>
      <c r="F89" s="39"/>
      <c r="G89" s="39"/>
      <c r="J89" s="48"/>
      <c r="K89" s="48"/>
      <c r="L89" s="49"/>
      <c r="M89" s="49"/>
    </row>
    <row r="90" spans="2:13" ht="12.75">
      <c r="B90" s="30"/>
      <c r="C90" s="30"/>
      <c r="D90" s="30"/>
      <c r="E90" s="30"/>
      <c r="F90" s="39"/>
      <c r="G90" s="39"/>
      <c r="J90" s="48"/>
      <c r="K90" s="48"/>
      <c r="L90" s="49"/>
      <c r="M90" s="49"/>
    </row>
  </sheetData>
  <sheetProtection password="CCBC" sheet="1" objects="1" scenarios="1"/>
  <mergeCells count="8">
    <mergeCell ref="C2:D2"/>
    <mergeCell ref="E2:F2"/>
    <mergeCell ref="J2:K2"/>
    <mergeCell ref="L2:M2"/>
    <mergeCell ref="C3:D3"/>
    <mergeCell ref="E3:F3"/>
    <mergeCell ref="J3:K3"/>
    <mergeCell ref="L3:M3"/>
  </mergeCells>
  <printOptions/>
  <pageMargins left="0.75" right="0.75" top="1" bottom="1" header="0.5" footer="0.5"/>
  <pageSetup fitToHeight="1" fitToWidth="1" horizontalDpi="1200" verticalDpi="1200" orientation="landscape" paperSize="9" scale="45" r:id="rId1"/>
  <headerFooter alignWithMargins="0">
    <oddFooter>&amp;Rblad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RowColHeaders="0" showZeros="0" showOutlineSymbols="0" view="pageBreakPreview" zoomScale="75" zoomScaleSheetLayoutView="75" workbookViewId="0" topLeftCell="A1">
      <selection activeCell="B23" sqref="B23"/>
    </sheetView>
  </sheetViews>
  <sheetFormatPr defaultColWidth="9.140625" defaultRowHeight="12.75"/>
  <cols>
    <col min="1" max="1" width="2.8515625" style="16" customWidth="1"/>
    <col min="2" max="2" width="74.00390625" style="16" customWidth="1"/>
    <col min="3" max="16384" width="9.140625" style="16" customWidth="1"/>
  </cols>
  <sheetData>
    <row r="2" ht="12.75">
      <c r="A2" s="9" t="s">
        <v>22</v>
      </c>
    </row>
    <row r="3" ht="12.75">
      <c r="A3" s="9"/>
    </row>
    <row r="4" ht="12.75">
      <c r="A4" s="9"/>
    </row>
    <row r="5" spans="1:3" ht="12.75">
      <c r="A5" s="9"/>
      <c r="B5" s="16" t="s">
        <v>25</v>
      </c>
      <c r="C5" s="21" t="s">
        <v>27</v>
      </c>
    </row>
    <row r="7" spans="1:3" ht="12.75">
      <c r="A7" s="21" t="s">
        <v>23</v>
      </c>
      <c r="B7" s="16" t="str">
        <f>CONCATENATE("Categorale ziekenhuizen (011) - productieafspraken ",Voorblad!B3," en voorlopige nacalculatie")</f>
        <v>Categorale ziekenhuizen (011) - productieafspraken 2006 en voorlopige nacalculatie</v>
      </c>
      <c r="C7" s="22"/>
    </row>
    <row r="8" spans="1:3" ht="12.75">
      <c r="A8" s="21"/>
      <c r="B8" s="16" t="str">
        <f>CONCATENATE("productie ",Voorblad!B3-1)</f>
        <v>productie 2005</v>
      </c>
      <c r="C8" s="22">
        <v>3</v>
      </c>
    </row>
    <row r="9" spans="1:3" ht="12.75">
      <c r="A9" s="21"/>
      <c r="C9" s="22"/>
    </row>
    <row r="10" spans="1:3" ht="12.75">
      <c r="A10" s="21" t="s">
        <v>23</v>
      </c>
      <c r="B10" s="16" t="str">
        <f>CONCATENATE("Epilepsiecentra (040) - productieafspraken ",Voorblad!B3," en voorlopige nacalculatie productie ",Voorblad!B3-1)</f>
        <v>Epilepsiecentra (040) - productieafspraken 2006 en voorlopige nacalculatie productie 2005</v>
      </c>
      <c r="C10" s="22">
        <v>4</v>
      </c>
    </row>
    <row r="11" spans="1:3" ht="12.75">
      <c r="A11" s="21"/>
      <c r="C11" s="22"/>
    </row>
    <row r="12" spans="1:3" ht="12.75">
      <c r="A12" s="21" t="s">
        <v>23</v>
      </c>
      <c r="B12" s="16" t="str">
        <f>CONCATENATE("Radiotherapeutische centra (090) - productieafspraken ",Voorblad!B3," en voorlopige nacalculatie")</f>
        <v>Radiotherapeutische centra (090) - productieafspraken 2006 en voorlopige nacalculatie</v>
      </c>
      <c r="C12" s="22"/>
    </row>
    <row r="13" spans="1:3" ht="12.75">
      <c r="A13" s="21"/>
      <c r="B13" s="16" t="str">
        <f>CONCATENATE("productie ",Voorblad!B3-1)</f>
        <v>productie 2005</v>
      </c>
      <c r="C13" s="22">
        <v>5</v>
      </c>
    </row>
    <row r="14" ht="12.75">
      <c r="C14" s="21"/>
    </row>
    <row r="15" spans="1:3" ht="12.75">
      <c r="A15" s="22" t="s">
        <v>23</v>
      </c>
      <c r="B15" s="16" t="s">
        <v>26</v>
      </c>
      <c r="C15" s="21">
        <v>6</v>
      </c>
    </row>
    <row r="16" spans="1:3" ht="12.75">
      <c r="A16" s="22"/>
      <c r="C16" s="21"/>
    </row>
    <row r="17" spans="1:3" ht="12.75">
      <c r="A17" s="21" t="s">
        <v>23</v>
      </c>
      <c r="B17" s="16" t="s">
        <v>28</v>
      </c>
      <c r="C17" s="21">
        <v>7</v>
      </c>
    </row>
    <row r="18" ht="12.75">
      <c r="C18" s="21"/>
    </row>
    <row r="19" spans="1:3" ht="12.75">
      <c r="A19" s="22" t="s">
        <v>23</v>
      </c>
      <c r="B19" s="16" t="s">
        <v>24</v>
      </c>
      <c r="C19" s="21">
        <v>8</v>
      </c>
    </row>
    <row r="20" ht="12.75">
      <c r="A20" s="21"/>
    </row>
    <row r="21" spans="1:3" ht="12.75">
      <c r="A21" s="22" t="s">
        <v>23</v>
      </c>
      <c r="B21" s="16" t="s">
        <v>110</v>
      </c>
      <c r="C21" s="21">
        <v>9</v>
      </c>
    </row>
  </sheetData>
  <sheetProtection password="CCBC" sheet="1" objects="1" scenarios="1"/>
  <printOptions/>
  <pageMargins left="0.75" right="0.75" top="1" bottom="1" header="0.5" footer="0.5"/>
  <pageSetup horizontalDpi="1200" verticalDpi="1200" orientation="portrait" paperSize="9" r:id="rId1"/>
  <headerFooter alignWithMargins="0">
    <oddFooter>&amp;Rblad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0"/>
  <sheetViews>
    <sheetView showGridLines="0" showRowColHeaders="0" showZeros="0" showOutlineSymbols="0" view="pageBreakPreview" zoomScale="75" zoomScaleNormal="75" zoomScaleSheetLayoutView="75" workbookViewId="0" topLeftCell="A1">
      <selection activeCell="C7" sqref="C7"/>
    </sheetView>
  </sheetViews>
  <sheetFormatPr defaultColWidth="9.140625" defaultRowHeight="15" customHeight="1"/>
  <cols>
    <col min="1" max="1" width="7.28125" style="2" customWidth="1"/>
    <col min="2" max="2" width="32.421875" style="2" customWidth="1"/>
    <col min="3" max="3" width="10.7109375" style="5" customWidth="1"/>
    <col min="4" max="7" width="9.7109375" style="5" customWidth="1"/>
    <col min="8" max="10" width="9.7109375" style="2" customWidth="1"/>
    <col min="11" max="11" width="11.28125" style="2" customWidth="1"/>
    <col min="12" max="13" width="10.28125" style="2" customWidth="1"/>
    <col min="14" max="14" width="10.7109375" style="2" customWidth="1"/>
    <col min="15" max="16384" width="9.140625" style="2" customWidth="1"/>
  </cols>
  <sheetData>
    <row r="1" ht="15" customHeight="1">
      <c r="B1" s="3" t="s">
        <v>133</v>
      </c>
    </row>
    <row r="2" ht="15" customHeight="1">
      <c r="A2" s="75" t="b">
        <f>Voorblad!A24</f>
        <v>1</v>
      </c>
    </row>
    <row r="3" spans="2:19" ht="15" customHeight="1">
      <c r="B3" s="76"/>
      <c r="C3" s="77" t="s">
        <v>40</v>
      </c>
      <c r="D3" s="241" t="s">
        <v>41</v>
      </c>
      <c r="E3" s="242"/>
      <c r="F3" s="243"/>
      <c r="G3" s="244" t="s">
        <v>163</v>
      </c>
      <c r="H3" s="245"/>
      <c r="I3" s="245"/>
      <c r="J3" s="246"/>
      <c r="K3" s="248" t="s">
        <v>10</v>
      </c>
      <c r="L3" s="246"/>
      <c r="M3" s="248" t="s">
        <v>29</v>
      </c>
      <c r="N3" s="246"/>
      <c r="P3" s="17" t="str">
        <f>CONCATENATE("index ",Voorblad!B3-1)</f>
        <v>index 2005</v>
      </c>
      <c r="Q3" s="18"/>
      <c r="R3" s="17" t="str">
        <f>CONCATENATE("index ",Voorblad!B3)</f>
        <v>index 2006</v>
      </c>
      <c r="S3" s="18"/>
    </row>
    <row r="4" spans="3:19" ht="15" customHeight="1">
      <c r="C4" s="79">
        <f>Voorblad!B3-1</f>
        <v>2005</v>
      </c>
      <c r="D4" s="80">
        <f>C4</f>
        <v>2005</v>
      </c>
      <c r="E4" s="80">
        <f>Voorblad!B3</f>
        <v>2006</v>
      </c>
      <c r="F4" s="81" t="s">
        <v>29</v>
      </c>
      <c r="G4" s="247">
        <f>Voorblad!B3-1</f>
        <v>2005</v>
      </c>
      <c r="H4" s="229"/>
      <c r="I4" s="247">
        <f>Voorblad!B3</f>
        <v>2006</v>
      </c>
      <c r="J4" s="243"/>
      <c r="K4" s="249">
        <f>G4</f>
        <v>2005</v>
      </c>
      <c r="L4" s="228"/>
      <c r="M4" s="249" t="str">
        <f>CONCATENATE(Voorblad!B3," **")</f>
        <v>2006 **</v>
      </c>
      <c r="N4" s="228"/>
      <c r="P4" s="19" t="s">
        <v>9</v>
      </c>
      <c r="Q4" s="20" t="s">
        <v>20</v>
      </c>
      <c r="R4" s="19" t="s">
        <v>9</v>
      </c>
      <c r="S4" s="20" t="s">
        <v>20</v>
      </c>
    </row>
    <row r="5" spans="3:19" ht="15" customHeight="1">
      <c r="C5" s="85"/>
      <c r="D5" s="85"/>
      <c r="E5" s="86"/>
      <c r="F5" s="87"/>
      <c r="G5" s="83" t="s">
        <v>9</v>
      </c>
      <c r="H5" s="88" t="s">
        <v>20</v>
      </c>
      <c r="I5" s="89" t="s">
        <v>9</v>
      </c>
      <c r="J5" s="88" t="s">
        <v>20</v>
      </c>
      <c r="K5" s="89" t="s">
        <v>9</v>
      </c>
      <c r="L5" s="88" t="s">
        <v>20</v>
      </c>
      <c r="M5" s="89" t="s">
        <v>9</v>
      </c>
      <c r="N5" s="88" t="s">
        <v>20</v>
      </c>
      <c r="P5" s="35">
        <v>1.0092</v>
      </c>
      <c r="Q5" s="33">
        <v>1.0142</v>
      </c>
      <c r="R5" s="35">
        <v>1.0033</v>
      </c>
      <c r="S5" s="33">
        <v>1.01</v>
      </c>
    </row>
    <row r="6" spans="2:14" ht="15" customHeight="1">
      <c r="B6" s="36"/>
      <c r="C6" s="95"/>
      <c r="D6" s="95"/>
      <c r="E6" s="96"/>
      <c r="F6" s="36"/>
      <c r="G6" s="95"/>
      <c r="H6" s="36"/>
      <c r="I6" s="36"/>
      <c r="J6" s="13"/>
      <c r="K6" s="36"/>
      <c r="L6" s="36"/>
      <c r="M6" s="36"/>
      <c r="N6" s="36"/>
    </row>
    <row r="7" spans="1:14" ht="15" customHeight="1">
      <c r="A7" s="176">
        <v>301</v>
      </c>
      <c r="B7" s="97" t="s">
        <v>30</v>
      </c>
      <c r="C7" s="94"/>
      <c r="D7" s="94"/>
      <c r="E7" s="94"/>
      <c r="F7" s="93">
        <f>E7-D7</f>
        <v>0</v>
      </c>
      <c r="G7" s="94"/>
      <c r="H7" s="94"/>
      <c r="I7" s="94"/>
      <c r="J7" s="94"/>
      <c r="K7" s="93">
        <f>ROUND((C7-D7)*ROUND(G7*$P$5,2),0)</f>
        <v>0</v>
      </c>
      <c r="L7" s="93">
        <f>ROUND((C7-D7)*ROUND(H7*$Q$5,2),0)</f>
        <v>0</v>
      </c>
      <c r="M7" s="93">
        <f>ROUND(F7*ROUND(I7*$R$5,2),0)</f>
        <v>0</v>
      </c>
      <c r="N7" s="93">
        <f>ROUND(F7*ROUND(J7*$S$5,2),0)</f>
        <v>0</v>
      </c>
    </row>
    <row r="8" spans="1:14" ht="15" customHeight="1">
      <c r="A8" s="176">
        <f>A7+1</f>
        <v>302</v>
      </c>
      <c r="B8" s="97" t="s">
        <v>8</v>
      </c>
      <c r="C8" s="94"/>
      <c r="D8" s="94"/>
      <c r="E8" s="94"/>
      <c r="F8" s="93">
        <f>E8-D8</f>
        <v>0</v>
      </c>
      <c r="G8" s="94"/>
      <c r="H8" s="94"/>
      <c r="I8" s="94"/>
      <c r="J8" s="94"/>
      <c r="K8" s="93">
        <f>ROUND((C8-D8)*ROUND(G8*$P$5,2),0)</f>
        <v>0</v>
      </c>
      <c r="L8" s="93">
        <f>ROUND((C8-D8)*ROUND(H8*$Q$5,2),0)</f>
        <v>0</v>
      </c>
      <c r="M8" s="93">
        <f>ROUND(F8*ROUND(I8*$R$5,2),0)</f>
        <v>0</v>
      </c>
      <c r="N8" s="93">
        <f>ROUND(F8*ROUND(J8*$S$5,2),0)</f>
        <v>0</v>
      </c>
    </row>
    <row r="9" spans="1:14" ht="15" customHeight="1">
      <c r="A9" s="176">
        <f>A8+1</f>
        <v>303</v>
      </c>
      <c r="B9" s="97" t="s">
        <v>32</v>
      </c>
      <c r="C9" s="94"/>
      <c r="D9" s="94"/>
      <c r="E9" s="94"/>
      <c r="F9" s="93">
        <f>E9-D9</f>
        <v>0</v>
      </c>
      <c r="G9" s="94"/>
      <c r="H9" s="94"/>
      <c r="I9" s="94"/>
      <c r="J9" s="94"/>
      <c r="K9" s="93">
        <f>ROUND((C9-D9)*ROUND(G9*$P$5,2),0)</f>
        <v>0</v>
      </c>
      <c r="L9" s="93">
        <f>ROUND((C9-D9)*ROUND(H9*$Q$5,2),0)</f>
        <v>0</v>
      </c>
      <c r="M9" s="93">
        <f>ROUND(F9*ROUND(I9*$R$5,2),0)</f>
        <v>0</v>
      </c>
      <c r="N9" s="93">
        <f>ROUND(F9*ROUND(J9*$S$5,2),0)</f>
        <v>0</v>
      </c>
    </row>
    <row r="10" spans="1:14" ht="15" customHeight="1">
      <c r="A10" s="176">
        <f>A9+1</f>
        <v>304</v>
      </c>
      <c r="B10" s="97" t="s">
        <v>31</v>
      </c>
      <c r="C10" s="94"/>
      <c r="D10" s="94"/>
      <c r="E10" s="94"/>
      <c r="F10" s="93">
        <f>E10-D10</f>
        <v>0</v>
      </c>
      <c r="G10" s="94"/>
      <c r="H10" s="94"/>
      <c r="I10" s="94"/>
      <c r="J10" s="94"/>
      <c r="K10" s="93">
        <f>ROUND((C10-D10)*ROUND(G10*$P$5,2),0)</f>
        <v>0</v>
      </c>
      <c r="L10" s="93">
        <f>ROUND((C10-D10)*ROUND(H10*$Q$5,2),0)</f>
        <v>0</v>
      </c>
      <c r="M10" s="93">
        <f>ROUND(F10*ROUND(I10*$R$5,2),0)</f>
        <v>0</v>
      </c>
      <c r="N10" s="93">
        <f>ROUND(F10*ROUND(J10*$S$5,2),0)</f>
        <v>0</v>
      </c>
    </row>
    <row r="11" spans="1:14" ht="15" customHeight="1">
      <c r="A11" s="176">
        <f>A10+1</f>
        <v>305</v>
      </c>
      <c r="B11" s="100" t="s">
        <v>33</v>
      </c>
      <c r="C11" s="24"/>
      <c r="D11" s="24"/>
      <c r="E11" s="24"/>
      <c r="F11" s="98"/>
      <c r="G11" s="106"/>
      <c r="H11" s="106"/>
      <c r="I11" s="106"/>
      <c r="J11" s="106"/>
      <c r="K11" s="93">
        <f>SUM(K7:K10)</f>
        <v>0</v>
      </c>
      <c r="L11" s="93">
        <f>SUM(L7:L10)</f>
        <v>0</v>
      </c>
      <c r="M11" s="93">
        <f>SUM(M7:M10)</f>
        <v>0</v>
      </c>
      <c r="N11" s="93">
        <f>SUM(N7:N10)</f>
        <v>0</v>
      </c>
    </row>
    <row r="12" spans="1:14" ht="15" customHeight="1">
      <c r="A12" s="178"/>
      <c r="B12" s="36"/>
      <c r="C12" s="24"/>
      <c r="D12" s="24"/>
      <c r="E12" s="24"/>
      <c r="F12" s="98"/>
      <c r="G12" s="106"/>
      <c r="H12" s="107"/>
      <c r="I12" s="107"/>
      <c r="J12" s="106"/>
      <c r="K12" s="98"/>
      <c r="L12" s="98"/>
      <c r="M12" s="98"/>
      <c r="N12" s="98"/>
    </row>
    <row r="13" spans="1:14" ht="15" customHeight="1">
      <c r="A13" s="178"/>
      <c r="B13" s="34" t="s">
        <v>164</v>
      </c>
      <c r="C13" s="24"/>
      <c r="D13" s="24"/>
      <c r="E13" s="25"/>
      <c r="F13" s="98"/>
      <c r="G13" s="106"/>
      <c r="H13" s="107"/>
      <c r="I13" s="107"/>
      <c r="J13" s="106"/>
      <c r="K13" s="98"/>
      <c r="L13" s="98"/>
      <c r="M13" s="98"/>
      <c r="N13" s="98"/>
    </row>
    <row r="14" spans="1:14" ht="15" customHeight="1">
      <c r="A14" s="176">
        <f>A11+1</f>
        <v>306</v>
      </c>
      <c r="B14" s="97" t="s">
        <v>34</v>
      </c>
      <c r="C14" s="94"/>
      <c r="D14" s="94"/>
      <c r="E14" s="94"/>
      <c r="F14" s="93">
        <f>E14-D14</f>
        <v>0</v>
      </c>
      <c r="G14" s="91">
        <f>'Blad10 parameterwaarden'!C19</f>
        <v>2739.31</v>
      </c>
      <c r="H14" s="91">
        <f>'Blad10 parameterwaarden'!D19</f>
        <v>4227.23</v>
      </c>
      <c r="I14" s="91">
        <f>'Blad10 parameterwaarden'!E19</f>
        <v>2764.5</v>
      </c>
      <c r="J14" s="91">
        <f>'Blad10 parameterwaarden'!F19</f>
        <v>4287.26</v>
      </c>
      <c r="K14" s="93">
        <f>ROUND((C14-D14)*ROUND(G14*$P$5,2),0)</f>
        <v>0</v>
      </c>
      <c r="L14" s="93">
        <f>ROUND((C14-D14)*ROUND(H14*$Q$5,2),0)</f>
        <v>0</v>
      </c>
      <c r="M14" s="93">
        <f>ROUND(F14*ROUND(I14*$R$5,2),0)</f>
        <v>0</v>
      </c>
      <c r="N14" s="93">
        <f>ROUND(F14*ROUND(J14*$S$5,2),0)</f>
        <v>0</v>
      </c>
    </row>
    <row r="15" spans="1:14" ht="15" customHeight="1">
      <c r="A15" s="176">
        <f>A14+1</f>
        <v>307</v>
      </c>
      <c r="B15" s="97" t="s">
        <v>35</v>
      </c>
      <c r="C15" s="94"/>
      <c r="D15" s="94"/>
      <c r="E15" s="94"/>
      <c r="F15" s="93">
        <f>E15-D15</f>
        <v>0</v>
      </c>
      <c r="G15" s="91">
        <f>'Blad10 parameterwaarden'!C20</f>
        <v>0</v>
      </c>
      <c r="H15" s="91">
        <f>'Blad10 parameterwaarden'!D20</f>
        <v>4114.92</v>
      </c>
      <c r="I15" s="91">
        <f>'Blad10 parameterwaarden'!E20</f>
        <v>0</v>
      </c>
      <c r="J15" s="91">
        <f>'Blad10 parameterwaarden'!F20</f>
        <v>4173.35</v>
      </c>
      <c r="K15" s="93">
        <f>ROUND((C15-D15)*ROUND(G15*$P$5,2),0)</f>
        <v>0</v>
      </c>
      <c r="L15" s="93">
        <f>ROUND((C15-D15)*ROUND(H15*$Q$5,2),0)</f>
        <v>0</v>
      </c>
      <c r="M15" s="93">
        <f>ROUND(F15*ROUND(I15*$R$5,2),0)</f>
        <v>0</v>
      </c>
      <c r="N15" s="93">
        <f>ROUND(F15*ROUND(J15*$S$5,2),0)</f>
        <v>0</v>
      </c>
    </row>
    <row r="16" spans="1:14" ht="15" customHeight="1">
      <c r="A16" s="176">
        <f>A15+1</f>
        <v>308</v>
      </c>
      <c r="B16" s="97" t="s">
        <v>38</v>
      </c>
      <c r="C16" s="94"/>
      <c r="D16" s="94"/>
      <c r="E16" s="94"/>
      <c r="F16" s="93">
        <f>E16-D16</f>
        <v>0</v>
      </c>
      <c r="G16" s="91">
        <f>'Blad10 parameterwaarden'!C21</f>
        <v>0</v>
      </c>
      <c r="H16" s="91">
        <f>'Blad10 parameterwaarden'!D21</f>
        <v>839.19</v>
      </c>
      <c r="I16" s="91">
        <f>'Blad10 parameterwaarden'!E21</f>
        <v>0</v>
      </c>
      <c r="J16" s="91">
        <f>'Blad10 parameterwaarden'!F21</f>
        <v>851.12</v>
      </c>
      <c r="K16" s="93">
        <f>ROUND((C16-D16)*ROUND(G16*$P$5,2),0)</f>
        <v>0</v>
      </c>
      <c r="L16" s="93">
        <f>ROUND((C16-D16)*ROUND(H16*$Q$5,2),0)</f>
        <v>0</v>
      </c>
      <c r="M16" s="93">
        <f>ROUND(F16*ROUND(I16*$R$5,2),0)</f>
        <v>0</v>
      </c>
      <c r="N16" s="93">
        <f>ROUND(F16*ROUND(J16*$S$5,2),0)</f>
        <v>0</v>
      </c>
    </row>
    <row r="17" spans="1:14" ht="15" customHeight="1">
      <c r="A17" s="176">
        <f>A16+1</f>
        <v>309</v>
      </c>
      <c r="B17" s="97" t="s">
        <v>36</v>
      </c>
      <c r="C17" s="94"/>
      <c r="D17" s="94"/>
      <c r="E17" s="94"/>
      <c r="F17" s="93">
        <f>E17-D17</f>
        <v>0</v>
      </c>
      <c r="G17" s="91">
        <f>'Blad10 parameterwaarden'!J14</f>
        <v>408.71</v>
      </c>
      <c r="H17" s="91">
        <f>'Blad10 parameterwaarden'!K14</f>
        <v>264.8</v>
      </c>
      <c r="I17" s="91">
        <f>'Blad10 parameterwaarden'!L14</f>
        <v>412.47</v>
      </c>
      <c r="J17" s="91">
        <f>'Blad10 parameterwaarden'!M14</f>
        <v>268.56</v>
      </c>
      <c r="K17" s="93">
        <f>ROUND((C17-D17)*ROUND(G17*$P$5,2),0)</f>
        <v>0</v>
      </c>
      <c r="L17" s="93">
        <f>ROUND((C17-D17)*ROUND(H17*$Q$5,2),0)</f>
        <v>0</v>
      </c>
      <c r="M17" s="93">
        <f>ROUND(F17*ROUND(I17*$R$5,2),0)</f>
        <v>0</v>
      </c>
      <c r="N17" s="93">
        <f>ROUND(F17*ROUND(J17*$S$5,2),0)</f>
        <v>0</v>
      </c>
    </row>
    <row r="18" spans="1:14" ht="15" customHeight="1">
      <c r="A18" s="176">
        <f>A17+1</f>
        <v>310</v>
      </c>
      <c r="B18" s="97" t="s">
        <v>37</v>
      </c>
      <c r="C18" s="94"/>
      <c r="D18" s="94"/>
      <c r="E18" s="94"/>
      <c r="F18" s="93">
        <f>E18-D18</f>
        <v>0</v>
      </c>
      <c r="G18" s="91">
        <f>'Blad10 parameterwaarden'!J46</f>
        <v>214.96</v>
      </c>
      <c r="H18" s="91">
        <f>'Blad10 parameterwaarden'!K46</f>
        <v>104.06</v>
      </c>
      <c r="I18" s="91">
        <f>'Blad10 parameterwaarden'!L46</f>
        <v>216.94</v>
      </c>
      <c r="J18" s="91">
        <f>'Blad10 parameterwaarden'!M46</f>
        <v>105.54</v>
      </c>
      <c r="K18" s="93">
        <f>ROUND((C18-D18)*ROUND(G18*$P$5,2),0)</f>
        <v>0</v>
      </c>
      <c r="L18" s="93">
        <f>ROUND((C18-D18)*ROUND(H18*$Q$5,2),0)</f>
        <v>0</v>
      </c>
      <c r="M18" s="93">
        <f>ROUND(F18*ROUND(I18*$R$5,2),0)</f>
        <v>0</v>
      </c>
      <c r="N18" s="93">
        <f>ROUND(F18*ROUND(J18*$S$5,2),0)</f>
        <v>0</v>
      </c>
    </row>
    <row r="19" spans="1:14" ht="15" customHeight="1">
      <c r="A19" s="176">
        <f>A18+1</f>
        <v>311</v>
      </c>
      <c r="B19" s="100" t="s">
        <v>33</v>
      </c>
      <c r="C19" s="25"/>
      <c r="D19" s="25"/>
      <c r="E19" s="25"/>
      <c r="F19" s="98"/>
      <c r="G19" s="108"/>
      <c r="H19" s="106"/>
      <c r="I19" s="106"/>
      <c r="J19" s="106"/>
      <c r="K19" s="93">
        <f>SUM(K14:K18)</f>
        <v>0</v>
      </c>
      <c r="L19" s="93">
        <f>SUM(L14:L18)</f>
        <v>0</v>
      </c>
      <c r="M19" s="93">
        <f>SUM(M14:M18)</f>
        <v>0</v>
      </c>
      <c r="N19" s="93">
        <f>SUM(N14:N18)</f>
        <v>0</v>
      </c>
    </row>
    <row r="20" spans="1:14" ht="15" customHeight="1">
      <c r="A20" s="178"/>
      <c r="B20" s="36"/>
      <c r="C20" s="25"/>
      <c r="D20" s="25"/>
      <c r="E20" s="25"/>
      <c r="F20" s="98"/>
      <c r="G20" s="108"/>
      <c r="H20" s="106"/>
      <c r="I20" s="106"/>
      <c r="J20" s="106"/>
      <c r="K20" s="24"/>
      <c r="L20" s="24"/>
      <c r="M20" s="24"/>
      <c r="N20" s="24"/>
    </row>
    <row r="21" spans="1:14" ht="15" customHeight="1">
      <c r="A21" s="178"/>
      <c r="B21" s="34" t="s">
        <v>39</v>
      </c>
      <c r="C21" s="25"/>
      <c r="D21" s="25"/>
      <c r="E21" s="25"/>
      <c r="F21" s="98"/>
      <c r="G21" s="108"/>
      <c r="H21" s="107"/>
      <c r="I21" s="107"/>
      <c r="J21" s="106"/>
      <c r="K21" s="98"/>
      <c r="L21" s="98"/>
      <c r="M21" s="98"/>
      <c r="N21" s="98"/>
    </row>
    <row r="22" spans="1:14" ht="15" customHeight="1">
      <c r="A22" s="176">
        <f>A19+1</f>
        <v>312</v>
      </c>
      <c r="B22" s="97" t="s">
        <v>75</v>
      </c>
      <c r="C22" s="94"/>
      <c r="D22" s="94"/>
      <c r="E22" s="94"/>
      <c r="F22" s="93">
        <f aca="true" t="shared" si="0" ref="F22:F31">E22-D22</f>
        <v>0</v>
      </c>
      <c r="G22" s="91">
        <f>'Blad10 parameterwaarden'!J19</f>
        <v>174.32</v>
      </c>
      <c r="H22" s="91">
        <f>'Blad10 parameterwaarden'!K19</f>
        <v>136.55</v>
      </c>
      <c r="I22" s="91">
        <f>'Blad10 parameterwaarden'!L19</f>
        <v>175.92</v>
      </c>
      <c r="J22" s="91">
        <f>'Blad10 parameterwaarden'!M19</f>
        <v>138.49</v>
      </c>
      <c r="K22" s="93">
        <f aca="true" t="shared" si="1" ref="K22:K31">ROUND((C22-D22)*ROUND(G22*$P$5,2),0)</f>
        <v>0</v>
      </c>
      <c r="L22" s="93">
        <f aca="true" t="shared" si="2" ref="L22:L31">ROUND((C22-D22)*ROUND(H22*$Q$5,2),0)</f>
        <v>0</v>
      </c>
      <c r="M22" s="93">
        <f aca="true" t="shared" si="3" ref="M22:M31">ROUND(F22*ROUND(I22*$R$5,2),0)</f>
        <v>0</v>
      </c>
      <c r="N22" s="93">
        <f aca="true" t="shared" si="4" ref="N22:N31">ROUND(F22*ROUND(J22*$S$5,2),0)</f>
        <v>0</v>
      </c>
    </row>
    <row r="23" spans="1:14" ht="15" customHeight="1">
      <c r="A23" s="176">
        <f>A22+1</f>
        <v>313</v>
      </c>
      <c r="B23" s="97" t="s">
        <v>76</v>
      </c>
      <c r="C23" s="94"/>
      <c r="D23" s="94"/>
      <c r="E23" s="94"/>
      <c r="F23" s="93">
        <f t="shared" si="0"/>
        <v>0</v>
      </c>
      <c r="G23" s="91">
        <f>'Blad10 parameterwaarden'!J20</f>
        <v>17.8</v>
      </c>
      <c r="H23" s="91">
        <f>'Blad10 parameterwaarden'!K20</f>
        <v>79.87</v>
      </c>
      <c r="I23" s="91">
        <f>'Blad10 parameterwaarden'!L20</f>
        <v>17.96</v>
      </c>
      <c r="J23" s="91">
        <f>'Blad10 parameterwaarden'!M20</f>
        <v>81.01</v>
      </c>
      <c r="K23" s="93">
        <f t="shared" si="1"/>
        <v>0</v>
      </c>
      <c r="L23" s="93">
        <f t="shared" si="2"/>
        <v>0</v>
      </c>
      <c r="M23" s="93">
        <f t="shared" si="3"/>
        <v>0</v>
      </c>
      <c r="N23" s="93">
        <f t="shared" si="4"/>
        <v>0</v>
      </c>
    </row>
    <row r="24" spans="1:14" ht="15" customHeight="1">
      <c r="A24" s="176">
        <f aca="true" t="shared" si="5" ref="A24:A32">A23+1</f>
        <v>314</v>
      </c>
      <c r="B24" s="97" t="s">
        <v>77</v>
      </c>
      <c r="C24" s="94"/>
      <c r="D24" s="94"/>
      <c r="E24" s="94"/>
      <c r="F24" s="93">
        <f t="shared" si="0"/>
        <v>0</v>
      </c>
      <c r="G24" s="91">
        <f>'Blad10 parameterwaarden'!J21</f>
        <v>174.32</v>
      </c>
      <c r="H24" s="91">
        <f>'Blad10 parameterwaarden'!K21</f>
        <v>196.53</v>
      </c>
      <c r="I24" s="91">
        <f>'Blad10 parameterwaarden'!L21</f>
        <v>175.92</v>
      </c>
      <c r="J24" s="91">
        <f>'Blad10 parameterwaarden'!M21</f>
        <v>199.31</v>
      </c>
      <c r="K24" s="93">
        <f t="shared" si="1"/>
        <v>0</v>
      </c>
      <c r="L24" s="93">
        <f t="shared" si="2"/>
        <v>0</v>
      </c>
      <c r="M24" s="93">
        <f t="shared" si="3"/>
        <v>0</v>
      </c>
      <c r="N24" s="93">
        <f t="shared" si="4"/>
        <v>0</v>
      </c>
    </row>
    <row r="25" spans="1:14" ht="15" customHeight="1">
      <c r="A25" s="176">
        <f t="shared" si="5"/>
        <v>315</v>
      </c>
      <c r="B25" s="97" t="s">
        <v>78</v>
      </c>
      <c r="C25" s="94"/>
      <c r="D25" s="94"/>
      <c r="E25" s="94"/>
      <c r="F25" s="93">
        <f t="shared" si="0"/>
        <v>0</v>
      </c>
      <c r="G25" s="91">
        <f>'Blad10 parameterwaarden'!J22</f>
        <v>17.8</v>
      </c>
      <c r="H25" s="91">
        <f>'Blad10 parameterwaarden'!K22</f>
        <v>100.3</v>
      </c>
      <c r="I25" s="91">
        <f>'Blad10 parameterwaarden'!L22</f>
        <v>17.96</v>
      </c>
      <c r="J25" s="91">
        <f>'Blad10 parameterwaarden'!M22</f>
        <v>101.72</v>
      </c>
      <c r="K25" s="93">
        <f t="shared" si="1"/>
        <v>0</v>
      </c>
      <c r="L25" s="93">
        <f t="shared" si="2"/>
        <v>0</v>
      </c>
      <c r="M25" s="93">
        <f t="shared" si="3"/>
        <v>0</v>
      </c>
      <c r="N25" s="93">
        <f t="shared" si="4"/>
        <v>0</v>
      </c>
    </row>
    <row r="26" spans="1:14" ht="15" customHeight="1">
      <c r="A26" s="176">
        <f t="shared" si="5"/>
        <v>316</v>
      </c>
      <c r="B26" s="97" t="s">
        <v>79</v>
      </c>
      <c r="C26" s="94"/>
      <c r="D26" s="94"/>
      <c r="E26" s="94"/>
      <c r="F26" s="93">
        <f t="shared" si="0"/>
        <v>0</v>
      </c>
      <c r="G26" s="91">
        <f>'Blad10 parameterwaarden'!J23</f>
        <v>106.07</v>
      </c>
      <c r="H26" s="91">
        <f>'Blad10 parameterwaarden'!K23</f>
        <v>111.02</v>
      </c>
      <c r="I26" s="91">
        <f>'Blad10 parameterwaarden'!L23</f>
        <v>107.05</v>
      </c>
      <c r="J26" s="91">
        <f>'Blad10 parameterwaarden'!M23</f>
        <v>112.6</v>
      </c>
      <c r="K26" s="93">
        <f t="shared" si="1"/>
        <v>0</v>
      </c>
      <c r="L26" s="93">
        <f t="shared" si="2"/>
        <v>0</v>
      </c>
      <c r="M26" s="93">
        <f t="shared" si="3"/>
        <v>0</v>
      </c>
      <c r="N26" s="93">
        <f t="shared" si="4"/>
        <v>0</v>
      </c>
    </row>
    <row r="27" spans="1:14" ht="15" customHeight="1">
      <c r="A27" s="176">
        <f t="shared" si="5"/>
        <v>317</v>
      </c>
      <c r="B27" s="97" t="s">
        <v>80</v>
      </c>
      <c r="C27" s="94"/>
      <c r="D27" s="94"/>
      <c r="E27" s="94"/>
      <c r="F27" s="93">
        <f t="shared" si="0"/>
        <v>0</v>
      </c>
      <c r="G27" s="91">
        <f>'Blad10 parameterwaarden'!J24</f>
        <v>106.07</v>
      </c>
      <c r="H27" s="91">
        <f>'Blad10 parameterwaarden'!K24</f>
        <v>172.28</v>
      </c>
      <c r="I27" s="91">
        <f>'Blad10 parameterwaarden'!L24</f>
        <v>107.05</v>
      </c>
      <c r="J27" s="91">
        <f>'Blad10 parameterwaarden'!M24</f>
        <v>174.73</v>
      </c>
      <c r="K27" s="93">
        <f t="shared" si="1"/>
        <v>0</v>
      </c>
      <c r="L27" s="93">
        <f t="shared" si="2"/>
        <v>0</v>
      </c>
      <c r="M27" s="93">
        <f t="shared" si="3"/>
        <v>0</v>
      </c>
      <c r="N27" s="93">
        <f t="shared" si="4"/>
        <v>0</v>
      </c>
    </row>
    <row r="28" spans="1:14" ht="15" customHeight="1">
      <c r="A28" s="176">
        <f t="shared" si="5"/>
        <v>318</v>
      </c>
      <c r="B28" s="97" t="s">
        <v>81</v>
      </c>
      <c r="C28" s="94"/>
      <c r="D28" s="94"/>
      <c r="E28" s="94"/>
      <c r="F28" s="93">
        <f t="shared" si="0"/>
        <v>0</v>
      </c>
      <c r="G28" s="91">
        <f>'Blad10 parameterwaarden'!J25</f>
        <v>248.7</v>
      </c>
      <c r="H28" s="91">
        <f>'Blad10 parameterwaarden'!K25</f>
        <v>111.02</v>
      </c>
      <c r="I28" s="91">
        <f>'Blad10 parameterwaarden'!L25</f>
        <v>250.99</v>
      </c>
      <c r="J28" s="91">
        <f>'Blad10 parameterwaarden'!M25</f>
        <v>112.6</v>
      </c>
      <c r="K28" s="93">
        <f t="shared" si="1"/>
        <v>0</v>
      </c>
      <c r="L28" s="93">
        <f t="shared" si="2"/>
        <v>0</v>
      </c>
      <c r="M28" s="93">
        <f t="shared" si="3"/>
        <v>0</v>
      </c>
      <c r="N28" s="93">
        <f t="shared" si="4"/>
        <v>0</v>
      </c>
    </row>
    <row r="29" spans="1:14" ht="15" customHeight="1">
      <c r="A29" s="176">
        <f t="shared" si="5"/>
        <v>319</v>
      </c>
      <c r="B29" s="97" t="s">
        <v>82</v>
      </c>
      <c r="C29" s="94"/>
      <c r="D29" s="94"/>
      <c r="E29" s="94"/>
      <c r="F29" s="93">
        <f t="shared" si="0"/>
        <v>0</v>
      </c>
      <c r="G29" s="91">
        <f>'Blad10 parameterwaarden'!J26</f>
        <v>248.7</v>
      </c>
      <c r="H29" s="91">
        <f>'Blad10 parameterwaarden'!K26</f>
        <v>172.28</v>
      </c>
      <c r="I29" s="91">
        <f>'Blad10 parameterwaarden'!L26</f>
        <v>250.99</v>
      </c>
      <c r="J29" s="91">
        <f>'Blad10 parameterwaarden'!M26</f>
        <v>174.73</v>
      </c>
      <c r="K29" s="93">
        <f t="shared" si="1"/>
        <v>0</v>
      </c>
      <c r="L29" s="93">
        <f t="shared" si="2"/>
        <v>0</v>
      </c>
      <c r="M29" s="93">
        <f t="shared" si="3"/>
        <v>0</v>
      </c>
      <c r="N29" s="93">
        <f t="shared" si="4"/>
        <v>0</v>
      </c>
    </row>
    <row r="30" spans="1:14" ht="15" customHeight="1">
      <c r="A30" s="176">
        <f t="shared" si="5"/>
        <v>320</v>
      </c>
      <c r="B30" s="97" t="s">
        <v>83</v>
      </c>
      <c r="C30" s="94"/>
      <c r="D30" s="94"/>
      <c r="E30" s="94"/>
      <c r="F30" s="93">
        <f t="shared" si="0"/>
        <v>0</v>
      </c>
      <c r="G30" s="91">
        <f>'Blad10 parameterwaarden'!J27</f>
        <v>17.8</v>
      </c>
      <c r="H30" s="91">
        <f>'Blad10 parameterwaarden'!K27</f>
        <v>89.63</v>
      </c>
      <c r="I30" s="91">
        <f>'Blad10 parameterwaarden'!L27</f>
        <v>17.96</v>
      </c>
      <c r="J30" s="91">
        <f>'Blad10 parameterwaarden'!M27</f>
        <v>90.9</v>
      </c>
      <c r="K30" s="93">
        <f t="shared" si="1"/>
        <v>0</v>
      </c>
      <c r="L30" s="93">
        <f t="shared" si="2"/>
        <v>0</v>
      </c>
      <c r="M30" s="93">
        <f t="shared" si="3"/>
        <v>0</v>
      </c>
      <c r="N30" s="93">
        <f t="shared" si="4"/>
        <v>0</v>
      </c>
    </row>
    <row r="31" spans="1:14" ht="15" customHeight="1">
      <c r="A31" s="176">
        <f t="shared" si="5"/>
        <v>321</v>
      </c>
      <c r="B31" s="97" t="s">
        <v>84</v>
      </c>
      <c r="C31" s="94"/>
      <c r="D31" s="94"/>
      <c r="E31" s="94"/>
      <c r="F31" s="93">
        <f t="shared" si="0"/>
        <v>0</v>
      </c>
      <c r="G31" s="91">
        <f>'Blad10 parameterwaarden'!J28</f>
        <v>17.8</v>
      </c>
      <c r="H31" s="91">
        <f>'Blad10 parameterwaarden'!K28</f>
        <v>110.04</v>
      </c>
      <c r="I31" s="91">
        <f>'Blad10 parameterwaarden'!L28</f>
        <v>17.96</v>
      </c>
      <c r="J31" s="91">
        <f>'Blad10 parameterwaarden'!M28</f>
        <v>111.6</v>
      </c>
      <c r="K31" s="93">
        <f t="shared" si="1"/>
        <v>0</v>
      </c>
      <c r="L31" s="93">
        <f t="shared" si="2"/>
        <v>0</v>
      </c>
      <c r="M31" s="93">
        <f t="shared" si="3"/>
        <v>0</v>
      </c>
      <c r="N31" s="93">
        <f t="shared" si="4"/>
        <v>0</v>
      </c>
    </row>
    <row r="32" spans="1:14" ht="15" customHeight="1">
      <c r="A32" s="176">
        <f t="shared" si="5"/>
        <v>322</v>
      </c>
      <c r="B32" s="100" t="s">
        <v>33</v>
      </c>
      <c r="C32" s="14"/>
      <c r="D32" s="14"/>
      <c r="E32" s="14"/>
      <c r="F32" s="14"/>
      <c r="G32" s="14"/>
      <c r="H32" s="36"/>
      <c r="I32" s="36"/>
      <c r="J32" s="13"/>
      <c r="K32" s="93">
        <f>SUM(K22:K31)</f>
        <v>0</v>
      </c>
      <c r="L32" s="93">
        <f>SUM(L22:L31)</f>
        <v>0</v>
      </c>
      <c r="M32" s="93">
        <f>SUM(M22:M31)</f>
        <v>0</v>
      </c>
      <c r="N32" s="93">
        <f>SUM(N22:N31)</f>
        <v>0</v>
      </c>
    </row>
    <row r="33" spans="1:14" ht="15" customHeight="1">
      <c r="A33" s="178"/>
      <c r="B33" s="36"/>
      <c r="C33" s="32"/>
      <c r="D33" s="32"/>
      <c r="E33" s="32"/>
      <c r="F33" s="99"/>
      <c r="G33" s="32"/>
      <c r="H33" s="36"/>
      <c r="I33" s="36"/>
      <c r="J33" s="36"/>
      <c r="K33" s="98"/>
      <c r="L33" s="98"/>
      <c r="M33" s="98"/>
      <c r="N33" s="98"/>
    </row>
    <row r="34" spans="1:14" ht="15" customHeight="1">
      <c r="A34" s="176">
        <f>A32+1</f>
        <v>323</v>
      </c>
      <c r="B34" s="34" t="s">
        <v>21</v>
      </c>
      <c r="C34" s="32"/>
      <c r="D34" s="32"/>
      <c r="E34" s="32"/>
      <c r="F34" s="99"/>
      <c r="G34" s="32"/>
      <c r="H34" s="36"/>
      <c r="I34" s="36"/>
      <c r="J34" s="36"/>
      <c r="K34" s="93">
        <f>K11+K19+K32</f>
        <v>0</v>
      </c>
      <c r="L34" s="93">
        <f>L11+L19+L32</f>
        <v>0</v>
      </c>
      <c r="M34" s="93">
        <f>M11+M19+M32</f>
        <v>0</v>
      </c>
      <c r="N34" s="93">
        <f>N11+N19+N32</f>
        <v>0</v>
      </c>
    </row>
    <row r="35" spans="2:14" ht="15" customHeight="1">
      <c r="B35" s="36"/>
      <c r="C35" s="32"/>
      <c r="D35" s="32"/>
      <c r="E35" s="32"/>
      <c r="F35" s="99"/>
      <c r="G35" s="32"/>
      <c r="H35" s="36"/>
      <c r="I35" s="36"/>
      <c r="J35" s="36"/>
      <c r="K35" s="36"/>
      <c r="L35" s="36"/>
      <c r="M35" s="36"/>
      <c r="N35" s="36"/>
    </row>
    <row r="36" spans="2:14" ht="15" customHeight="1">
      <c r="B36" s="36"/>
      <c r="C36" s="32"/>
      <c r="D36" s="32"/>
      <c r="E36" s="32"/>
      <c r="F36" s="99"/>
      <c r="G36" s="32"/>
      <c r="H36" s="36"/>
      <c r="I36" s="36"/>
      <c r="J36" s="36"/>
      <c r="K36" s="36"/>
      <c r="L36" s="36"/>
      <c r="M36" s="36"/>
      <c r="N36" s="36"/>
    </row>
    <row r="37" spans="2:14" ht="15" customHeight="1">
      <c r="B37" s="34" t="str">
        <f>CONCATENATE("  * Voor de relevante beleidsregelbedragen voor ",Voorblad!B3-1," verwijzen wij u naar beleidsregel I-511 (2001). ")</f>
        <v>  * Voor de relevante beleidsregelbedragen voor 2005 verwijzen wij u naar beleidsregel I-511 (2001). </v>
      </c>
      <c r="C37" s="32"/>
      <c r="D37" s="32"/>
      <c r="E37" s="32"/>
      <c r="F37" s="99"/>
      <c r="G37" s="32"/>
      <c r="H37" s="36"/>
      <c r="I37" s="36"/>
      <c r="J37" s="36"/>
      <c r="K37" s="36"/>
      <c r="L37" s="36"/>
      <c r="M37" s="36"/>
      <c r="N37" s="36"/>
    </row>
    <row r="38" spans="2:14" ht="15" customHeight="1">
      <c r="B38" s="34" t="str">
        <f>CONCATENATE(" ** Ten opzichte van het budget in de huidige rekenstaat ",Voorblad!B3," (gebaseerd op de productieafspraak ",Voorblad!B3-1,").")</f>
        <v> ** Ten opzichte van het budget in de huidige rekenstaat 2006 (gebaseerd op de productieafspraak 2005).</v>
      </c>
      <c r="C38" s="32"/>
      <c r="D38" s="32"/>
      <c r="E38" s="32"/>
      <c r="F38" s="99"/>
      <c r="G38" s="32"/>
      <c r="H38" s="36"/>
      <c r="I38" s="36"/>
      <c r="J38" s="36"/>
      <c r="K38" s="36"/>
      <c r="L38" s="36"/>
      <c r="M38" s="36"/>
      <c r="N38" s="36"/>
    </row>
    <row r="39" spans="2:14" ht="15" customHeight="1">
      <c r="B39" s="34" t="s">
        <v>165</v>
      </c>
      <c r="C39" s="32"/>
      <c r="D39" s="32"/>
      <c r="E39" s="32"/>
      <c r="F39" s="99"/>
      <c r="G39" s="32"/>
      <c r="H39" s="36"/>
      <c r="I39" s="36"/>
      <c r="J39" s="36"/>
      <c r="K39" s="36"/>
      <c r="L39" s="36"/>
      <c r="M39" s="36"/>
      <c r="N39" s="36"/>
    </row>
    <row r="40" spans="2:14" ht="15" customHeight="1">
      <c r="B40" s="36"/>
      <c r="C40" s="32"/>
      <c r="D40" s="32"/>
      <c r="E40" s="32"/>
      <c r="F40" s="99"/>
      <c r="G40" s="32"/>
      <c r="H40" s="36"/>
      <c r="I40" s="36"/>
      <c r="J40" s="36"/>
      <c r="K40" s="36"/>
      <c r="L40" s="36"/>
      <c r="M40" s="36"/>
      <c r="N40" s="36"/>
    </row>
    <row r="41" ht="15" customHeight="1">
      <c r="F41" s="8"/>
    </row>
    <row r="42" ht="15" customHeight="1">
      <c r="F42" s="8"/>
    </row>
    <row r="43" ht="15" customHeight="1">
      <c r="F43" s="8"/>
    </row>
    <row r="44" ht="15" customHeight="1">
      <c r="F44" s="8"/>
    </row>
    <row r="45" ht="15" customHeight="1">
      <c r="F45" s="8"/>
    </row>
    <row r="46" ht="15" customHeight="1">
      <c r="F46" s="8"/>
    </row>
    <row r="47" ht="15" customHeight="1">
      <c r="F47" s="8"/>
    </row>
    <row r="48" ht="15" customHeight="1">
      <c r="F48" s="8"/>
    </row>
    <row r="49" ht="15" customHeight="1">
      <c r="F49" s="8"/>
    </row>
    <row r="50" ht="15" customHeight="1">
      <c r="F50" s="8"/>
    </row>
    <row r="51" ht="15" customHeight="1">
      <c r="F51" s="8"/>
    </row>
    <row r="52" ht="15" customHeight="1">
      <c r="F52" s="8"/>
    </row>
    <row r="53" ht="15" customHeight="1">
      <c r="F53" s="8"/>
    </row>
    <row r="54" ht="15" customHeight="1">
      <c r="F54" s="8"/>
    </row>
    <row r="55" ht="15" customHeight="1">
      <c r="F55" s="8"/>
    </row>
    <row r="56" ht="15" customHeight="1">
      <c r="F56" s="8"/>
    </row>
    <row r="57" ht="15" customHeight="1">
      <c r="F57" s="8"/>
    </row>
    <row r="58" ht="15" customHeight="1">
      <c r="F58" s="8"/>
    </row>
    <row r="59" ht="15" customHeight="1">
      <c r="F59" s="8"/>
    </row>
    <row r="60" ht="15" customHeight="1">
      <c r="F60" s="8"/>
    </row>
    <row r="61" ht="15" customHeight="1">
      <c r="F61" s="8"/>
    </row>
    <row r="62" ht="15" customHeight="1">
      <c r="F62" s="8"/>
    </row>
    <row r="63" ht="15" customHeight="1">
      <c r="F63" s="8"/>
    </row>
    <row r="64" ht="15" customHeight="1">
      <c r="F64" s="8"/>
    </row>
    <row r="65" ht="15" customHeight="1">
      <c r="F65" s="8"/>
    </row>
    <row r="66" ht="15" customHeight="1">
      <c r="F66" s="8"/>
    </row>
    <row r="67" ht="15" customHeight="1">
      <c r="F67" s="8"/>
    </row>
    <row r="68" ht="15" customHeight="1">
      <c r="F68" s="8"/>
    </row>
    <row r="69" ht="15" customHeight="1">
      <c r="F69" s="8"/>
    </row>
    <row r="70" ht="15" customHeight="1">
      <c r="F70" s="8"/>
    </row>
    <row r="71" ht="15" customHeight="1">
      <c r="F71" s="8"/>
    </row>
    <row r="72" ht="15" customHeight="1">
      <c r="F72" s="8"/>
    </row>
    <row r="73" ht="15" customHeight="1">
      <c r="F73" s="8"/>
    </row>
    <row r="74" ht="15" customHeight="1">
      <c r="F74" s="8"/>
    </row>
    <row r="75" ht="15" customHeight="1">
      <c r="F75" s="8"/>
    </row>
    <row r="76" ht="15" customHeight="1">
      <c r="F76" s="8"/>
    </row>
    <row r="77" ht="15" customHeight="1">
      <c r="F77" s="8"/>
    </row>
    <row r="78" ht="15" customHeight="1">
      <c r="F78" s="8"/>
    </row>
    <row r="79" ht="15" customHeight="1">
      <c r="F79" s="8"/>
    </row>
    <row r="80" ht="15" customHeight="1">
      <c r="F80" s="8"/>
    </row>
    <row r="81" ht="15" customHeight="1">
      <c r="F81" s="8"/>
    </row>
    <row r="82" ht="15" customHeight="1">
      <c r="F82" s="8"/>
    </row>
    <row r="83" ht="15" customHeight="1">
      <c r="F83" s="8"/>
    </row>
    <row r="84" ht="15" customHeight="1">
      <c r="F84" s="8"/>
    </row>
    <row r="85" ht="15" customHeight="1">
      <c r="F85" s="8"/>
    </row>
    <row r="86" ht="15" customHeight="1">
      <c r="F86" s="8"/>
    </row>
    <row r="87" ht="15" customHeight="1">
      <c r="F87" s="8"/>
    </row>
    <row r="88" ht="15" customHeight="1">
      <c r="F88" s="8"/>
    </row>
    <row r="89" ht="15" customHeight="1">
      <c r="F89" s="8"/>
    </row>
    <row r="90" ht="15" customHeight="1">
      <c r="F90" s="8"/>
    </row>
    <row r="91" ht="15" customHeight="1">
      <c r="F91" s="8"/>
    </row>
    <row r="92" ht="15" customHeight="1">
      <c r="F92" s="8"/>
    </row>
    <row r="93" ht="15" customHeight="1">
      <c r="F93" s="8"/>
    </row>
    <row r="94" ht="15" customHeight="1">
      <c r="F94" s="8"/>
    </row>
    <row r="95" ht="15" customHeight="1">
      <c r="F95" s="8"/>
    </row>
    <row r="96" ht="15" customHeight="1">
      <c r="F96" s="8"/>
    </row>
    <row r="97" ht="15" customHeight="1">
      <c r="F97" s="8"/>
    </row>
    <row r="98" ht="15" customHeight="1">
      <c r="F98" s="8"/>
    </row>
    <row r="99" ht="15" customHeight="1">
      <c r="F99" s="8"/>
    </row>
    <row r="100" ht="15" customHeight="1">
      <c r="F100" s="8"/>
    </row>
    <row r="101" ht="15" customHeight="1">
      <c r="F101" s="8"/>
    </row>
    <row r="102" ht="15" customHeight="1">
      <c r="F102" s="8"/>
    </row>
    <row r="103" ht="15" customHeight="1">
      <c r="F103" s="8"/>
    </row>
    <row r="104" ht="15" customHeight="1">
      <c r="F104" s="8"/>
    </row>
    <row r="105" ht="15" customHeight="1">
      <c r="F105" s="8"/>
    </row>
    <row r="106" ht="15" customHeight="1">
      <c r="F106" s="8"/>
    </row>
    <row r="107" ht="15" customHeight="1">
      <c r="F107" s="8"/>
    </row>
    <row r="108" ht="15" customHeight="1">
      <c r="F108" s="8"/>
    </row>
    <row r="109" ht="15" customHeight="1">
      <c r="F109" s="8"/>
    </row>
    <row r="110" ht="15" customHeight="1">
      <c r="F110" s="8"/>
    </row>
    <row r="111" ht="15" customHeight="1">
      <c r="F111" s="8"/>
    </row>
    <row r="112" ht="15" customHeight="1">
      <c r="F112" s="8"/>
    </row>
    <row r="113" ht="15" customHeight="1">
      <c r="F113" s="8"/>
    </row>
    <row r="114" ht="15" customHeight="1">
      <c r="F114" s="8"/>
    </row>
    <row r="115" ht="15" customHeight="1">
      <c r="F115" s="8"/>
    </row>
    <row r="116" ht="15" customHeight="1">
      <c r="F116" s="8"/>
    </row>
    <row r="117" ht="15" customHeight="1">
      <c r="F117" s="8"/>
    </row>
    <row r="118" ht="15" customHeight="1">
      <c r="F118" s="8"/>
    </row>
    <row r="119" ht="15" customHeight="1">
      <c r="F119" s="8"/>
    </row>
    <row r="120" ht="15" customHeight="1">
      <c r="F120" s="8"/>
    </row>
    <row r="121" ht="15" customHeight="1">
      <c r="F121" s="8"/>
    </row>
    <row r="122" ht="15" customHeight="1">
      <c r="F122" s="8"/>
    </row>
    <row r="123" ht="15" customHeight="1">
      <c r="F123" s="8"/>
    </row>
    <row r="124" ht="15" customHeight="1">
      <c r="F124" s="8"/>
    </row>
    <row r="125" ht="15" customHeight="1">
      <c r="F125" s="8"/>
    </row>
    <row r="126" ht="15" customHeight="1">
      <c r="F126" s="8"/>
    </row>
    <row r="127" ht="15" customHeight="1">
      <c r="F127" s="8"/>
    </row>
    <row r="128" ht="15" customHeight="1">
      <c r="F128" s="8"/>
    </row>
    <row r="129" ht="15" customHeight="1">
      <c r="F129" s="8"/>
    </row>
    <row r="130" ht="15" customHeight="1">
      <c r="F130" s="8"/>
    </row>
    <row r="131" ht="15" customHeight="1">
      <c r="F131" s="8"/>
    </row>
    <row r="132" ht="15" customHeight="1">
      <c r="F132" s="8"/>
    </row>
    <row r="133" ht="15" customHeight="1">
      <c r="F133" s="8"/>
    </row>
    <row r="134" ht="15" customHeight="1">
      <c r="F134" s="8"/>
    </row>
    <row r="135" ht="15" customHeight="1">
      <c r="F135" s="8"/>
    </row>
    <row r="136" ht="15" customHeight="1">
      <c r="F136" s="8"/>
    </row>
    <row r="137" ht="15" customHeight="1">
      <c r="F137" s="8"/>
    </row>
    <row r="138" ht="15" customHeight="1">
      <c r="F138" s="8"/>
    </row>
    <row r="139" ht="15" customHeight="1">
      <c r="F139" s="8"/>
    </row>
    <row r="140" ht="15" customHeight="1">
      <c r="F140" s="8"/>
    </row>
    <row r="141" ht="15" customHeight="1">
      <c r="F141" s="8"/>
    </row>
    <row r="142" ht="15" customHeight="1">
      <c r="F142" s="8"/>
    </row>
    <row r="143" ht="15" customHeight="1">
      <c r="F143" s="8"/>
    </row>
    <row r="144" ht="15" customHeight="1">
      <c r="F144" s="8"/>
    </row>
    <row r="145" ht="15" customHeight="1">
      <c r="F145" s="8"/>
    </row>
    <row r="146" ht="15" customHeight="1">
      <c r="F146" s="8"/>
    </row>
    <row r="147" ht="15" customHeight="1">
      <c r="F147" s="8"/>
    </row>
    <row r="148" ht="15" customHeight="1">
      <c r="F148" s="8"/>
    </row>
    <row r="149" ht="15" customHeight="1">
      <c r="F149" s="8"/>
    </row>
    <row r="150" ht="15" customHeight="1">
      <c r="F150" s="8"/>
    </row>
    <row r="151" ht="15" customHeight="1">
      <c r="F151" s="8"/>
    </row>
    <row r="152" ht="15" customHeight="1">
      <c r="F152" s="8"/>
    </row>
    <row r="153" ht="15" customHeight="1">
      <c r="F153" s="8"/>
    </row>
    <row r="154" ht="15" customHeight="1">
      <c r="F154" s="8"/>
    </row>
    <row r="155" ht="15" customHeight="1">
      <c r="F155" s="8"/>
    </row>
    <row r="156" ht="15" customHeight="1">
      <c r="F156" s="8"/>
    </row>
    <row r="157" ht="15" customHeight="1">
      <c r="F157" s="8"/>
    </row>
    <row r="158" ht="15" customHeight="1">
      <c r="F158" s="8"/>
    </row>
    <row r="159" ht="15" customHeight="1">
      <c r="F159" s="8"/>
    </row>
    <row r="160" ht="15" customHeight="1">
      <c r="F160" s="8"/>
    </row>
    <row r="161" ht="15" customHeight="1">
      <c r="F161" s="8"/>
    </row>
    <row r="162" ht="15" customHeight="1">
      <c r="F162" s="8"/>
    </row>
    <row r="163" ht="15" customHeight="1">
      <c r="F163" s="8"/>
    </row>
    <row r="164" ht="15" customHeight="1">
      <c r="F164" s="8"/>
    </row>
    <row r="165" ht="15" customHeight="1">
      <c r="F165" s="8"/>
    </row>
    <row r="166" ht="15" customHeight="1">
      <c r="F166" s="8"/>
    </row>
    <row r="167" ht="15" customHeight="1">
      <c r="F167" s="8"/>
    </row>
    <row r="168" ht="15" customHeight="1">
      <c r="F168" s="8"/>
    </row>
    <row r="169" ht="15" customHeight="1">
      <c r="F169" s="8"/>
    </row>
    <row r="170" ht="15" customHeight="1">
      <c r="F170" s="8"/>
    </row>
    <row r="171" ht="15" customHeight="1">
      <c r="F171" s="8"/>
    </row>
    <row r="172" ht="15" customHeight="1">
      <c r="F172" s="8"/>
    </row>
    <row r="173" ht="15" customHeight="1">
      <c r="F173" s="8"/>
    </row>
    <row r="174" ht="15" customHeight="1">
      <c r="F174" s="8"/>
    </row>
    <row r="175" ht="15" customHeight="1">
      <c r="F175" s="8"/>
    </row>
    <row r="176" ht="15" customHeight="1">
      <c r="F176" s="8"/>
    </row>
    <row r="177" ht="15" customHeight="1">
      <c r="F177" s="8"/>
    </row>
    <row r="178" ht="15" customHeight="1">
      <c r="F178" s="8"/>
    </row>
    <row r="179" ht="15" customHeight="1">
      <c r="F179" s="8"/>
    </row>
    <row r="180" ht="15" customHeight="1">
      <c r="F180" s="8"/>
    </row>
    <row r="181" ht="15" customHeight="1">
      <c r="F181" s="8"/>
    </row>
    <row r="182" ht="15" customHeight="1">
      <c r="F182" s="8"/>
    </row>
    <row r="183" ht="15" customHeight="1">
      <c r="F183" s="8"/>
    </row>
    <row r="184" ht="15" customHeight="1">
      <c r="F184" s="8"/>
    </row>
    <row r="185" ht="15" customHeight="1">
      <c r="F185" s="8"/>
    </row>
    <row r="186" ht="15" customHeight="1">
      <c r="F186" s="8"/>
    </row>
    <row r="187" ht="15" customHeight="1">
      <c r="F187" s="8"/>
    </row>
    <row r="188" ht="15" customHeight="1">
      <c r="F188" s="8"/>
    </row>
    <row r="189" ht="15" customHeight="1">
      <c r="F189" s="8"/>
    </row>
    <row r="190" ht="15" customHeight="1">
      <c r="F190" s="8"/>
    </row>
    <row r="191" ht="15" customHeight="1">
      <c r="F191" s="8"/>
    </row>
    <row r="192" ht="15" customHeight="1">
      <c r="F192" s="8"/>
    </row>
    <row r="193" ht="15" customHeight="1">
      <c r="F193" s="8"/>
    </row>
    <row r="194" ht="15" customHeight="1">
      <c r="F194" s="8"/>
    </row>
    <row r="195" ht="15" customHeight="1">
      <c r="F195" s="8"/>
    </row>
    <row r="196" ht="15" customHeight="1">
      <c r="F196" s="8"/>
    </row>
    <row r="197" ht="15" customHeight="1">
      <c r="F197" s="8"/>
    </row>
    <row r="198" ht="15" customHeight="1">
      <c r="F198" s="8"/>
    </row>
    <row r="199" ht="15" customHeight="1">
      <c r="F199" s="8"/>
    </row>
    <row r="200" ht="15" customHeight="1">
      <c r="F200" s="8"/>
    </row>
    <row r="201" ht="15" customHeight="1">
      <c r="F201" s="8"/>
    </row>
    <row r="202" ht="15" customHeight="1">
      <c r="F202" s="8"/>
    </row>
    <row r="203" ht="15" customHeight="1">
      <c r="F203" s="8"/>
    </row>
    <row r="204" ht="15" customHeight="1">
      <c r="F204" s="8"/>
    </row>
    <row r="205" ht="15" customHeight="1">
      <c r="F205" s="8"/>
    </row>
    <row r="206" ht="15" customHeight="1">
      <c r="F206" s="8"/>
    </row>
    <row r="207" ht="15" customHeight="1">
      <c r="F207" s="8"/>
    </row>
    <row r="208" ht="15" customHeight="1">
      <c r="F208" s="8"/>
    </row>
    <row r="209" ht="15" customHeight="1">
      <c r="F209" s="8"/>
    </row>
    <row r="210" ht="15" customHeight="1">
      <c r="F210" s="8"/>
    </row>
  </sheetData>
  <sheetProtection password="CCBC" sheet="1" objects="1" scenarios="1"/>
  <mergeCells count="8">
    <mergeCell ref="D3:F3"/>
    <mergeCell ref="G3:J3"/>
    <mergeCell ref="I4:J4"/>
    <mergeCell ref="M3:N3"/>
    <mergeCell ref="M4:N4"/>
    <mergeCell ref="K3:L3"/>
    <mergeCell ref="G4:H4"/>
    <mergeCell ref="K4:L4"/>
  </mergeCells>
  <conditionalFormatting sqref="C7:E10 C14:E18 C22:E31 G7:J10">
    <cfRule type="expression" priority="1" dxfId="0" stopIfTrue="1">
      <formula>$A$2=TRUE</formula>
    </cfRule>
  </conditionalFormatting>
  <printOptions/>
  <pageMargins left="0.75" right="0.75" top="1" bottom="1" header="0.5" footer="0.5"/>
  <pageSetup fitToHeight="1" fitToWidth="1" horizontalDpi="1200" verticalDpi="1200" orientation="landscape" paperSize="9" scale="77" r:id="rId1"/>
  <headerFooter alignWithMargins="0">
    <oddFooter>&amp;Rblad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0"/>
  <sheetViews>
    <sheetView showGridLines="0" showRowColHeaders="0" showZeros="0" showOutlineSymbols="0" view="pageBreakPreview" zoomScale="75" zoomScaleSheetLayoutView="75" workbookViewId="0" topLeftCell="A1">
      <selection activeCell="C7" sqref="C7"/>
    </sheetView>
  </sheetViews>
  <sheetFormatPr defaultColWidth="9.140625" defaultRowHeight="15" customHeight="1"/>
  <cols>
    <col min="1" max="1" width="7.7109375" style="2" bestFit="1" customWidth="1"/>
    <col min="2" max="2" width="32.421875" style="2" customWidth="1"/>
    <col min="3" max="3" width="10.7109375" style="5" customWidth="1"/>
    <col min="4" max="6" width="9.7109375" style="5" customWidth="1"/>
    <col min="7" max="7" width="11.28125" style="5" customWidth="1"/>
    <col min="8" max="8" width="11.140625" style="2" customWidth="1"/>
    <col min="9" max="10" width="12.8515625" style="2" customWidth="1"/>
    <col min="11" max="11" width="9.140625" style="2" customWidth="1"/>
    <col min="12" max="15" width="9.28125" style="2" bestFit="1" customWidth="1"/>
    <col min="16" max="16384" width="9.140625" style="2" customWidth="1"/>
  </cols>
  <sheetData>
    <row r="1" spans="1:11" ht="15" customHeight="1">
      <c r="A1" s="36"/>
      <c r="B1" s="101" t="str">
        <f>CONCATENATE("1. Productieaantallen ",Voorblad!B3-1," / ",Voorblad!B3," epilepsiecentra")</f>
        <v>1. Productieaantallen 2005 / 2006 epilepsiecentra</v>
      </c>
      <c r="C1" s="32"/>
      <c r="D1" s="32"/>
      <c r="E1" s="32"/>
      <c r="F1" s="32"/>
      <c r="G1" s="32"/>
      <c r="H1" s="36"/>
      <c r="I1" s="36"/>
      <c r="J1" s="36"/>
      <c r="K1" s="36"/>
    </row>
    <row r="2" spans="1:11" ht="15" customHeight="1">
      <c r="A2" s="103" t="b">
        <f>Voorblad!A24</f>
        <v>1</v>
      </c>
      <c r="B2" s="101"/>
      <c r="C2" s="32"/>
      <c r="D2" s="32"/>
      <c r="E2" s="32"/>
      <c r="F2" s="32"/>
      <c r="G2" s="32"/>
      <c r="H2" s="36"/>
      <c r="I2" s="36"/>
      <c r="J2" s="36"/>
      <c r="K2" s="36"/>
    </row>
    <row r="3" spans="1:11" ht="15" customHeight="1">
      <c r="A3" s="36"/>
      <c r="B3" s="101"/>
      <c r="C3" s="32"/>
      <c r="D3" s="32"/>
      <c r="E3" s="32"/>
      <c r="F3" s="32"/>
      <c r="G3" s="32"/>
      <c r="H3" s="36"/>
      <c r="I3" s="36"/>
      <c r="J3" s="36"/>
      <c r="K3" s="36"/>
    </row>
    <row r="4" spans="1:15" ht="15" customHeight="1">
      <c r="A4" s="36"/>
      <c r="B4" s="36"/>
      <c r="C4" s="77" t="s">
        <v>40</v>
      </c>
      <c r="D4" s="241" t="s">
        <v>41</v>
      </c>
      <c r="E4" s="242"/>
      <c r="F4" s="243"/>
      <c r="G4" s="241" t="s">
        <v>43</v>
      </c>
      <c r="H4" s="230"/>
      <c r="I4" s="78" t="s">
        <v>10</v>
      </c>
      <c r="J4" s="81" t="s">
        <v>29</v>
      </c>
      <c r="K4" s="36"/>
      <c r="L4" s="17" t="str">
        <f>CONCATENATE("index ",Voorblad!B3-1)</f>
        <v>index 2005</v>
      </c>
      <c r="M4" s="18"/>
      <c r="N4" s="17" t="str">
        <f>CONCATENATE("index ",Voorblad!B3)</f>
        <v>index 2006</v>
      </c>
      <c r="O4" s="18"/>
    </row>
    <row r="5" spans="1:15" ht="15" customHeight="1">
      <c r="A5" s="36"/>
      <c r="B5" s="36"/>
      <c r="C5" s="85">
        <f>'Blad3 Categorale ziekenh. (011)'!C4</f>
        <v>2005</v>
      </c>
      <c r="D5" s="89">
        <f>+C5</f>
        <v>2005</v>
      </c>
      <c r="E5" s="89">
        <f>+D5+1</f>
        <v>2006</v>
      </c>
      <c r="F5" s="88" t="s">
        <v>29</v>
      </c>
      <c r="G5" s="82">
        <f>+C5</f>
        <v>2005</v>
      </c>
      <c r="H5" s="82">
        <f>+G5+1</f>
        <v>2006</v>
      </c>
      <c r="I5" s="84">
        <f>+G5</f>
        <v>2005</v>
      </c>
      <c r="J5" s="92">
        <f>+H5</f>
        <v>2006</v>
      </c>
      <c r="K5" s="36" t="s">
        <v>130</v>
      </c>
      <c r="L5" s="19" t="s">
        <v>9</v>
      </c>
      <c r="M5" s="20" t="s">
        <v>20</v>
      </c>
      <c r="N5" s="19" t="s">
        <v>9</v>
      </c>
      <c r="O5" s="20" t="s">
        <v>20</v>
      </c>
    </row>
    <row r="6" spans="1:15" ht="15" customHeight="1">
      <c r="A6" s="36"/>
      <c r="B6" s="36"/>
      <c r="C6" s="95"/>
      <c r="D6" s="95"/>
      <c r="E6" s="96"/>
      <c r="F6" s="36"/>
      <c r="G6" s="95"/>
      <c r="H6" s="36"/>
      <c r="I6" s="36"/>
      <c r="J6" s="36"/>
      <c r="K6" s="36"/>
      <c r="L6" s="35">
        <v>1.0092</v>
      </c>
      <c r="M6" s="33">
        <v>1.0142</v>
      </c>
      <c r="N6" s="35">
        <v>1.0033</v>
      </c>
      <c r="O6" s="33">
        <v>1.01</v>
      </c>
    </row>
    <row r="7" spans="1:11" ht="15" customHeight="1">
      <c r="A7" s="176">
        <v>401</v>
      </c>
      <c r="B7" s="97" t="s">
        <v>30</v>
      </c>
      <c r="C7" s="94"/>
      <c r="D7" s="94"/>
      <c r="E7" s="94"/>
      <c r="F7" s="93">
        <f>E7-C7</f>
        <v>0</v>
      </c>
      <c r="G7" s="109">
        <f>'Blad10 parameterwaarden'!J73</f>
        <v>1922</v>
      </c>
      <c r="H7" s="109">
        <f>'Blad10 parameterwaarden'!L73</f>
        <v>1939.68</v>
      </c>
      <c r="I7" s="93">
        <f>ROUND((C7-D7)*G7,0)</f>
        <v>0</v>
      </c>
      <c r="J7" s="93">
        <f>ROUND(F7*H7,0)</f>
        <v>0</v>
      </c>
      <c r="K7" s="36"/>
    </row>
    <row r="8" spans="1:11" ht="15" customHeight="1">
      <c r="A8" s="176">
        <f>A7+1</f>
        <v>402</v>
      </c>
      <c r="B8" s="97" t="s">
        <v>112</v>
      </c>
      <c r="C8" s="94"/>
      <c r="D8" s="94"/>
      <c r="E8" s="94"/>
      <c r="F8" s="93">
        <f>E8-C8</f>
        <v>0</v>
      </c>
      <c r="G8" s="109">
        <f>'Blad10 parameterwaarden'!J74</f>
        <v>80</v>
      </c>
      <c r="H8" s="109">
        <f>'Blad10 parameterwaarden'!L74</f>
        <v>80.74</v>
      </c>
      <c r="I8" s="93">
        <f>ROUND((C8-D8)*G8,0)</f>
        <v>0</v>
      </c>
      <c r="J8" s="93">
        <f>ROUND(F8*H8,0)</f>
        <v>0</v>
      </c>
      <c r="K8" s="36"/>
    </row>
    <row r="9" spans="1:11" ht="15" customHeight="1">
      <c r="A9" s="176">
        <f>A8+1</f>
        <v>403</v>
      </c>
      <c r="B9" s="97" t="s">
        <v>113</v>
      </c>
      <c r="C9" s="94"/>
      <c r="D9" s="94"/>
      <c r="E9" s="94"/>
      <c r="F9" s="93">
        <f>E9-C9</f>
        <v>0</v>
      </c>
      <c r="G9" s="109">
        <f>'Blad10 parameterwaarden'!J75</f>
        <v>54</v>
      </c>
      <c r="H9" s="109">
        <f>'Blad10 parameterwaarden'!L75</f>
        <v>54.5</v>
      </c>
      <c r="I9" s="93">
        <f>ROUND((C9-D9)*G9,0)</f>
        <v>0</v>
      </c>
      <c r="J9" s="93">
        <f>ROUND(F9*H9,0)</f>
        <v>0</v>
      </c>
      <c r="K9" s="36"/>
    </row>
    <row r="10" spans="1:11" ht="15" customHeight="1">
      <c r="A10" s="176">
        <f>A9+1</f>
        <v>404</v>
      </c>
      <c r="B10" s="97" t="s">
        <v>114</v>
      </c>
      <c r="C10" s="94"/>
      <c r="D10" s="94"/>
      <c r="E10" s="94"/>
      <c r="F10" s="93">
        <f>E10-C10</f>
        <v>0</v>
      </c>
      <c r="G10" s="109">
        <f>'Blad10 parameterwaarden'!J76</f>
        <v>268</v>
      </c>
      <c r="H10" s="109">
        <f>'Blad10 parameterwaarden'!L76</f>
        <v>270.47</v>
      </c>
      <c r="I10" s="93">
        <f>ROUND((C10-D10)*G10,0)</f>
        <v>0</v>
      </c>
      <c r="J10" s="93">
        <f>ROUND(F10*H10,0)</f>
        <v>0</v>
      </c>
      <c r="K10" s="36"/>
    </row>
    <row r="11" spans="1:11" ht="15" customHeight="1">
      <c r="A11" s="176">
        <f>A10+1</f>
        <v>405</v>
      </c>
      <c r="B11" s="97" t="s">
        <v>115</v>
      </c>
      <c r="C11" s="94"/>
      <c r="D11" s="94"/>
      <c r="E11" s="94"/>
      <c r="F11" s="93">
        <f>E11-C11</f>
        <v>0</v>
      </c>
      <c r="G11" s="109">
        <f>'Blad10 parameterwaarden'!J77</f>
        <v>235</v>
      </c>
      <c r="H11" s="109">
        <f>'Blad10 parameterwaarden'!L77</f>
        <v>237.16</v>
      </c>
      <c r="I11" s="93">
        <f>ROUND((C11-D11)*G11,0)</f>
        <v>0</v>
      </c>
      <c r="J11" s="93">
        <f>ROUND(F11*H11,0)</f>
        <v>0</v>
      </c>
      <c r="K11" s="36"/>
    </row>
    <row r="12" spans="1:11" ht="15" customHeight="1">
      <c r="A12" s="179"/>
      <c r="B12" s="36"/>
      <c r="C12" s="24"/>
      <c r="D12" s="24"/>
      <c r="E12" s="24"/>
      <c r="F12" s="98"/>
      <c r="G12" s="106"/>
      <c r="H12" s="107"/>
      <c r="I12" s="98"/>
      <c r="J12" s="98"/>
      <c r="K12" s="36"/>
    </row>
    <row r="13" spans="1:11" ht="15" customHeight="1">
      <c r="A13" s="179"/>
      <c r="B13" s="34" t="s">
        <v>111</v>
      </c>
      <c r="C13" s="24"/>
      <c r="D13" s="24"/>
      <c r="E13" s="25"/>
      <c r="F13" s="98"/>
      <c r="G13" s="106"/>
      <c r="H13" s="107"/>
      <c r="I13" s="98"/>
      <c r="J13" s="98"/>
      <c r="K13" s="36"/>
    </row>
    <row r="14" spans="1:11" ht="15" customHeight="1">
      <c r="A14" s="176">
        <f>A11+1</f>
        <v>406</v>
      </c>
      <c r="B14" s="97" t="s">
        <v>116</v>
      </c>
      <c r="C14" s="94"/>
      <c r="D14" s="94"/>
      <c r="E14" s="94"/>
      <c r="F14" s="93">
        <f>E14-C14</f>
        <v>0</v>
      </c>
      <c r="G14" s="109">
        <f>'Blad10 parameterwaarden'!J78</f>
        <v>6319</v>
      </c>
      <c r="H14" s="109">
        <f>'Blad10 parameterwaarden'!L78</f>
        <v>6377.13</v>
      </c>
      <c r="I14" s="93">
        <f>ROUND((C14-D14)*G14,0)</f>
        <v>0</v>
      </c>
      <c r="J14" s="93">
        <f>ROUND(F14*H14,0)</f>
        <v>0</v>
      </c>
      <c r="K14" s="36"/>
    </row>
    <row r="15" spans="1:11" ht="15" customHeight="1">
      <c r="A15" s="176">
        <f>A14+1</f>
        <v>407</v>
      </c>
      <c r="B15" s="97" t="s">
        <v>117</v>
      </c>
      <c r="C15" s="94"/>
      <c r="D15" s="94"/>
      <c r="E15" s="94"/>
      <c r="F15" s="93">
        <f>E15-C15</f>
        <v>0</v>
      </c>
      <c r="G15" s="109">
        <f>'Blad10 parameterwaarden'!J79</f>
        <v>4337</v>
      </c>
      <c r="H15" s="109">
        <f>'Blad10 parameterwaarden'!L79</f>
        <v>4376.9</v>
      </c>
      <c r="I15" s="93">
        <f>ROUND((C15-D15)*G15,0)</f>
        <v>0</v>
      </c>
      <c r="J15" s="93">
        <f>ROUND(F15*H15,0)</f>
        <v>0</v>
      </c>
      <c r="K15" s="36"/>
    </row>
    <row r="16" spans="1:11" ht="15" customHeight="1">
      <c r="A16" s="176">
        <f>A15+1</f>
        <v>408</v>
      </c>
      <c r="B16" s="97" t="s">
        <v>118</v>
      </c>
      <c r="C16" s="94"/>
      <c r="D16" s="94"/>
      <c r="E16" s="94"/>
      <c r="F16" s="93">
        <f>E16-C16</f>
        <v>0</v>
      </c>
      <c r="G16" s="109">
        <f>'Blad10 parameterwaarden'!J80</f>
        <v>2323</v>
      </c>
      <c r="H16" s="109">
        <f>'Blad10 parameterwaarden'!L80</f>
        <v>2344.37</v>
      </c>
      <c r="I16" s="93">
        <f>ROUND((C16-D16)*G16,0)</f>
        <v>0</v>
      </c>
      <c r="J16" s="93">
        <f>ROUND(F16*H16,0)</f>
        <v>0</v>
      </c>
      <c r="K16" s="36"/>
    </row>
    <row r="17" spans="1:11" ht="15" customHeight="1">
      <c r="A17" s="180"/>
      <c r="B17" s="36"/>
      <c r="C17" s="32"/>
      <c r="D17" s="32"/>
      <c r="E17" s="32"/>
      <c r="F17" s="99"/>
      <c r="G17" s="32"/>
      <c r="H17" s="36"/>
      <c r="I17" s="98"/>
      <c r="J17" s="98"/>
      <c r="K17" s="36"/>
    </row>
    <row r="18" spans="1:11" ht="15" customHeight="1">
      <c r="A18" s="176">
        <f>A16+1</f>
        <v>409</v>
      </c>
      <c r="B18" s="100" t="s">
        <v>21</v>
      </c>
      <c r="C18" s="32"/>
      <c r="D18" s="32"/>
      <c r="E18" s="32"/>
      <c r="F18" s="99"/>
      <c r="G18" s="32"/>
      <c r="H18" s="36"/>
      <c r="I18" s="93">
        <f>SUM(I7:I11)+SUM(I14:I16)</f>
        <v>0</v>
      </c>
      <c r="J18" s="93">
        <f>SUM(J7:J11)+SUM(J14:J16)</f>
        <v>0</v>
      </c>
      <c r="K18" s="36"/>
    </row>
    <row r="19" spans="1:11" ht="15" customHeight="1">
      <c r="A19" s="180"/>
      <c r="B19" s="36"/>
      <c r="C19" s="32"/>
      <c r="D19" s="32"/>
      <c r="E19" s="32"/>
      <c r="F19" s="99"/>
      <c r="G19" s="32"/>
      <c r="H19" s="36"/>
      <c r="I19" s="36"/>
      <c r="J19" s="36"/>
      <c r="K19" s="36"/>
    </row>
    <row r="20" spans="1:11" ht="15" customHeight="1">
      <c r="A20" s="180"/>
      <c r="B20" s="36"/>
      <c r="C20" s="32"/>
      <c r="D20" s="32"/>
      <c r="E20" s="32"/>
      <c r="F20" s="99"/>
      <c r="G20" s="32"/>
      <c r="H20" s="36"/>
      <c r="I20" s="36"/>
      <c r="J20" s="36"/>
      <c r="K20" s="36"/>
    </row>
    <row r="21" spans="1:11" ht="15" customHeight="1">
      <c r="A21" s="180"/>
      <c r="B21" s="34" t="str">
        <f>CONCATENATE(" * Ten opzichte van het budget in de huidige rekenstaat ",Voorblad!B3,".")</f>
        <v> * Ten opzichte van het budget in de huidige rekenstaat 2006.</v>
      </c>
      <c r="C21" s="32"/>
      <c r="D21" s="32"/>
      <c r="E21" s="32"/>
      <c r="F21" s="99"/>
      <c r="G21" s="32"/>
      <c r="H21" s="36"/>
      <c r="I21" s="13"/>
      <c r="J21" s="13"/>
      <c r="K21" s="36"/>
    </row>
    <row r="22" spans="1:11" ht="15" customHeight="1">
      <c r="A22" s="180"/>
      <c r="B22" s="36"/>
      <c r="C22" s="32"/>
      <c r="D22" s="32"/>
      <c r="E22" s="32"/>
      <c r="F22" s="99"/>
      <c r="G22" s="32"/>
      <c r="H22" s="36"/>
      <c r="I22" s="13"/>
      <c r="J22" s="13"/>
      <c r="K22" s="36"/>
    </row>
    <row r="23" spans="1:11" ht="15" customHeight="1">
      <c r="A23" s="180"/>
      <c r="B23" s="101" t="s">
        <v>129</v>
      </c>
      <c r="C23" s="32"/>
      <c r="D23" s="32"/>
      <c r="E23" s="32"/>
      <c r="F23" s="99"/>
      <c r="G23" s="32"/>
      <c r="H23" s="36"/>
      <c r="I23" s="102"/>
      <c r="J23" s="102"/>
      <c r="K23" s="36"/>
    </row>
    <row r="24" spans="1:11" ht="15" customHeight="1">
      <c r="A24" s="180"/>
      <c r="B24" s="36"/>
      <c r="C24" s="32"/>
      <c r="D24" s="32"/>
      <c r="E24" s="32"/>
      <c r="F24" s="99"/>
      <c r="G24" s="32"/>
      <c r="H24" s="36"/>
      <c r="I24" s="36"/>
      <c r="J24" s="36"/>
      <c r="K24" s="36"/>
    </row>
    <row r="25" spans="1:11" ht="15" customHeight="1">
      <c r="A25" s="180"/>
      <c r="B25" s="36" t="s">
        <v>131</v>
      </c>
      <c r="C25" s="32"/>
      <c r="D25" s="32"/>
      <c r="E25" s="32"/>
      <c r="F25" s="99"/>
      <c r="G25" s="32"/>
      <c r="H25" s="36"/>
      <c r="I25" s="36"/>
      <c r="J25" s="36"/>
      <c r="K25" s="36"/>
    </row>
    <row r="26" spans="1:11" ht="15" customHeight="1">
      <c r="A26" s="180"/>
      <c r="B26" s="36"/>
      <c r="C26" s="32"/>
      <c r="D26" s="32"/>
      <c r="E26" s="32"/>
      <c r="F26" s="99"/>
      <c r="G26" s="32"/>
      <c r="H26" s="36"/>
      <c r="I26" s="36"/>
      <c r="J26" s="36"/>
      <c r="K26" s="36"/>
    </row>
    <row r="27" spans="1:11" ht="15" customHeight="1">
      <c r="A27" s="176">
        <f>A18+1</f>
        <v>410</v>
      </c>
      <c r="B27" s="231" t="str">
        <f>CONCATENATE("Maximale aanvaardbare kosten volgens beleidsregel groei afschrijvingskosten ",Voorblad!B3-1," (A)")</f>
        <v>Maximale aanvaardbare kosten volgens beleidsregel groei afschrijvingskosten 2005 (A)</v>
      </c>
      <c r="C27" s="232"/>
      <c r="D27" s="232"/>
      <c r="E27" s="232"/>
      <c r="F27" s="233"/>
      <c r="G27" s="94"/>
      <c r="H27" s="36"/>
      <c r="I27" s="36"/>
      <c r="J27" s="36"/>
      <c r="K27" s="36"/>
    </row>
    <row r="28" spans="1:11" ht="15" customHeight="1">
      <c r="A28" s="180"/>
      <c r="B28" s="36"/>
      <c r="C28" s="32"/>
      <c r="D28" s="32"/>
      <c r="E28" s="32"/>
      <c r="F28" s="99"/>
      <c r="G28" s="104"/>
      <c r="H28" s="36"/>
      <c r="I28" s="36"/>
      <c r="J28" s="36"/>
      <c r="K28" s="36"/>
    </row>
    <row r="29" spans="1:11" ht="15" customHeight="1">
      <c r="A29" s="176">
        <f>A27+1</f>
        <v>411</v>
      </c>
      <c r="B29" s="231" t="str">
        <f>CONCATENATE("Wijziging ",Voorblad!B3," = 2,19% van A = ")</f>
        <v>Wijziging 2006 = 2,19% van A = </v>
      </c>
      <c r="C29" s="232"/>
      <c r="D29" s="232"/>
      <c r="E29" s="232"/>
      <c r="F29" s="233"/>
      <c r="G29" s="105">
        <f>ROUND(1.0219*G27,0)</f>
        <v>0</v>
      </c>
      <c r="H29" s="36"/>
      <c r="I29" s="36"/>
      <c r="J29" s="36"/>
      <c r="K29" s="36"/>
    </row>
    <row r="30" spans="1:11" ht="15" customHeight="1">
      <c r="A30" s="36"/>
      <c r="B30" s="36"/>
      <c r="C30" s="32"/>
      <c r="D30" s="32"/>
      <c r="E30" s="32"/>
      <c r="F30" s="99"/>
      <c r="G30" s="32"/>
      <c r="H30" s="36"/>
      <c r="I30" s="36"/>
      <c r="J30" s="36"/>
      <c r="K30" s="36"/>
    </row>
    <row r="31" ht="15" customHeight="1">
      <c r="F31" s="8"/>
    </row>
    <row r="32" ht="15" customHeight="1">
      <c r="F32" s="8"/>
    </row>
    <row r="33" ht="15" customHeight="1">
      <c r="F33" s="8"/>
    </row>
    <row r="34" ht="15" customHeight="1">
      <c r="F34" s="8"/>
    </row>
    <row r="35" ht="15" customHeight="1">
      <c r="F35" s="8"/>
    </row>
    <row r="36" ht="15" customHeight="1">
      <c r="F36" s="8"/>
    </row>
    <row r="37" ht="15" customHeight="1">
      <c r="F37" s="8"/>
    </row>
    <row r="38" ht="15" customHeight="1">
      <c r="F38" s="8"/>
    </row>
    <row r="39" ht="15" customHeight="1">
      <c r="F39" s="8"/>
    </row>
    <row r="40" ht="15" customHeight="1">
      <c r="F40" s="8"/>
    </row>
    <row r="41" ht="15" customHeight="1">
      <c r="F41" s="8"/>
    </row>
    <row r="42" ht="15" customHeight="1">
      <c r="F42" s="8"/>
    </row>
    <row r="43" ht="15" customHeight="1">
      <c r="F43" s="8"/>
    </row>
    <row r="44" ht="15" customHeight="1">
      <c r="F44" s="8"/>
    </row>
    <row r="45" ht="15" customHeight="1">
      <c r="F45" s="8"/>
    </row>
    <row r="46" ht="15" customHeight="1">
      <c r="F46" s="8"/>
    </row>
    <row r="47" ht="15" customHeight="1">
      <c r="F47" s="8"/>
    </row>
    <row r="48" ht="15" customHeight="1">
      <c r="F48" s="8"/>
    </row>
    <row r="49" ht="15" customHeight="1">
      <c r="F49" s="8"/>
    </row>
    <row r="50" ht="15" customHeight="1">
      <c r="F50" s="8"/>
    </row>
    <row r="51" ht="15" customHeight="1">
      <c r="F51" s="8"/>
    </row>
    <row r="52" ht="15" customHeight="1">
      <c r="F52" s="8"/>
    </row>
    <row r="53" ht="15" customHeight="1">
      <c r="F53" s="8"/>
    </row>
    <row r="54" ht="15" customHeight="1">
      <c r="F54" s="8"/>
    </row>
    <row r="55" ht="15" customHeight="1">
      <c r="F55" s="8"/>
    </row>
    <row r="56" ht="15" customHeight="1">
      <c r="F56" s="8"/>
    </row>
    <row r="57" ht="15" customHeight="1">
      <c r="F57" s="8"/>
    </row>
    <row r="58" ht="15" customHeight="1">
      <c r="F58" s="8"/>
    </row>
    <row r="59" ht="15" customHeight="1">
      <c r="F59" s="8"/>
    </row>
    <row r="60" ht="15" customHeight="1">
      <c r="F60" s="8"/>
    </row>
    <row r="61" ht="15" customHeight="1">
      <c r="F61" s="8"/>
    </row>
    <row r="62" ht="15" customHeight="1">
      <c r="F62" s="8"/>
    </row>
    <row r="63" ht="15" customHeight="1">
      <c r="F63" s="8"/>
    </row>
    <row r="64" ht="15" customHeight="1">
      <c r="F64" s="8"/>
    </row>
    <row r="65" ht="15" customHeight="1">
      <c r="F65" s="8"/>
    </row>
    <row r="66" ht="15" customHeight="1">
      <c r="F66" s="8"/>
    </row>
    <row r="67" ht="15" customHeight="1">
      <c r="F67" s="8"/>
    </row>
    <row r="68" ht="15" customHeight="1">
      <c r="F68" s="8"/>
    </row>
    <row r="69" ht="15" customHeight="1">
      <c r="F69" s="8"/>
    </row>
    <row r="70" ht="15" customHeight="1">
      <c r="F70" s="8"/>
    </row>
    <row r="71" ht="15" customHeight="1">
      <c r="F71" s="8"/>
    </row>
    <row r="72" ht="15" customHeight="1">
      <c r="F72" s="8"/>
    </row>
    <row r="73" ht="15" customHeight="1">
      <c r="F73" s="8"/>
    </row>
    <row r="74" ht="15" customHeight="1">
      <c r="F74" s="8"/>
    </row>
    <row r="75" ht="15" customHeight="1">
      <c r="F75" s="8"/>
    </row>
    <row r="76" ht="15" customHeight="1">
      <c r="F76" s="8"/>
    </row>
    <row r="77" ht="15" customHeight="1">
      <c r="F77" s="8"/>
    </row>
    <row r="78" ht="15" customHeight="1">
      <c r="F78" s="8"/>
    </row>
    <row r="79" ht="15" customHeight="1">
      <c r="F79" s="8"/>
    </row>
    <row r="80" ht="15" customHeight="1">
      <c r="F80" s="8"/>
    </row>
    <row r="81" ht="15" customHeight="1">
      <c r="F81" s="8"/>
    </row>
    <row r="82" ht="15" customHeight="1">
      <c r="F82" s="8"/>
    </row>
    <row r="83" ht="15" customHeight="1">
      <c r="F83" s="8"/>
    </row>
    <row r="84" ht="15" customHeight="1">
      <c r="F84" s="8"/>
    </row>
    <row r="85" ht="15" customHeight="1">
      <c r="F85" s="8"/>
    </row>
    <row r="86" ht="15" customHeight="1">
      <c r="F86" s="8"/>
    </row>
    <row r="87" ht="15" customHeight="1">
      <c r="F87" s="8"/>
    </row>
    <row r="88" ht="15" customHeight="1">
      <c r="F88" s="8"/>
    </row>
    <row r="89" ht="15" customHeight="1">
      <c r="F89" s="8"/>
    </row>
    <row r="90" ht="15" customHeight="1">
      <c r="F90" s="8"/>
    </row>
    <row r="91" ht="15" customHeight="1">
      <c r="F91" s="8"/>
    </row>
    <row r="92" ht="15" customHeight="1">
      <c r="F92" s="8"/>
    </row>
    <row r="93" ht="15" customHeight="1">
      <c r="F93" s="8"/>
    </row>
    <row r="94" ht="15" customHeight="1">
      <c r="F94" s="8"/>
    </row>
    <row r="95" ht="15" customHeight="1">
      <c r="F95" s="8"/>
    </row>
    <row r="96" ht="15" customHeight="1">
      <c r="F96" s="8"/>
    </row>
    <row r="97" ht="15" customHeight="1">
      <c r="F97" s="8"/>
    </row>
    <row r="98" ht="15" customHeight="1">
      <c r="F98" s="8"/>
    </row>
    <row r="99" ht="15" customHeight="1">
      <c r="F99" s="8"/>
    </row>
    <row r="100" ht="15" customHeight="1">
      <c r="F100" s="8"/>
    </row>
    <row r="101" ht="15" customHeight="1">
      <c r="F101" s="8"/>
    </row>
    <row r="102" ht="15" customHeight="1">
      <c r="F102" s="8"/>
    </row>
    <row r="103" ht="15" customHeight="1">
      <c r="F103" s="8"/>
    </row>
    <row r="104" ht="15" customHeight="1">
      <c r="F104" s="8"/>
    </row>
    <row r="105" ht="15" customHeight="1">
      <c r="F105" s="8"/>
    </row>
    <row r="106" ht="15" customHeight="1">
      <c r="F106" s="8"/>
    </row>
    <row r="107" ht="15" customHeight="1">
      <c r="F107" s="8"/>
    </row>
    <row r="108" ht="15" customHeight="1">
      <c r="F108" s="8"/>
    </row>
    <row r="109" ht="15" customHeight="1">
      <c r="F109" s="8"/>
    </row>
    <row r="110" ht="15" customHeight="1">
      <c r="F110" s="8"/>
    </row>
    <row r="111" ht="15" customHeight="1">
      <c r="F111" s="8"/>
    </row>
    <row r="112" ht="15" customHeight="1">
      <c r="F112" s="8"/>
    </row>
    <row r="113" ht="15" customHeight="1">
      <c r="F113" s="8"/>
    </row>
    <row r="114" ht="15" customHeight="1">
      <c r="F114" s="8"/>
    </row>
    <row r="115" ht="15" customHeight="1">
      <c r="F115" s="8"/>
    </row>
    <row r="116" ht="15" customHeight="1">
      <c r="F116" s="8"/>
    </row>
    <row r="117" ht="15" customHeight="1">
      <c r="F117" s="8"/>
    </row>
    <row r="118" ht="15" customHeight="1">
      <c r="F118" s="8"/>
    </row>
    <row r="119" ht="15" customHeight="1">
      <c r="F119" s="8"/>
    </row>
    <row r="120" ht="15" customHeight="1">
      <c r="F120" s="8"/>
    </row>
    <row r="121" ht="15" customHeight="1">
      <c r="F121" s="8"/>
    </row>
    <row r="122" ht="15" customHeight="1">
      <c r="F122" s="8"/>
    </row>
    <row r="123" ht="15" customHeight="1">
      <c r="F123" s="8"/>
    </row>
    <row r="124" ht="15" customHeight="1">
      <c r="F124" s="8"/>
    </row>
    <row r="125" ht="15" customHeight="1">
      <c r="F125" s="8"/>
    </row>
    <row r="126" ht="15" customHeight="1">
      <c r="F126" s="8"/>
    </row>
    <row r="127" ht="15" customHeight="1">
      <c r="F127" s="8"/>
    </row>
    <row r="128" ht="15" customHeight="1">
      <c r="F128" s="8"/>
    </row>
    <row r="129" ht="15" customHeight="1">
      <c r="F129" s="8"/>
    </row>
    <row r="130" ht="15" customHeight="1">
      <c r="F130" s="8"/>
    </row>
    <row r="131" ht="15" customHeight="1">
      <c r="F131" s="8"/>
    </row>
    <row r="132" ht="15" customHeight="1">
      <c r="F132" s="8"/>
    </row>
    <row r="133" ht="15" customHeight="1">
      <c r="F133" s="8"/>
    </row>
    <row r="134" ht="15" customHeight="1">
      <c r="F134" s="8"/>
    </row>
    <row r="135" ht="15" customHeight="1">
      <c r="F135" s="8"/>
    </row>
    <row r="136" ht="15" customHeight="1">
      <c r="F136" s="8"/>
    </row>
    <row r="137" ht="15" customHeight="1">
      <c r="F137" s="8"/>
    </row>
    <row r="138" ht="15" customHeight="1">
      <c r="F138" s="8"/>
    </row>
    <row r="139" ht="15" customHeight="1">
      <c r="F139" s="8"/>
    </row>
    <row r="140" ht="15" customHeight="1">
      <c r="F140" s="8"/>
    </row>
    <row r="141" ht="15" customHeight="1">
      <c r="F141" s="8"/>
    </row>
    <row r="142" ht="15" customHeight="1">
      <c r="F142" s="8"/>
    </row>
    <row r="143" ht="15" customHeight="1">
      <c r="F143" s="8"/>
    </row>
    <row r="144" ht="15" customHeight="1">
      <c r="F144" s="8"/>
    </row>
    <row r="145" ht="15" customHeight="1">
      <c r="F145" s="8"/>
    </row>
    <row r="146" ht="15" customHeight="1">
      <c r="F146" s="8"/>
    </row>
    <row r="147" ht="15" customHeight="1">
      <c r="F147" s="8"/>
    </row>
    <row r="148" ht="15" customHeight="1">
      <c r="F148" s="8"/>
    </row>
    <row r="149" ht="15" customHeight="1">
      <c r="F149" s="8"/>
    </row>
    <row r="150" ht="15" customHeight="1">
      <c r="F150" s="8"/>
    </row>
    <row r="151" ht="15" customHeight="1">
      <c r="F151" s="8"/>
    </row>
    <row r="152" ht="15" customHeight="1">
      <c r="F152" s="8"/>
    </row>
    <row r="153" ht="15" customHeight="1">
      <c r="F153" s="8"/>
    </row>
    <row r="154" ht="15" customHeight="1">
      <c r="F154" s="8"/>
    </row>
    <row r="155" ht="15" customHeight="1">
      <c r="F155" s="8"/>
    </row>
    <row r="156" ht="15" customHeight="1">
      <c r="F156" s="8"/>
    </row>
    <row r="157" ht="15" customHeight="1">
      <c r="F157" s="8"/>
    </row>
    <row r="158" ht="15" customHeight="1">
      <c r="F158" s="8"/>
    </row>
    <row r="159" ht="15" customHeight="1">
      <c r="F159" s="8"/>
    </row>
    <row r="160" ht="15" customHeight="1">
      <c r="F160" s="8"/>
    </row>
    <row r="161" ht="15" customHeight="1">
      <c r="F161" s="8"/>
    </row>
    <row r="162" ht="15" customHeight="1">
      <c r="F162" s="8"/>
    </row>
    <row r="163" ht="15" customHeight="1">
      <c r="F163" s="8"/>
    </row>
    <row r="164" ht="15" customHeight="1">
      <c r="F164" s="8"/>
    </row>
    <row r="165" ht="15" customHeight="1">
      <c r="F165" s="8"/>
    </row>
    <row r="166" ht="15" customHeight="1">
      <c r="F166" s="8"/>
    </row>
    <row r="167" ht="15" customHeight="1">
      <c r="F167" s="8"/>
    </row>
    <row r="168" ht="15" customHeight="1">
      <c r="F168" s="8"/>
    </row>
    <row r="169" ht="15" customHeight="1">
      <c r="F169" s="8"/>
    </row>
    <row r="170" ht="15" customHeight="1">
      <c r="F170" s="8"/>
    </row>
    <row r="171" ht="15" customHeight="1">
      <c r="F171" s="8"/>
    </row>
    <row r="172" ht="15" customHeight="1">
      <c r="F172" s="8"/>
    </row>
    <row r="173" ht="15" customHeight="1">
      <c r="F173" s="8"/>
    </row>
    <row r="174" ht="15" customHeight="1">
      <c r="F174" s="8"/>
    </row>
    <row r="175" ht="15" customHeight="1">
      <c r="F175" s="8"/>
    </row>
    <row r="176" ht="15" customHeight="1">
      <c r="F176" s="8"/>
    </row>
    <row r="177" ht="15" customHeight="1">
      <c r="F177" s="8"/>
    </row>
    <row r="178" ht="15" customHeight="1">
      <c r="F178" s="8"/>
    </row>
    <row r="179" ht="15" customHeight="1">
      <c r="F179" s="8"/>
    </row>
    <row r="180" ht="15" customHeight="1">
      <c r="F180" s="8"/>
    </row>
    <row r="181" ht="15" customHeight="1">
      <c r="F181" s="8"/>
    </row>
    <row r="182" ht="15" customHeight="1">
      <c r="F182" s="8"/>
    </row>
    <row r="183" ht="15" customHeight="1">
      <c r="F183" s="8"/>
    </row>
    <row r="184" ht="15" customHeight="1">
      <c r="F184" s="8"/>
    </row>
    <row r="185" ht="15" customHeight="1">
      <c r="F185" s="8"/>
    </row>
    <row r="186" ht="15" customHeight="1">
      <c r="F186" s="8"/>
    </row>
    <row r="187" ht="15" customHeight="1">
      <c r="F187" s="8"/>
    </row>
    <row r="188" ht="15" customHeight="1">
      <c r="F188" s="8"/>
    </row>
    <row r="189" ht="15" customHeight="1">
      <c r="F189" s="8"/>
    </row>
    <row r="190" ht="15" customHeight="1">
      <c r="F190" s="8"/>
    </row>
  </sheetData>
  <sheetProtection password="CCBC" sheet="1" objects="1" scenarios="1"/>
  <mergeCells count="4">
    <mergeCell ref="G4:H4"/>
    <mergeCell ref="D4:F4"/>
    <mergeCell ref="B27:F27"/>
    <mergeCell ref="B29:F29"/>
  </mergeCells>
  <conditionalFormatting sqref="C7:E11 C14:E16 G27">
    <cfRule type="expression" priority="1" dxfId="0" stopIfTrue="1">
      <formula>$A$2=TRUE</formula>
    </cfRule>
  </conditionalFormatting>
  <printOptions/>
  <pageMargins left="0.75" right="0.75" top="1" bottom="1" header="0.5" footer="0.5"/>
  <pageSetup horizontalDpi="1200" verticalDpi="1200" orientation="landscape" paperSize="9" scale="96" r:id="rId1"/>
  <headerFooter alignWithMargins="0">
    <oddFooter>&amp;Rblad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showGridLines="0" showRowColHeaders="0" showZeros="0" showOutlineSymbols="0" view="pageBreakPreview" zoomScale="75" zoomScaleNormal="75" zoomScaleSheetLayoutView="75" workbookViewId="0" topLeftCell="A1">
      <selection activeCell="C8" sqref="C8"/>
    </sheetView>
  </sheetViews>
  <sheetFormatPr defaultColWidth="9.140625" defaultRowHeight="15" customHeight="1"/>
  <cols>
    <col min="1" max="1" width="9.140625" style="2" customWidth="1"/>
    <col min="2" max="2" width="34.00390625" style="2" customWidth="1"/>
    <col min="3" max="3" width="10.00390625" style="5" customWidth="1"/>
    <col min="4" max="4" width="10.57421875" style="5" customWidth="1"/>
    <col min="5" max="5" width="10.28125" style="5" customWidth="1"/>
    <col min="6" max="6" width="10.140625" style="5" customWidth="1"/>
    <col min="7" max="7" width="9.7109375" style="5" customWidth="1"/>
    <col min="8" max="8" width="10.8515625" style="2" customWidth="1"/>
    <col min="9" max="9" width="9.57421875" style="2" customWidth="1"/>
    <col min="10" max="10" width="9.7109375" style="2" bestFit="1" customWidth="1"/>
    <col min="11" max="11" width="13.00390625" style="2" customWidth="1"/>
    <col min="12" max="12" width="12.7109375" style="2" customWidth="1"/>
    <col min="13" max="13" width="11.8515625" style="2" customWidth="1"/>
    <col min="14" max="14" width="12.140625" style="2" customWidth="1"/>
    <col min="15" max="16384" width="9.140625" style="2" customWidth="1"/>
  </cols>
  <sheetData>
    <row r="1" ht="15" customHeight="1">
      <c r="B1" s="3" t="str">
        <f>CONCATENATE("Productieaantallen ",Voorblad!B3-1," / ",Voorblad!B3," radiotherapeutische centra")</f>
        <v>Productieaantallen 2005 / 2006 radiotherapeutische centra</v>
      </c>
    </row>
    <row r="2" spans="1:2" ht="15" customHeight="1">
      <c r="A2" s="75" t="b">
        <f>Voorblad!A24</f>
        <v>1</v>
      </c>
      <c r="B2" s="3"/>
    </row>
    <row r="3" spans="2:17" ht="15" customHeight="1">
      <c r="B3" s="3"/>
      <c r="P3" s="111"/>
      <c r="Q3" s="111"/>
    </row>
    <row r="4" spans="3:19" ht="15" customHeight="1">
      <c r="C4" s="77" t="s">
        <v>40</v>
      </c>
      <c r="D4" s="241" t="s">
        <v>41</v>
      </c>
      <c r="E4" s="242"/>
      <c r="F4" s="242"/>
      <c r="G4" s="241" t="s">
        <v>43</v>
      </c>
      <c r="H4" s="254"/>
      <c r="I4" s="254"/>
      <c r="J4" s="255"/>
      <c r="K4" s="252" t="s">
        <v>10</v>
      </c>
      <c r="L4" s="246"/>
      <c r="M4" s="252" t="s">
        <v>176</v>
      </c>
      <c r="N4" s="246"/>
      <c r="P4" s="17" t="str">
        <f>CONCATENATE("index ",Voorblad!B3-1)</f>
        <v>index 2005</v>
      </c>
      <c r="Q4" s="18"/>
      <c r="R4" s="17" t="str">
        <f>CONCATENATE("index ",Voorblad!B3)</f>
        <v>index 2006</v>
      </c>
      <c r="S4" s="18"/>
    </row>
    <row r="5" spans="3:19" ht="15" customHeight="1">
      <c r="C5" s="79">
        <f>'Blad 4 Epilepsie (040)'!C5</f>
        <v>2005</v>
      </c>
      <c r="D5" s="80">
        <f>C5</f>
        <v>2005</v>
      </c>
      <c r="E5" s="80">
        <f>D5+1</f>
        <v>2006</v>
      </c>
      <c r="F5" s="78" t="s">
        <v>29</v>
      </c>
      <c r="G5" s="247">
        <f>C5</f>
        <v>2005</v>
      </c>
      <c r="H5" s="229"/>
      <c r="I5" s="247">
        <f>E5</f>
        <v>2006</v>
      </c>
      <c r="J5" s="229"/>
      <c r="K5" s="253">
        <f>G5</f>
        <v>2005</v>
      </c>
      <c r="L5" s="228"/>
      <c r="M5" s="253">
        <f>I5</f>
        <v>2006</v>
      </c>
      <c r="N5" s="228"/>
      <c r="P5" s="19" t="s">
        <v>9</v>
      </c>
      <c r="Q5" s="20" t="s">
        <v>20</v>
      </c>
      <c r="R5" s="19" t="s">
        <v>9</v>
      </c>
      <c r="S5" s="20" t="s">
        <v>20</v>
      </c>
    </row>
    <row r="6" spans="3:19" ht="15" customHeight="1">
      <c r="C6" s="85"/>
      <c r="D6" s="85"/>
      <c r="E6" s="86"/>
      <c r="F6" s="87"/>
      <c r="G6" s="110" t="s">
        <v>9</v>
      </c>
      <c r="H6" s="92" t="s">
        <v>20</v>
      </c>
      <c r="I6" s="110" t="s">
        <v>9</v>
      </c>
      <c r="J6" s="92" t="s">
        <v>20</v>
      </c>
      <c r="K6" s="89" t="s">
        <v>9</v>
      </c>
      <c r="L6" s="88" t="s">
        <v>20</v>
      </c>
      <c r="M6" s="89" t="s">
        <v>9</v>
      </c>
      <c r="N6" s="88" t="s">
        <v>20</v>
      </c>
      <c r="P6" s="35">
        <v>1.0092</v>
      </c>
      <c r="Q6" s="33">
        <v>1.0142</v>
      </c>
      <c r="R6" s="35">
        <v>1.0033</v>
      </c>
      <c r="S6" s="33">
        <v>1.01</v>
      </c>
    </row>
    <row r="7" spans="2:14" ht="15" customHeight="1">
      <c r="B7" s="36"/>
      <c r="C7" s="95"/>
      <c r="D7" s="95"/>
      <c r="E7" s="96"/>
      <c r="F7" s="36"/>
      <c r="G7" s="95"/>
      <c r="H7" s="36"/>
      <c r="I7" s="36"/>
      <c r="J7" s="36"/>
      <c r="K7" s="36"/>
      <c r="L7" s="36"/>
      <c r="M7" s="36"/>
      <c r="N7" s="36"/>
    </row>
    <row r="8" spans="1:14" ht="15" customHeight="1">
      <c r="A8" s="176">
        <v>501</v>
      </c>
      <c r="B8" s="97" t="s">
        <v>167</v>
      </c>
      <c r="C8" s="94"/>
      <c r="D8" s="94"/>
      <c r="E8" s="94"/>
      <c r="F8" s="93">
        <f aca="true" t="shared" si="0" ref="F8:F16">E8-D8</f>
        <v>0</v>
      </c>
      <c r="G8" s="109">
        <f>'Blad10 parameterwaarden'!C64</f>
        <v>323.96</v>
      </c>
      <c r="H8" s="109">
        <f>'Blad10 parameterwaarden'!D64</f>
        <v>53.87</v>
      </c>
      <c r="I8" s="109">
        <f>'Blad10 parameterwaarden'!E64</f>
        <v>326.94</v>
      </c>
      <c r="J8" s="109">
        <f>'Blad10 parameterwaarden'!F64</f>
        <v>54.63</v>
      </c>
      <c r="K8" s="93">
        <f>ROUND((C8-D8)*ROUND(G8*$P$6,2),0)</f>
        <v>0</v>
      </c>
      <c r="L8" s="93">
        <f>ROUND((C8-D8)*ROUND(H8*$Q$6,2),0)</f>
        <v>0</v>
      </c>
      <c r="M8" s="93">
        <f>ROUND(F8*ROUND(I8*$R$6,2),0)</f>
        <v>0</v>
      </c>
      <c r="N8" s="93">
        <f>ROUND(F8*ROUND(J8*$S$6,2),0)</f>
        <v>0</v>
      </c>
    </row>
    <row r="9" spans="1:14" ht="15" customHeight="1">
      <c r="A9" s="176">
        <f>A8+1</f>
        <v>502</v>
      </c>
      <c r="B9" s="97" t="s">
        <v>168</v>
      </c>
      <c r="C9" s="94"/>
      <c r="D9" s="94"/>
      <c r="E9" s="94"/>
      <c r="F9" s="93">
        <f t="shared" si="0"/>
        <v>0</v>
      </c>
      <c r="G9" s="109">
        <f>'Blad10 parameterwaarden'!C65</f>
        <v>1037.72</v>
      </c>
      <c r="H9" s="109">
        <f>'Blad10 parameterwaarden'!D65</f>
        <v>171.34</v>
      </c>
      <c r="I9" s="109">
        <f>'Blad10 parameterwaarden'!E65</f>
        <v>1047.27</v>
      </c>
      <c r="J9" s="109">
        <f>'Blad10 parameterwaarden'!F65</f>
        <v>173.78</v>
      </c>
      <c r="K9" s="93">
        <f aca="true" t="shared" si="1" ref="K9:K16">ROUND((C9-D9)*ROUND(G9*$P$6,2),0)</f>
        <v>0</v>
      </c>
      <c r="L9" s="93">
        <f aca="true" t="shared" si="2" ref="L9:L16">ROUND((C9-D9)*ROUND(H9*$Q$6,2),0)</f>
        <v>0</v>
      </c>
      <c r="M9" s="93">
        <f aca="true" t="shared" si="3" ref="M9:M16">ROUND(F9*ROUND(I9*$R$6,2),0)</f>
        <v>0</v>
      </c>
      <c r="N9" s="93">
        <f aca="true" t="shared" si="4" ref="N9:N16">ROUND(F9*ROUND(J9*$S$6,2),0)</f>
        <v>0</v>
      </c>
    </row>
    <row r="10" spans="1:14" ht="15" customHeight="1">
      <c r="A10" s="176">
        <f aca="true" t="shared" si="5" ref="A10:A16">A9+1</f>
        <v>503</v>
      </c>
      <c r="B10" s="97" t="s">
        <v>169</v>
      </c>
      <c r="C10" s="94"/>
      <c r="D10" s="94"/>
      <c r="E10" s="94"/>
      <c r="F10" s="93">
        <f t="shared" si="0"/>
        <v>0</v>
      </c>
      <c r="G10" s="109">
        <f>'Blad10 parameterwaarden'!C66</f>
        <v>1777.93</v>
      </c>
      <c r="H10" s="109">
        <f>'Blad10 parameterwaarden'!D66</f>
        <v>293.45</v>
      </c>
      <c r="I10" s="109">
        <f>'Blad10 parameterwaarden'!E66</f>
        <v>1794.29</v>
      </c>
      <c r="J10" s="109">
        <f>'Blad10 parameterwaarden'!F66</f>
        <v>297.62</v>
      </c>
      <c r="K10" s="93">
        <f t="shared" si="1"/>
        <v>0</v>
      </c>
      <c r="L10" s="93">
        <f t="shared" si="2"/>
        <v>0</v>
      </c>
      <c r="M10" s="93">
        <f t="shared" si="3"/>
        <v>0</v>
      </c>
      <c r="N10" s="93">
        <f t="shared" si="4"/>
        <v>0</v>
      </c>
    </row>
    <row r="11" spans="1:14" ht="15" customHeight="1">
      <c r="A11" s="176">
        <f t="shared" si="5"/>
        <v>504</v>
      </c>
      <c r="B11" s="97" t="s">
        <v>170</v>
      </c>
      <c r="C11" s="94"/>
      <c r="D11" s="94"/>
      <c r="E11" s="94"/>
      <c r="F11" s="93">
        <f t="shared" si="0"/>
        <v>0</v>
      </c>
      <c r="G11" s="109">
        <f>'Blad10 parameterwaarden'!C67</f>
        <v>2986.75</v>
      </c>
      <c r="H11" s="109">
        <f>'Blad10 parameterwaarden'!D67</f>
        <v>492.51</v>
      </c>
      <c r="I11" s="109">
        <f>'Blad10 parameterwaarden'!E67</f>
        <v>3014.23</v>
      </c>
      <c r="J11" s="109">
        <f>'Blad10 parameterwaarden'!F67</f>
        <v>499.5</v>
      </c>
      <c r="K11" s="93">
        <f t="shared" si="1"/>
        <v>0</v>
      </c>
      <c r="L11" s="93">
        <f t="shared" si="2"/>
        <v>0</v>
      </c>
      <c r="M11" s="93">
        <f t="shared" si="3"/>
        <v>0</v>
      </c>
      <c r="N11" s="93">
        <f t="shared" si="4"/>
        <v>0</v>
      </c>
    </row>
    <row r="12" spans="1:14" ht="15" customHeight="1">
      <c r="A12" s="176">
        <f t="shared" si="5"/>
        <v>505</v>
      </c>
      <c r="B12" s="97" t="s">
        <v>171</v>
      </c>
      <c r="C12" s="94"/>
      <c r="D12" s="94"/>
      <c r="E12" s="94"/>
      <c r="F12" s="93">
        <f t="shared" si="0"/>
        <v>0</v>
      </c>
      <c r="G12" s="109">
        <f>'Blad10 parameterwaarden'!C68</f>
        <v>157.56</v>
      </c>
      <c r="H12" s="109">
        <f>'Blad10 parameterwaarden'!D68</f>
        <v>26.16</v>
      </c>
      <c r="I12" s="109">
        <f>'Blad10 parameterwaarden'!E68</f>
        <v>159.02</v>
      </c>
      <c r="J12" s="109">
        <f>'Blad10 parameterwaarden'!F68</f>
        <v>26.53</v>
      </c>
      <c r="K12" s="93">
        <f t="shared" si="1"/>
        <v>0</v>
      </c>
      <c r="L12" s="93">
        <f t="shared" si="2"/>
        <v>0</v>
      </c>
      <c r="M12" s="93">
        <f t="shared" si="3"/>
        <v>0</v>
      </c>
      <c r="N12" s="93">
        <f t="shared" si="4"/>
        <v>0</v>
      </c>
    </row>
    <row r="13" spans="1:14" ht="15" customHeight="1">
      <c r="A13" s="176">
        <f t="shared" si="5"/>
        <v>506</v>
      </c>
      <c r="B13" s="97" t="s">
        <v>172</v>
      </c>
      <c r="C13" s="94"/>
      <c r="D13" s="94"/>
      <c r="E13" s="94"/>
      <c r="F13" s="93">
        <f t="shared" si="0"/>
        <v>0</v>
      </c>
      <c r="G13" s="109">
        <f>'Blad10 parameterwaarden'!C69</f>
        <v>269.45</v>
      </c>
      <c r="H13" s="109">
        <f>'Blad10 parameterwaarden'!D69</f>
        <v>39.51</v>
      </c>
      <c r="I13" s="109">
        <f>'Blad10 parameterwaarden'!E69</f>
        <v>271.93</v>
      </c>
      <c r="J13" s="109">
        <f>'Blad10 parameterwaarden'!F69</f>
        <v>40.07</v>
      </c>
      <c r="K13" s="93">
        <f t="shared" si="1"/>
        <v>0</v>
      </c>
      <c r="L13" s="93">
        <f t="shared" si="2"/>
        <v>0</v>
      </c>
      <c r="M13" s="93">
        <f t="shared" si="3"/>
        <v>0</v>
      </c>
      <c r="N13" s="93">
        <f t="shared" si="4"/>
        <v>0</v>
      </c>
    </row>
    <row r="14" spans="1:14" ht="15" customHeight="1">
      <c r="A14" s="176">
        <f t="shared" si="5"/>
        <v>507</v>
      </c>
      <c r="B14" s="97" t="s">
        <v>173</v>
      </c>
      <c r="C14" s="94"/>
      <c r="D14" s="94"/>
      <c r="E14" s="94"/>
      <c r="F14" s="93">
        <f t="shared" si="0"/>
        <v>0</v>
      </c>
      <c r="G14" s="109">
        <f>'Blad10 parameterwaarden'!C70</f>
        <v>548.55</v>
      </c>
      <c r="H14" s="109">
        <f>'Blad10 parameterwaarden'!D70</f>
        <v>90.29</v>
      </c>
      <c r="I14" s="109">
        <f>'Blad10 parameterwaarden'!E70</f>
        <v>553.59</v>
      </c>
      <c r="J14" s="109">
        <f>'Blad10 parameterwaarden'!F70</f>
        <v>91.57</v>
      </c>
      <c r="K14" s="93">
        <f t="shared" si="1"/>
        <v>0</v>
      </c>
      <c r="L14" s="93">
        <f t="shared" si="2"/>
        <v>0</v>
      </c>
      <c r="M14" s="93">
        <f t="shared" si="3"/>
        <v>0</v>
      </c>
      <c r="N14" s="93">
        <f t="shared" si="4"/>
        <v>0</v>
      </c>
    </row>
    <row r="15" spans="1:14" ht="15" customHeight="1">
      <c r="A15" s="176">
        <f t="shared" si="5"/>
        <v>508</v>
      </c>
      <c r="B15" s="97" t="s">
        <v>174</v>
      </c>
      <c r="C15" s="94"/>
      <c r="D15" s="94"/>
      <c r="E15" s="94"/>
      <c r="F15" s="93">
        <f t="shared" si="0"/>
        <v>0</v>
      </c>
      <c r="G15" s="109">
        <f>'Blad10 parameterwaarden'!J7</f>
        <v>1941</v>
      </c>
      <c r="H15" s="109">
        <f>'Blad10 parameterwaarden'!K7</f>
        <v>320.65</v>
      </c>
      <c r="I15" s="109">
        <f>'Blad10 parameterwaarden'!L7</f>
        <v>1959.24</v>
      </c>
      <c r="J15" s="109">
        <f>'Blad10 parameterwaarden'!M7</f>
        <v>325.2</v>
      </c>
      <c r="K15" s="93">
        <f t="shared" si="1"/>
        <v>0</v>
      </c>
      <c r="L15" s="93">
        <f t="shared" si="2"/>
        <v>0</v>
      </c>
      <c r="M15" s="93">
        <f t="shared" si="3"/>
        <v>0</v>
      </c>
      <c r="N15" s="93">
        <f t="shared" si="4"/>
        <v>0</v>
      </c>
    </row>
    <row r="16" spans="1:14" ht="15" customHeight="1">
      <c r="A16" s="176">
        <f t="shared" si="5"/>
        <v>509</v>
      </c>
      <c r="B16" s="97" t="s">
        <v>175</v>
      </c>
      <c r="C16" s="94"/>
      <c r="D16" s="94"/>
      <c r="E16" s="94"/>
      <c r="F16" s="93">
        <f t="shared" si="0"/>
        <v>0</v>
      </c>
      <c r="G16" s="109">
        <f>'Blad10 parameterwaarden'!J8</f>
        <v>1941</v>
      </c>
      <c r="H16" s="109">
        <f>'Blad10 parameterwaarden'!K8</f>
        <v>4432</v>
      </c>
      <c r="I16" s="109">
        <f>'Blad10 parameterwaarden'!L8</f>
        <v>1959.24</v>
      </c>
      <c r="J16" s="109">
        <f>'Blad10 parameterwaarden'!M8</f>
        <v>4495.01</v>
      </c>
      <c r="K16" s="93">
        <f t="shared" si="1"/>
        <v>0</v>
      </c>
      <c r="L16" s="93">
        <f t="shared" si="2"/>
        <v>0</v>
      </c>
      <c r="M16" s="93">
        <f t="shared" si="3"/>
        <v>0</v>
      </c>
      <c r="N16" s="93">
        <f t="shared" si="4"/>
        <v>0</v>
      </c>
    </row>
    <row r="17" spans="1:14" ht="15" customHeight="1">
      <c r="A17" s="178"/>
      <c r="B17" s="36"/>
      <c r="C17" s="25"/>
      <c r="D17" s="25"/>
      <c r="E17" s="25"/>
      <c r="F17" s="98"/>
      <c r="G17" s="108"/>
      <c r="H17" s="106"/>
      <c r="I17" s="106"/>
      <c r="J17" s="106"/>
      <c r="K17" s="24"/>
      <c r="L17" s="24"/>
      <c r="M17" s="24"/>
      <c r="N17" s="24"/>
    </row>
    <row r="18" spans="1:14" ht="15" customHeight="1">
      <c r="A18" s="176">
        <f>A16+1</f>
        <v>510</v>
      </c>
      <c r="B18" s="227" t="s">
        <v>21</v>
      </c>
      <c r="C18" s="250"/>
      <c r="D18" s="250"/>
      <c r="E18" s="250"/>
      <c r="F18" s="250"/>
      <c r="G18" s="250"/>
      <c r="H18" s="250"/>
      <c r="I18" s="250"/>
      <c r="J18" s="251"/>
      <c r="K18" s="93">
        <f>SUM(K8:K16)</f>
        <v>0</v>
      </c>
      <c r="L18" s="93">
        <f>SUM(L8:L16)</f>
        <v>0</v>
      </c>
      <c r="M18" s="93">
        <f>SUM(M8:M16)</f>
        <v>0</v>
      </c>
      <c r="N18" s="93">
        <f>SUM(N8:N16)</f>
        <v>0</v>
      </c>
    </row>
    <row r="19" spans="2:14" ht="15" customHeight="1">
      <c r="B19" s="36"/>
      <c r="C19" s="32"/>
      <c r="D19" s="32"/>
      <c r="E19" s="32"/>
      <c r="F19" s="99"/>
      <c r="G19" s="32"/>
      <c r="H19" s="36"/>
      <c r="I19" s="36"/>
      <c r="J19" s="36"/>
      <c r="K19" s="36"/>
      <c r="L19" s="36"/>
      <c r="M19" s="36"/>
      <c r="N19" s="36"/>
    </row>
    <row r="20" spans="2:14" ht="15" customHeight="1">
      <c r="B20" s="34"/>
      <c r="C20" s="32"/>
      <c r="D20" s="32"/>
      <c r="E20" s="32"/>
      <c r="F20" s="99"/>
      <c r="G20" s="32"/>
      <c r="H20" s="36"/>
      <c r="I20" s="36"/>
      <c r="J20" s="36"/>
      <c r="K20" s="36"/>
      <c r="L20" s="36"/>
      <c r="M20" s="36"/>
      <c r="N20" s="36"/>
    </row>
    <row r="21" spans="2:6" ht="15" customHeight="1">
      <c r="B21" s="7" t="str">
        <f>CONCATENATE(" * Ten opzichte van het budget in de huidige rekenstaat ",Voorblad!B3," (gebaseerd op de productieafspraak ",Voorblad!B3-1,").")</f>
        <v> * Ten opzichte van het budget in de huidige rekenstaat 2006 (gebaseerd op de productieafspraak 2005).</v>
      </c>
      <c r="F21" s="8"/>
    </row>
    <row r="22" ht="15" customHeight="1">
      <c r="F22" s="8"/>
    </row>
    <row r="23" ht="15" customHeight="1">
      <c r="F23" s="8"/>
    </row>
    <row r="24" ht="15" customHeight="1">
      <c r="F24" s="8"/>
    </row>
    <row r="25" ht="15" customHeight="1">
      <c r="F25" s="8"/>
    </row>
    <row r="26" ht="15" customHeight="1">
      <c r="F26" s="8"/>
    </row>
    <row r="27" ht="15" customHeight="1">
      <c r="F27" s="8"/>
    </row>
    <row r="28" ht="15" customHeight="1">
      <c r="F28" s="8"/>
    </row>
    <row r="29" ht="15" customHeight="1">
      <c r="F29" s="8"/>
    </row>
    <row r="30" ht="15" customHeight="1">
      <c r="F30" s="8"/>
    </row>
    <row r="31" ht="15" customHeight="1">
      <c r="F31" s="8"/>
    </row>
    <row r="32" ht="15" customHeight="1">
      <c r="F32" s="8"/>
    </row>
    <row r="33" ht="15" customHeight="1">
      <c r="F33" s="8"/>
    </row>
    <row r="34" ht="15" customHeight="1">
      <c r="F34" s="8"/>
    </row>
    <row r="35" ht="15" customHeight="1">
      <c r="F35" s="8"/>
    </row>
    <row r="36" ht="15" customHeight="1">
      <c r="F36" s="8"/>
    </row>
    <row r="37" ht="15" customHeight="1">
      <c r="F37" s="8"/>
    </row>
    <row r="38" ht="15" customHeight="1">
      <c r="F38" s="8"/>
    </row>
    <row r="39" ht="15" customHeight="1">
      <c r="F39" s="8"/>
    </row>
    <row r="40" ht="15" customHeight="1">
      <c r="F40" s="8"/>
    </row>
    <row r="41" ht="15" customHeight="1">
      <c r="F41" s="8"/>
    </row>
    <row r="42" ht="15" customHeight="1">
      <c r="F42" s="8"/>
    </row>
    <row r="43" ht="15" customHeight="1">
      <c r="F43" s="8"/>
    </row>
    <row r="44" ht="15" customHeight="1">
      <c r="F44" s="8"/>
    </row>
    <row r="45" ht="15" customHeight="1">
      <c r="F45" s="8"/>
    </row>
    <row r="46" ht="15" customHeight="1">
      <c r="F46" s="8"/>
    </row>
    <row r="47" ht="15" customHeight="1">
      <c r="F47" s="8"/>
    </row>
    <row r="48" ht="15" customHeight="1">
      <c r="F48" s="8"/>
    </row>
    <row r="49" ht="15" customHeight="1">
      <c r="F49" s="8"/>
    </row>
    <row r="50" ht="15" customHeight="1">
      <c r="F50" s="8"/>
    </row>
    <row r="51" ht="15" customHeight="1">
      <c r="F51" s="8"/>
    </row>
    <row r="52" ht="15" customHeight="1">
      <c r="F52" s="8"/>
    </row>
    <row r="53" ht="15" customHeight="1">
      <c r="F53" s="8"/>
    </row>
    <row r="54" ht="15" customHeight="1">
      <c r="F54" s="8"/>
    </row>
    <row r="55" ht="15" customHeight="1">
      <c r="F55" s="8"/>
    </row>
    <row r="56" ht="15" customHeight="1">
      <c r="F56" s="8"/>
    </row>
    <row r="57" ht="15" customHeight="1">
      <c r="F57" s="8"/>
    </row>
    <row r="58" ht="15" customHeight="1">
      <c r="F58" s="8"/>
    </row>
    <row r="59" ht="15" customHeight="1">
      <c r="F59" s="8"/>
    </row>
    <row r="60" ht="15" customHeight="1">
      <c r="F60" s="8"/>
    </row>
    <row r="61" ht="15" customHeight="1">
      <c r="F61" s="8"/>
    </row>
    <row r="62" ht="15" customHeight="1">
      <c r="F62" s="8"/>
    </row>
    <row r="63" ht="15" customHeight="1">
      <c r="F63" s="8"/>
    </row>
    <row r="64" ht="15" customHeight="1">
      <c r="F64" s="8"/>
    </row>
    <row r="65" ht="15" customHeight="1">
      <c r="F65" s="8"/>
    </row>
    <row r="66" ht="15" customHeight="1">
      <c r="F66" s="8"/>
    </row>
    <row r="67" ht="15" customHeight="1">
      <c r="F67" s="8"/>
    </row>
    <row r="68" ht="15" customHeight="1">
      <c r="F68" s="8"/>
    </row>
    <row r="69" ht="15" customHeight="1">
      <c r="F69" s="8"/>
    </row>
    <row r="70" ht="15" customHeight="1">
      <c r="F70" s="8"/>
    </row>
    <row r="71" ht="15" customHeight="1">
      <c r="F71" s="8"/>
    </row>
    <row r="72" ht="15" customHeight="1">
      <c r="F72" s="8"/>
    </row>
    <row r="73" ht="15" customHeight="1">
      <c r="F73" s="8"/>
    </row>
    <row r="74" ht="15" customHeight="1">
      <c r="F74" s="8"/>
    </row>
    <row r="75" ht="15" customHeight="1">
      <c r="F75" s="8"/>
    </row>
    <row r="76" ht="15" customHeight="1">
      <c r="F76" s="8"/>
    </row>
    <row r="77" ht="15" customHeight="1">
      <c r="F77" s="8"/>
    </row>
    <row r="78" ht="15" customHeight="1">
      <c r="F78" s="8"/>
    </row>
    <row r="79" ht="15" customHeight="1">
      <c r="F79" s="8"/>
    </row>
    <row r="80" ht="15" customHeight="1">
      <c r="F80" s="8"/>
    </row>
    <row r="81" ht="15" customHeight="1">
      <c r="F81" s="8"/>
    </row>
    <row r="82" ht="15" customHeight="1">
      <c r="F82" s="8"/>
    </row>
    <row r="83" ht="15" customHeight="1">
      <c r="F83" s="8"/>
    </row>
    <row r="84" ht="15" customHeight="1">
      <c r="F84" s="8"/>
    </row>
    <row r="85" ht="15" customHeight="1">
      <c r="F85" s="8"/>
    </row>
    <row r="86" ht="15" customHeight="1">
      <c r="F86" s="8"/>
    </row>
    <row r="87" ht="15" customHeight="1">
      <c r="F87" s="8"/>
    </row>
    <row r="88" ht="15" customHeight="1">
      <c r="F88" s="8"/>
    </row>
    <row r="89" ht="15" customHeight="1">
      <c r="F89" s="8"/>
    </row>
    <row r="90" ht="15" customHeight="1">
      <c r="F90" s="8"/>
    </row>
    <row r="91" ht="15" customHeight="1">
      <c r="F91" s="8"/>
    </row>
    <row r="92" ht="15" customHeight="1">
      <c r="F92" s="8"/>
    </row>
    <row r="93" ht="15" customHeight="1">
      <c r="F93" s="8"/>
    </row>
    <row r="94" ht="15" customHeight="1">
      <c r="F94" s="8"/>
    </row>
    <row r="95" ht="15" customHeight="1">
      <c r="F95" s="8"/>
    </row>
    <row r="96" ht="15" customHeight="1">
      <c r="F96" s="8"/>
    </row>
    <row r="97" ht="15" customHeight="1">
      <c r="F97" s="8"/>
    </row>
    <row r="98" ht="15" customHeight="1">
      <c r="F98" s="8"/>
    </row>
    <row r="99" ht="15" customHeight="1">
      <c r="F99" s="8"/>
    </row>
    <row r="100" ht="15" customHeight="1">
      <c r="F100" s="8"/>
    </row>
    <row r="101" ht="15" customHeight="1">
      <c r="F101" s="8"/>
    </row>
    <row r="102" ht="15" customHeight="1">
      <c r="F102" s="8"/>
    </row>
    <row r="103" ht="15" customHeight="1">
      <c r="F103" s="8"/>
    </row>
    <row r="104" ht="15" customHeight="1">
      <c r="F104" s="8"/>
    </row>
    <row r="105" ht="15" customHeight="1">
      <c r="F105" s="8"/>
    </row>
    <row r="106" ht="15" customHeight="1">
      <c r="F106" s="8"/>
    </row>
    <row r="107" ht="15" customHeight="1">
      <c r="F107" s="8"/>
    </row>
    <row r="108" ht="15" customHeight="1">
      <c r="F108" s="8"/>
    </row>
    <row r="109" ht="15" customHeight="1">
      <c r="F109" s="8"/>
    </row>
    <row r="110" ht="15" customHeight="1">
      <c r="F110" s="8"/>
    </row>
    <row r="111" ht="15" customHeight="1">
      <c r="F111" s="8"/>
    </row>
    <row r="112" ht="15" customHeight="1">
      <c r="F112" s="8"/>
    </row>
    <row r="113" ht="15" customHeight="1">
      <c r="F113" s="8"/>
    </row>
    <row r="114" ht="15" customHeight="1">
      <c r="F114" s="8"/>
    </row>
    <row r="115" ht="15" customHeight="1">
      <c r="F115" s="8"/>
    </row>
    <row r="116" ht="15" customHeight="1">
      <c r="F116" s="8"/>
    </row>
    <row r="117" ht="15" customHeight="1">
      <c r="F117" s="8"/>
    </row>
    <row r="118" ht="15" customHeight="1">
      <c r="F118" s="8"/>
    </row>
    <row r="119" ht="15" customHeight="1">
      <c r="F119" s="8"/>
    </row>
    <row r="120" ht="15" customHeight="1">
      <c r="F120" s="8"/>
    </row>
    <row r="121" ht="15" customHeight="1">
      <c r="F121" s="8"/>
    </row>
    <row r="122" ht="15" customHeight="1">
      <c r="F122" s="8"/>
    </row>
    <row r="123" ht="15" customHeight="1">
      <c r="F123" s="8"/>
    </row>
    <row r="124" ht="15" customHeight="1">
      <c r="F124" s="8"/>
    </row>
    <row r="125" ht="15" customHeight="1">
      <c r="F125" s="8"/>
    </row>
    <row r="126" ht="15" customHeight="1">
      <c r="F126" s="8"/>
    </row>
    <row r="127" ht="15" customHeight="1">
      <c r="F127" s="8"/>
    </row>
    <row r="128" ht="15" customHeight="1">
      <c r="F128" s="8"/>
    </row>
    <row r="129" ht="15" customHeight="1">
      <c r="F129" s="8"/>
    </row>
    <row r="130" ht="15" customHeight="1">
      <c r="F130" s="8"/>
    </row>
    <row r="131" ht="15" customHeight="1">
      <c r="F131" s="8"/>
    </row>
    <row r="132" ht="15" customHeight="1">
      <c r="F132" s="8"/>
    </row>
    <row r="133" ht="15" customHeight="1">
      <c r="F133" s="8"/>
    </row>
    <row r="134" ht="15" customHeight="1">
      <c r="F134" s="8"/>
    </row>
    <row r="135" ht="15" customHeight="1">
      <c r="F135" s="8"/>
    </row>
    <row r="136" ht="15" customHeight="1">
      <c r="F136" s="8"/>
    </row>
    <row r="137" ht="15" customHeight="1">
      <c r="F137" s="8"/>
    </row>
    <row r="138" ht="15" customHeight="1">
      <c r="F138" s="8"/>
    </row>
    <row r="139" ht="15" customHeight="1">
      <c r="F139" s="8"/>
    </row>
    <row r="140" ht="15" customHeight="1">
      <c r="F140" s="8"/>
    </row>
    <row r="141" ht="15" customHeight="1">
      <c r="F141" s="8"/>
    </row>
    <row r="142" ht="15" customHeight="1">
      <c r="F142" s="8"/>
    </row>
    <row r="143" ht="15" customHeight="1">
      <c r="F143" s="8"/>
    </row>
    <row r="144" ht="15" customHeight="1">
      <c r="F144" s="8"/>
    </row>
    <row r="145" ht="15" customHeight="1">
      <c r="F145" s="8"/>
    </row>
    <row r="146" ht="15" customHeight="1">
      <c r="F146" s="8"/>
    </row>
    <row r="147" ht="15" customHeight="1">
      <c r="F147" s="8"/>
    </row>
    <row r="148" ht="15" customHeight="1">
      <c r="F148" s="8"/>
    </row>
    <row r="149" ht="15" customHeight="1">
      <c r="F149" s="8"/>
    </row>
    <row r="150" ht="15" customHeight="1">
      <c r="F150" s="8"/>
    </row>
    <row r="151" ht="15" customHeight="1">
      <c r="F151" s="8"/>
    </row>
    <row r="152" ht="15" customHeight="1">
      <c r="F152" s="8"/>
    </row>
    <row r="153" ht="15" customHeight="1">
      <c r="F153" s="8"/>
    </row>
    <row r="154" ht="15" customHeight="1">
      <c r="F154" s="8"/>
    </row>
    <row r="155" ht="15" customHeight="1">
      <c r="F155" s="8"/>
    </row>
    <row r="156" ht="15" customHeight="1">
      <c r="F156" s="8"/>
    </row>
    <row r="157" ht="15" customHeight="1">
      <c r="F157" s="8"/>
    </row>
    <row r="158" ht="15" customHeight="1">
      <c r="F158" s="8"/>
    </row>
    <row r="159" ht="15" customHeight="1">
      <c r="F159" s="8"/>
    </row>
    <row r="160" ht="15" customHeight="1">
      <c r="F160" s="8"/>
    </row>
    <row r="161" ht="15" customHeight="1">
      <c r="F161" s="8"/>
    </row>
    <row r="162" ht="15" customHeight="1">
      <c r="F162" s="8"/>
    </row>
    <row r="163" ht="15" customHeight="1">
      <c r="F163" s="8"/>
    </row>
    <row r="164" ht="15" customHeight="1">
      <c r="F164" s="8"/>
    </row>
    <row r="165" ht="15" customHeight="1">
      <c r="F165" s="8"/>
    </row>
    <row r="166" ht="15" customHeight="1">
      <c r="F166" s="8"/>
    </row>
    <row r="167" ht="15" customHeight="1">
      <c r="F167" s="8"/>
    </row>
    <row r="168" ht="15" customHeight="1">
      <c r="F168" s="8"/>
    </row>
    <row r="169" ht="15" customHeight="1">
      <c r="F169" s="8"/>
    </row>
    <row r="170" ht="15" customHeight="1">
      <c r="F170" s="8"/>
    </row>
    <row r="171" ht="15" customHeight="1">
      <c r="F171" s="8"/>
    </row>
    <row r="172" ht="15" customHeight="1">
      <c r="F172" s="8"/>
    </row>
    <row r="173" ht="15" customHeight="1">
      <c r="F173" s="8"/>
    </row>
    <row r="174" ht="15" customHeight="1">
      <c r="F174" s="8"/>
    </row>
    <row r="175" ht="15" customHeight="1">
      <c r="F175" s="8"/>
    </row>
    <row r="176" ht="15" customHeight="1">
      <c r="F176" s="8"/>
    </row>
    <row r="177" ht="15" customHeight="1">
      <c r="F177" s="8"/>
    </row>
    <row r="178" ht="15" customHeight="1">
      <c r="F178" s="8"/>
    </row>
    <row r="179" ht="15" customHeight="1">
      <c r="F179" s="8"/>
    </row>
    <row r="180" ht="15" customHeight="1">
      <c r="F180" s="8"/>
    </row>
    <row r="181" ht="15" customHeight="1">
      <c r="F181" s="8"/>
    </row>
    <row r="182" ht="15" customHeight="1">
      <c r="F182" s="8"/>
    </row>
    <row r="183" ht="15" customHeight="1">
      <c r="F183" s="8"/>
    </row>
    <row r="184" ht="15" customHeight="1">
      <c r="F184" s="8"/>
    </row>
    <row r="185" ht="15" customHeight="1">
      <c r="F185" s="8"/>
    </row>
    <row r="186" ht="15" customHeight="1">
      <c r="F186" s="8"/>
    </row>
    <row r="187" ht="15" customHeight="1">
      <c r="F187" s="8"/>
    </row>
    <row r="188" ht="15" customHeight="1">
      <c r="F188" s="8"/>
    </row>
    <row r="189" ht="15" customHeight="1">
      <c r="F189" s="8"/>
    </row>
    <row r="190" ht="15" customHeight="1">
      <c r="F190" s="8"/>
    </row>
    <row r="191" ht="15" customHeight="1">
      <c r="F191" s="8"/>
    </row>
  </sheetData>
  <sheetProtection password="CCBC" sheet="1" objects="1" scenarios="1"/>
  <mergeCells count="9">
    <mergeCell ref="B18:J18"/>
    <mergeCell ref="M4:N4"/>
    <mergeCell ref="M5:N5"/>
    <mergeCell ref="D4:F4"/>
    <mergeCell ref="K4:L4"/>
    <mergeCell ref="G5:H5"/>
    <mergeCell ref="K5:L5"/>
    <mergeCell ref="I5:J5"/>
    <mergeCell ref="G4:J4"/>
  </mergeCells>
  <conditionalFormatting sqref="C8:E16">
    <cfRule type="expression" priority="1" dxfId="0" stopIfTrue="1">
      <formula>$A$2=TRUE</formula>
    </cfRule>
  </conditionalFormatting>
  <printOptions/>
  <pageMargins left="0.75" right="0.75" top="1" bottom="1" header="0.5" footer="0.5"/>
  <pageSetup fitToHeight="1" fitToWidth="1" horizontalDpi="1200" verticalDpi="1200" orientation="landscape" paperSize="9" scale="71" r:id="rId1"/>
  <headerFooter alignWithMargins="0">
    <oddFooter>&amp;Rblad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showGridLines="0" showRowColHeaders="0" showZeros="0" showOutlineSymbols="0" view="pageBreakPreview" zoomScale="60" workbookViewId="0" topLeftCell="A1">
      <selection activeCell="C3" sqref="C3"/>
    </sheetView>
  </sheetViews>
  <sheetFormatPr defaultColWidth="9.140625" defaultRowHeight="15" customHeight="1"/>
  <cols>
    <col min="1" max="1" width="7.7109375" style="2" bestFit="1" customWidth="1"/>
    <col min="2" max="2" width="70.57421875" style="2" customWidth="1"/>
    <col min="3" max="3" width="20.28125" style="5" customWidth="1"/>
    <col min="4" max="16384" width="9.140625" style="2" customWidth="1"/>
  </cols>
  <sheetData>
    <row r="1" ht="15" customHeight="1">
      <c r="C1" s="32"/>
    </row>
    <row r="2" spans="1:3" ht="15" customHeight="1">
      <c r="A2" s="103" t="b">
        <f>Voorblad!A24</f>
        <v>1</v>
      </c>
      <c r="B2" s="101" t="s">
        <v>7</v>
      </c>
      <c r="C2" s="32"/>
    </row>
    <row r="3" spans="1:4" ht="15" customHeight="1">
      <c r="A3" s="176">
        <v>601</v>
      </c>
      <c r="B3" s="97" t="str">
        <f>CONCATENATE("overeengekomen afschrijving dubieuze debiteuren ",Voorblad!B3,":")</f>
        <v>overeengekomen afschrijving dubieuze debiteuren 2006:</v>
      </c>
      <c r="C3" s="94"/>
      <c r="D3" s="4"/>
    </row>
    <row r="4" spans="1:4" ht="15" customHeight="1">
      <c r="A4" s="176">
        <f>A3+1</f>
        <v>602</v>
      </c>
      <c r="B4" s="97" t="s">
        <v>13</v>
      </c>
      <c r="C4" s="94"/>
      <c r="D4" s="4"/>
    </row>
    <row r="5" spans="1:4" ht="15" customHeight="1">
      <c r="A5" s="176">
        <f>A4+1</f>
        <v>603</v>
      </c>
      <c r="B5" s="97" t="s">
        <v>12</v>
      </c>
      <c r="C5" s="94">
        <f>C3-C4</f>
        <v>0</v>
      </c>
      <c r="D5" s="4"/>
    </row>
    <row r="6" spans="1:4" ht="15" customHeight="1">
      <c r="A6" s="178"/>
      <c r="B6" s="13"/>
      <c r="C6" s="25"/>
      <c r="D6" s="4"/>
    </row>
    <row r="7" spans="1:4" ht="15" customHeight="1">
      <c r="A7" s="176">
        <f>A5+1</f>
        <v>604</v>
      </c>
      <c r="B7" s="97" t="str">
        <f>CONCATENATE("werkelijke kosten ",Voorblad!B3-1,":")</f>
        <v>werkelijke kosten 2005:</v>
      </c>
      <c r="C7" s="94"/>
      <c r="D7" s="4"/>
    </row>
    <row r="8" spans="1:4" ht="15" customHeight="1">
      <c r="A8" s="178"/>
      <c r="B8" s="13"/>
      <c r="C8" s="25"/>
      <c r="D8" s="4"/>
    </row>
    <row r="9" spans="1:3" ht="15" customHeight="1">
      <c r="A9" s="178"/>
      <c r="B9" s="36"/>
      <c r="C9" s="98"/>
    </row>
    <row r="10" spans="1:6" ht="15" customHeight="1">
      <c r="A10" s="178"/>
      <c r="B10" s="3" t="s">
        <v>6</v>
      </c>
      <c r="C10" s="98"/>
      <c r="F10" s="1"/>
    </row>
    <row r="11" spans="1:3" ht="15" customHeight="1">
      <c r="A11" s="176">
        <f>A7+1</f>
        <v>605</v>
      </c>
      <c r="B11" s="97" t="str">
        <f>CONCATENATE("aantal leerlingen op 1 oktober ",Voorblad!B3-1)</f>
        <v>aantal leerlingen op 1 oktober 2005</v>
      </c>
      <c r="C11" s="94"/>
    </row>
    <row r="12" spans="1:3" ht="15" customHeight="1">
      <c r="A12" s="178"/>
      <c r="B12" s="40" t="str">
        <f>CONCATENATE("U wordt verzocht een opgave te doen van het aantal leerlingen dat op 1 oktober ",Voorblad!B3-1," aan uw")</f>
        <v>U wordt verzocht een opgave te doen van het aantal leerlingen dat op 1 oktober 2005 aan uw</v>
      </c>
      <c r="C12" s="98"/>
    </row>
    <row r="13" spans="1:3" ht="15" customHeight="1">
      <c r="A13" s="178"/>
      <c r="B13" s="40" t="s">
        <v>178</v>
      </c>
      <c r="C13" s="98"/>
    </row>
    <row r="14" spans="1:3" ht="15" customHeight="1">
      <c r="A14" s="178"/>
      <c r="B14" s="36"/>
      <c r="C14" s="98"/>
    </row>
    <row r="15" spans="1:3" ht="15" customHeight="1">
      <c r="A15" s="178"/>
      <c r="C15" s="98"/>
    </row>
    <row r="16" spans="1:3" ht="15" customHeight="1">
      <c r="A16" s="178"/>
      <c r="C16" s="98"/>
    </row>
    <row r="17" spans="1:3" ht="15" customHeight="1">
      <c r="A17" s="178"/>
      <c r="C17" s="98"/>
    </row>
    <row r="18" spans="1:3" ht="15" customHeight="1">
      <c r="A18" s="178"/>
      <c r="C18" s="98"/>
    </row>
    <row r="19" spans="1:3" ht="15" customHeight="1">
      <c r="A19" s="178"/>
      <c r="B19" s="101" t="s">
        <v>15</v>
      </c>
      <c r="C19" s="98"/>
    </row>
    <row r="20" spans="1:3" ht="15" customHeight="1">
      <c r="A20" s="176">
        <f>A11+1</f>
        <v>606</v>
      </c>
      <c r="B20" s="97" t="s">
        <v>14</v>
      </c>
      <c r="C20" s="94"/>
    </row>
    <row r="21" spans="1:3" ht="15" customHeight="1">
      <c r="A21" s="176">
        <f>A20+1</f>
        <v>607</v>
      </c>
      <c r="B21" s="97" t="str">
        <f>CONCATENATE("reeds in rekenstaat ",Voorblad!B3-1," opgenomen:")</f>
        <v>reeds in rekenstaat 2005 opgenomen:</v>
      </c>
      <c r="C21" s="94"/>
    </row>
    <row r="22" spans="1:3" ht="15" customHeight="1">
      <c r="A22" s="176">
        <f>A21+1</f>
        <v>608</v>
      </c>
      <c r="B22" s="97" t="s">
        <v>12</v>
      </c>
      <c r="C22" s="93">
        <f>C20-C21</f>
        <v>0</v>
      </c>
    </row>
    <row r="23" spans="1:9" ht="15" customHeight="1">
      <c r="A23" s="178"/>
      <c r="B23" s="36"/>
      <c r="C23" s="24"/>
      <c r="D23" s="11"/>
      <c r="E23" s="11"/>
      <c r="F23" s="11"/>
      <c r="G23" s="11"/>
      <c r="H23" s="11"/>
      <c r="I23" s="4"/>
    </row>
    <row r="24" spans="1:9" ht="15" customHeight="1">
      <c r="A24" s="178"/>
      <c r="B24" s="40" t="str">
        <f>CONCATENATE("Hiervoor kon in ",Voorblad!B3-1," maximaal 2,5% van het budget loon- en materiële kosten ",Voorblad!B3-1)</f>
        <v>Hiervoor kon in 2005 maximaal 2,5% van het budget loon- en materiële kosten 2005</v>
      </c>
      <c r="C24" s="24"/>
      <c r="D24" s="11"/>
      <c r="E24" s="11"/>
      <c r="F24" s="11"/>
      <c r="G24" s="11"/>
      <c r="H24" s="11"/>
      <c r="I24" s="4"/>
    </row>
    <row r="25" spans="1:9" ht="15" customHeight="1">
      <c r="A25" s="178"/>
      <c r="B25" s="40" t="s">
        <v>142</v>
      </c>
      <c r="C25" s="24"/>
      <c r="D25" s="11"/>
      <c r="E25" s="11"/>
      <c r="F25" s="11"/>
      <c r="G25" s="11"/>
      <c r="H25" s="11"/>
      <c r="I25" s="4"/>
    </row>
    <row r="26" spans="1:9" ht="15" customHeight="1">
      <c r="A26" s="178"/>
      <c r="B26" s="40" t="str">
        <f>CONCATENATE("de definitieve verantwoording kunt u hieronder het definitief overeengekomen bedrag ",Voorblad!B3-1," opgeven.")</f>
        <v>de definitieve verantwoording kunt u hieronder het definitief overeengekomen bedrag 2005 opgeven.</v>
      </c>
      <c r="C26" s="24"/>
      <c r="D26" s="11"/>
      <c r="E26" s="11"/>
      <c r="F26" s="11"/>
      <c r="G26" s="11"/>
      <c r="H26" s="11"/>
      <c r="I26" s="4"/>
    </row>
    <row r="27" spans="1:9" ht="15" customHeight="1">
      <c r="A27" s="178"/>
      <c r="B27" s="40" t="str">
        <f>CONCATENATE("In ",Voorblad!B3," kan maximaal 2,5% van het budget loon- en materiële kosten ",Voorblad!B3)</f>
        <v>In 2006 kan maximaal 2,5% van het budget loon- en materiële kosten 2006</v>
      </c>
      <c r="C27" s="26"/>
      <c r="D27" s="11"/>
      <c r="E27" s="11"/>
      <c r="F27" s="11"/>
      <c r="G27" s="11"/>
      <c r="H27" s="11"/>
      <c r="I27" s="4"/>
    </row>
    <row r="28" spans="1:9" ht="15" customHeight="1">
      <c r="A28" s="178"/>
      <c r="B28" s="40" t="s">
        <v>143</v>
      </c>
      <c r="C28" s="26"/>
      <c r="D28" s="11"/>
      <c r="E28" s="11"/>
      <c r="F28" s="11"/>
      <c r="G28" s="11"/>
      <c r="H28" s="11"/>
      <c r="I28" s="4"/>
    </row>
    <row r="29" spans="1:9" ht="15" customHeight="1">
      <c r="A29" s="178"/>
      <c r="B29" s="40" t="s">
        <v>177</v>
      </c>
      <c r="C29" s="26"/>
      <c r="D29" s="11"/>
      <c r="E29" s="11"/>
      <c r="F29" s="11"/>
      <c r="G29" s="11"/>
      <c r="H29" s="11"/>
      <c r="I29" s="4"/>
    </row>
    <row r="30" spans="1:9" ht="15" customHeight="1">
      <c r="A30" s="178"/>
      <c r="B30" s="12"/>
      <c r="C30" s="26"/>
      <c r="D30" s="11"/>
      <c r="E30" s="11"/>
      <c r="F30" s="11"/>
      <c r="G30" s="11"/>
      <c r="H30" s="11"/>
      <c r="I30" s="4"/>
    </row>
    <row r="31" spans="1:9" ht="15" customHeight="1">
      <c r="A31" s="176">
        <f>A22+1</f>
        <v>609</v>
      </c>
      <c r="B31" s="112" t="str">
        <f>CONCATENATE("Voorlopig overeengekomen bedrag voor ",Voorblad!B3," :")</f>
        <v>Voorlopig overeengekomen bedrag voor 2006 :</v>
      </c>
      <c r="C31" s="94"/>
      <c r="D31" s="13"/>
      <c r="E31" s="13"/>
      <c r="F31" s="13"/>
      <c r="G31" s="13"/>
      <c r="H31" s="13"/>
      <c r="I31" s="4"/>
    </row>
    <row r="32" spans="2:4" ht="15" customHeight="1">
      <c r="B32" s="13"/>
      <c r="C32" s="14"/>
      <c r="D32" s="4"/>
    </row>
    <row r="33" spans="2:4" ht="15" customHeight="1">
      <c r="B33" s="13"/>
      <c r="C33" s="14"/>
      <c r="D33" s="4"/>
    </row>
    <row r="34" spans="2:4" ht="15" customHeight="1">
      <c r="B34" s="13"/>
      <c r="C34" s="96"/>
      <c r="D34" s="4"/>
    </row>
    <row r="35" spans="2:4" ht="15" customHeight="1">
      <c r="B35" s="13"/>
      <c r="C35" s="96"/>
      <c r="D35" s="4"/>
    </row>
    <row r="36" spans="2:4" ht="15" customHeight="1">
      <c r="B36" s="4"/>
      <c r="C36" s="6"/>
      <c r="D36" s="4"/>
    </row>
    <row r="37" spans="2:4" ht="15" customHeight="1">
      <c r="B37" s="4"/>
      <c r="C37" s="6"/>
      <c r="D37" s="4"/>
    </row>
    <row r="38" spans="2:4" ht="15" customHeight="1">
      <c r="B38" s="4"/>
      <c r="C38" s="6"/>
      <c r="D38" s="4"/>
    </row>
    <row r="39" spans="2:4" ht="15" customHeight="1">
      <c r="B39" s="4"/>
      <c r="C39" s="6"/>
      <c r="D39" s="4"/>
    </row>
    <row r="40" spans="2:4" ht="15" customHeight="1">
      <c r="B40" s="4"/>
      <c r="C40" s="6"/>
      <c r="D40" s="4"/>
    </row>
    <row r="41" spans="2:4" ht="15" customHeight="1">
      <c r="B41" s="4"/>
      <c r="C41" s="6"/>
      <c r="D41" s="4"/>
    </row>
    <row r="42" spans="2:4" ht="15" customHeight="1">
      <c r="B42" s="4"/>
      <c r="C42" s="6"/>
      <c r="D42" s="4"/>
    </row>
    <row r="43" spans="2:4" ht="15" customHeight="1">
      <c r="B43" s="4"/>
      <c r="C43" s="6"/>
      <c r="D43" s="4"/>
    </row>
    <row r="44" spans="2:4" ht="15" customHeight="1">
      <c r="B44" s="4"/>
      <c r="C44" s="6"/>
      <c r="D44" s="4"/>
    </row>
    <row r="45" spans="2:4" ht="15" customHeight="1">
      <c r="B45" s="4"/>
      <c r="C45" s="6"/>
      <c r="D45" s="4"/>
    </row>
    <row r="46" spans="2:4" ht="15" customHeight="1">
      <c r="B46" s="4"/>
      <c r="C46" s="6"/>
      <c r="D46" s="4"/>
    </row>
    <row r="47" spans="2:4" ht="15" customHeight="1">
      <c r="B47" s="4"/>
      <c r="C47" s="6"/>
      <c r="D47" s="4"/>
    </row>
    <row r="48" spans="2:4" ht="15" customHeight="1">
      <c r="B48" s="4"/>
      <c r="C48" s="6"/>
      <c r="D48" s="4"/>
    </row>
    <row r="49" spans="2:4" ht="15" customHeight="1">
      <c r="B49" s="4"/>
      <c r="C49" s="6"/>
      <c r="D49" s="4"/>
    </row>
    <row r="50" spans="2:4" ht="15" customHeight="1">
      <c r="B50" s="4"/>
      <c r="C50" s="6"/>
      <c r="D50" s="4"/>
    </row>
    <row r="51" spans="2:4" ht="15" customHeight="1">
      <c r="B51" s="4"/>
      <c r="C51" s="6"/>
      <c r="D51" s="4"/>
    </row>
    <row r="52" spans="2:4" ht="15" customHeight="1">
      <c r="B52" s="4"/>
      <c r="C52" s="6"/>
      <c r="D52" s="4"/>
    </row>
    <row r="53" spans="2:4" ht="15" customHeight="1">
      <c r="B53" s="4"/>
      <c r="C53" s="6"/>
      <c r="D53" s="4"/>
    </row>
    <row r="54" spans="2:4" ht="15" customHeight="1">
      <c r="B54" s="4"/>
      <c r="C54" s="6"/>
      <c r="D54" s="4"/>
    </row>
    <row r="55" spans="2:4" ht="15" customHeight="1">
      <c r="B55" s="4"/>
      <c r="C55" s="6"/>
      <c r="D55" s="4"/>
    </row>
    <row r="56" spans="2:4" ht="15" customHeight="1">
      <c r="B56" s="4"/>
      <c r="C56" s="6"/>
      <c r="D56" s="4"/>
    </row>
    <row r="57" spans="2:4" ht="15" customHeight="1">
      <c r="B57" s="4"/>
      <c r="C57" s="6"/>
      <c r="D57" s="4"/>
    </row>
    <row r="58" spans="2:4" ht="15" customHeight="1">
      <c r="B58" s="4"/>
      <c r="C58" s="6"/>
      <c r="D58" s="4"/>
    </row>
    <row r="59" spans="2:4" ht="15" customHeight="1">
      <c r="B59" s="4"/>
      <c r="C59" s="6"/>
      <c r="D59" s="4"/>
    </row>
    <row r="60" spans="2:4" ht="15" customHeight="1">
      <c r="B60" s="4"/>
      <c r="C60" s="6"/>
      <c r="D60" s="4"/>
    </row>
    <row r="61" spans="2:4" ht="15" customHeight="1">
      <c r="B61" s="4"/>
      <c r="C61" s="6"/>
      <c r="D61" s="4"/>
    </row>
    <row r="62" spans="2:4" ht="15" customHeight="1">
      <c r="B62" s="4"/>
      <c r="C62" s="6"/>
      <c r="D62" s="4"/>
    </row>
    <row r="63" spans="2:4" ht="15" customHeight="1">
      <c r="B63" s="4"/>
      <c r="C63" s="6"/>
      <c r="D63" s="4"/>
    </row>
    <row r="64" spans="2:4" ht="15" customHeight="1">
      <c r="B64" s="4"/>
      <c r="C64" s="6"/>
      <c r="D64" s="4"/>
    </row>
    <row r="65" spans="2:4" ht="15" customHeight="1">
      <c r="B65" s="4"/>
      <c r="C65" s="6"/>
      <c r="D65" s="4"/>
    </row>
    <row r="66" spans="2:4" ht="15" customHeight="1">
      <c r="B66" s="4"/>
      <c r="C66" s="6"/>
      <c r="D66" s="4"/>
    </row>
    <row r="67" spans="2:4" ht="15" customHeight="1">
      <c r="B67" s="4"/>
      <c r="C67" s="6"/>
      <c r="D67" s="4"/>
    </row>
    <row r="68" spans="2:4" ht="15" customHeight="1">
      <c r="B68" s="4"/>
      <c r="C68" s="6"/>
      <c r="D68" s="4"/>
    </row>
    <row r="69" spans="2:4" ht="15" customHeight="1">
      <c r="B69" s="4"/>
      <c r="C69" s="6"/>
      <c r="D69" s="4"/>
    </row>
    <row r="70" spans="2:3" ht="15" customHeight="1">
      <c r="B70" s="4"/>
      <c r="C70" s="6"/>
    </row>
  </sheetData>
  <sheetProtection password="CCBC" sheet="1" objects="1" scenarios="1"/>
  <conditionalFormatting sqref="C20:C21 C31 C3:C4 C7 C11">
    <cfRule type="expression" priority="1" dxfId="0" stopIfTrue="1">
      <formula>$A$2=TRUE</formula>
    </cfRule>
  </conditionalFormatting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&amp;Rblad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RowColHeaders="0" showZeros="0" showOutlineSymbols="0" view="pageBreakPreview" zoomScale="75" zoomScaleNormal="75" zoomScaleSheetLayoutView="75" workbookViewId="0" topLeftCell="A1">
      <selection activeCell="D10" sqref="D10"/>
    </sheetView>
  </sheetViews>
  <sheetFormatPr defaultColWidth="9.140625" defaultRowHeight="12.75"/>
  <cols>
    <col min="1" max="1" width="5.57421875" style="0" bestFit="1" customWidth="1"/>
    <col min="2" max="2" width="12.7109375" style="0" customWidth="1"/>
    <col min="3" max="3" width="64.140625" style="0" bestFit="1" customWidth="1"/>
    <col min="4" max="12" width="15.00390625" style="0" customWidth="1"/>
  </cols>
  <sheetData>
    <row r="1" spans="1:12" ht="12.75">
      <c r="A1" s="113"/>
      <c r="B1" s="114"/>
      <c r="C1" s="115" t="s">
        <v>179</v>
      </c>
      <c r="D1" s="113"/>
      <c r="E1" s="116"/>
      <c r="F1" s="113"/>
      <c r="G1" s="113"/>
      <c r="H1" s="113"/>
      <c r="I1" s="113"/>
      <c r="J1" s="113"/>
      <c r="K1" s="113"/>
      <c r="L1" s="113"/>
    </row>
    <row r="2" spans="1:12" ht="12.75">
      <c r="A2" s="113"/>
      <c r="B2" s="117" t="b">
        <f>Voorblad!A24</f>
        <v>1</v>
      </c>
      <c r="D2" s="113"/>
      <c r="E2" s="116"/>
      <c r="F2" s="113"/>
      <c r="G2" s="113"/>
      <c r="H2" s="113"/>
      <c r="I2" s="113"/>
      <c r="J2" s="113"/>
      <c r="K2" s="113"/>
      <c r="L2" s="113"/>
    </row>
    <row r="3" spans="1:12" ht="12.75">
      <c r="A3" s="113"/>
      <c r="B3" s="114"/>
      <c r="C3" s="113"/>
      <c r="D3" s="113"/>
      <c r="E3" s="116"/>
      <c r="F3" s="113"/>
      <c r="G3" s="113"/>
      <c r="H3" s="113"/>
      <c r="I3" s="113"/>
      <c r="J3" s="113"/>
      <c r="K3" s="113"/>
      <c r="L3" s="113"/>
    </row>
    <row r="4" spans="1:12" ht="12.75">
      <c r="A4" s="113"/>
      <c r="B4" s="114"/>
      <c r="C4" s="113"/>
      <c r="D4" s="113"/>
      <c r="E4" s="116"/>
      <c r="F4" s="113"/>
      <c r="G4" s="113"/>
      <c r="H4" s="113"/>
      <c r="I4" s="113"/>
      <c r="J4" s="113"/>
      <c r="K4" s="113"/>
      <c r="L4" s="113"/>
    </row>
    <row r="5" spans="1:12" ht="12.75">
      <c r="A5" s="113"/>
      <c r="B5" s="114"/>
      <c r="C5" s="113"/>
      <c r="D5" s="118" t="s">
        <v>134</v>
      </c>
      <c r="E5" s="119" t="s">
        <v>135</v>
      </c>
      <c r="F5" s="120" t="s">
        <v>19</v>
      </c>
      <c r="G5" s="120" t="s">
        <v>136</v>
      </c>
      <c r="H5" s="120" t="s">
        <v>17</v>
      </c>
      <c r="I5" s="121" t="s">
        <v>18</v>
      </c>
      <c r="J5" s="119" t="s">
        <v>140</v>
      </c>
      <c r="K5" s="120" t="s">
        <v>19</v>
      </c>
      <c r="L5" s="120" t="s">
        <v>138</v>
      </c>
    </row>
    <row r="6" spans="1:12" ht="12.75">
      <c r="A6" s="113"/>
      <c r="B6" s="114"/>
      <c r="C6" s="113"/>
      <c r="D6" s="122" t="s">
        <v>139</v>
      </c>
      <c r="E6" s="123" t="s">
        <v>137</v>
      </c>
      <c r="F6" s="124"/>
      <c r="G6" s="124" t="s">
        <v>16</v>
      </c>
      <c r="H6" s="124"/>
      <c r="I6" s="125" t="s">
        <v>180</v>
      </c>
      <c r="J6" s="123"/>
      <c r="K6" s="124"/>
      <c r="L6" s="124" t="s">
        <v>141</v>
      </c>
    </row>
    <row r="7" spans="1:12" ht="12.75">
      <c r="A7" s="113"/>
      <c r="B7" s="114"/>
      <c r="C7" s="126"/>
      <c r="D7" s="127">
        <f>'Blad5 Radiotherap. centra (090)'!C5</f>
        <v>2005</v>
      </c>
      <c r="E7" s="128" t="s">
        <v>140</v>
      </c>
      <c r="F7" s="127">
        <f>D7</f>
        <v>2005</v>
      </c>
      <c r="G7" s="127">
        <f>D7</f>
        <v>2005</v>
      </c>
      <c r="H7" s="127">
        <f>D7</f>
        <v>2005</v>
      </c>
      <c r="I7" s="127">
        <f>'Blad5 Radiotherap. centra (090)'!E5</f>
        <v>2006</v>
      </c>
      <c r="J7" s="127">
        <f>I7</f>
        <v>2006</v>
      </c>
      <c r="K7" s="127">
        <f>I7</f>
        <v>2006</v>
      </c>
      <c r="L7" s="127">
        <f>J7</f>
        <v>2006</v>
      </c>
    </row>
    <row r="8" spans="1:12" ht="12.75">
      <c r="A8" s="113"/>
      <c r="B8" s="114"/>
      <c r="C8" s="129"/>
      <c r="D8" s="130"/>
      <c r="E8" s="131"/>
      <c r="F8" s="130"/>
      <c r="G8" s="130"/>
      <c r="H8" s="113"/>
      <c r="I8" s="113"/>
      <c r="J8" s="116"/>
      <c r="K8" s="113"/>
      <c r="L8" s="113"/>
    </row>
    <row r="9" spans="1:12" ht="12.75">
      <c r="A9" s="113"/>
      <c r="B9" s="114"/>
      <c r="C9" s="129"/>
      <c r="D9" s="129"/>
      <c r="E9" s="132"/>
      <c r="F9" s="129"/>
      <c r="G9" s="129"/>
      <c r="H9" s="113"/>
      <c r="I9" s="113"/>
      <c r="J9" s="116"/>
      <c r="K9" s="113"/>
      <c r="L9" s="113"/>
    </row>
    <row r="10" spans="1:12" ht="12.75" customHeight="1">
      <c r="A10" s="133">
        <v>701</v>
      </c>
      <c r="B10" s="134">
        <v>192501</v>
      </c>
      <c r="C10" s="135" t="s">
        <v>181</v>
      </c>
      <c r="D10" s="59"/>
      <c r="E10" s="136">
        <v>1</v>
      </c>
      <c r="F10" s="137">
        <f>ROUND(D10*E10,0)</f>
        <v>0</v>
      </c>
      <c r="G10" s="59"/>
      <c r="H10" s="138">
        <f aca="true" t="shared" si="0" ref="H10:H33">F10-G10</f>
        <v>0</v>
      </c>
      <c r="I10" s="59"/>
      <c r="J10" s="136">
        <v>1</v>
      </c>
      <c r="K10" s="137">
        <f>ROUND(I10*J10,0)</f>
        <v>0</v>
      </c>
      <c r="L10" s="138">
        <f>K10-F10</f>
        <v>0</v>
      </c>
    </row>
    <row r="11" spans="1:12" ht="12.75" customHeight="1">
      <c r="A11" s="139"/>
      <c r="B11" s="140"/>
      <c r="C11" s="129"/>
      <c r="D11" s="141"/>
      <c r="E11" s="142"/>
      <c r="F11" s="143"/>
      <c r="G11" s="141"/>
      <c r="H11" s="141"/>
      <c r="I11" s="141"/>
      <c r="J11" s="142"/>
      <c r="K11" s="143"/>
      <c r="L11" s="53"/>
    </row>
    <row r="12" spans="1:12" ht="12.75" customHeight="1">
      <c r="A12" s="133">
        <f>A10+1</f>
        <v>702</v>
      </c>
      <c r="B12" s="144">
        <v>190501</v>
      </c>
      <c r="C12" s="135" t="s">
        <v>182</v>
      </c>
      <c r="D12" s="59"/>
      <c r="E12" s="145"/>
      <c r="F12" s="137">
        <f>ROUND(D12*E12,0)</f>
        <v>0</v>
      </c>
      <c r="G12" s="59"/>
      <c r="H12" s="138">
        <f t="shared" si="0"/>
        <v>0</v>
      </c>
      <c r="I12" s="59"/>
      <c r="J12" s="136">
        <v>0.8</v>
      </c>
      <c r="K12" s="137">
        <f>ROUND(I12*J12,0)</f>
        <v>0</v>
      </c>
      <c r="L12" s="138">
        <f aca="true" t="shared" si="1" ref="L12:L33">K12-F12</f>
        <v>0</v>
      </c>
    </row>
    <row r="13" spans="1:12" ht="12.75" customHeight="1">
      <c r="A13" s="133">
        <f>A12+1</f>
        <v>703</v>
      </c>
      <c r="B13" s="144">
        <v>190502</v>
      </c>
      <c r="C13" s="135" t="s">
        <v>183</v>
      </c>
      <c r="D13" s="59"/>
      <c r="E13" s="145"/>
      <c r="F13" s="137">
        <f>ROUND(D13*E13,0)</f>
        <v>0</v>
      </c>
      <c r="G13" s="59"/>
      <c r="H13" s="138">
        <f t="shared" si="0"/>
        <v>0</v>
      </c>
      <c r="I13" s="59"/>
      <c r="J13" s="136">
        <v>0.8</v>
      </c>
      <c r="K13" s="137">
        <f>ROUND(I13*J13,0)</f>
        <v>0</v>
      </c>
      <c r="L13" s="138">
        <f t="shared" si="1"/>
        <v>0</v>
      </c>
    </row>
    <row r="14" spans="1:12" ht="12.75" customHeight="1">
      <c r="A14" s="133">
        <f aca="true" t="shared" si="2" ref="A14:A32">A13+1</f>
        <v>704</v>
      </c>
      <c r="B14" s="144">
        <v>190503</v>
      </c>
      <c r="C14" s="135" t="s">
        <v>184</v>
      </c>
      <c r="D14" s="59"/>
      <c r="E14" s="145"/>
      <c r="F14" s="137">
        <f aca="true" t="shared" si="3" ref="F14:F33">ROUND(D14*E14,0)</f>
        <v>0</v>
      </c>
      <c r="G14" s="59"/>
      <c r="H14" s="138">
        <f t="shared" si="0"/>
        <v>0</v>
      </c>
      <c r="I14" s="59"/>
      <c r="J14" s="136">
        <v>0.8</v>
      </c>
      <c r="K14" s="137">
        <f aca="true" t="shared" si="4" ref="K14:K33">ROUND(I14*J14,0)</f>
        <v>0</v>
      </c>
      <c r="L14" s="138">
        <f t="shared" si="1"/>
        <v>0</v>
      </c>
    </row>
    <row r="15" spans="1:12" ht="12.75" customHeight="1">
      <c r="A15" s="133">
        <f t="shared" si="2"/>
        <v>705</v>
      </c>
      <c r="B15" s="144">
        <v>190504</v>
      </c>
      <c r="C15" s="135" t="s">
        <v>185</v>
      </c>
      <c r="D15" s="59"/>
      <c r="E15" s="145"/>
      <c r="F15" s="137">
        <f t="shared" si="3"/>
        <v>0</v>
      </c>
      <c r="G15" s="59"/>
      <c r="H15" s="138">
        <f t="shared" si="0"/>
        <v>0</v>
      </c>
      <c r="I15" s="59"/>
      <c r="J15" s="136">
        <v>0.8</v>
      </c>
      <c r="K15" s="137">
        <f t="shared" si="4"/>
        <v>0</v>
      </c>
      <c r="L15" s="138">
        <f t="shared" si="1"/>
        <v>0</v>
      </c>
    </row>
    <row r="16" spans="1:12" ht="12.75" customHeight="1">
      <c r="A16" s="133">
        <f t="shared" si="2"/>
        <v>706</v>
      </c>
      <c r="B16" s="144">
        <v>190505</v>
      </c>
      <c r="C16" s="135" t="s">
        <v>186</v>
      </c>
      <c r="D16" s="59"/>
      <c r="E16" s="145"/>
      <c r="F16" s="137">
        <f t="shared" si="3"/>
        <v>0</v>
      </c>
      <c r="G16" s="59"/>
      <c r="H16" s="138">
        <f t="shared" si="0"/>
        <v>0</v>
      </c>
      <c r="I16" s="59"/>
      <c r="J16" s="136">
        <v>0.8</v>
      </c>
      <c r="K16" s="137">
        <f t="shared" si="4"/>
        <v>0</v>
      </c>
      <c r="L16" s="138">
        <f t="shared" si="1"/>
        <v>0</v>
      </c>
    </row>
    <row r="17" spans="1:12" ht="12.75" customHeight="1">
      <c r="A17" s="133">
        <f t="shared" si="2"/>
        <v>707</v>
      </c>
      <c r="B17" s="144">
        <v>190506</v>
      </c>
      <c r="C17" s="135" t="s">
        <v>187</v>
      </c>
      <c r="D17" s="59"/>
      <c r="E17" s="145"/>
      <c r="F17" s="137">
        <f t="shared" si="3"/>
        <v>0</v>
      </c>
      <c r="G17" s="59"/>
      <c r="H17" s="138">
        <f t="shared" si="0"/>
        <v>0</v>
      </c>
      <c r="I17" s="59"/>
      <c r="J17" s="136">
        <v>0.8</v>
      </c>
      <c r="K17" s="137">
        <f t="shared" si="4"/>
        <v>0</v>
      </c>
      <c r="L17" s="138">
        <f t="shared" si="1"/>
        <v>0</v>
      </c>
    </row>
    <row r="18" spans="1:12" ht="12.75" customHeight="1">
      <c r="A18" s="133">
        <f t="shared" si="2"/>
        <v>708</v>
      </c>
      <c r="B18" s="144">
        <v>190507</v>
      </c>
      <c r="C18" s="135" t="s">
        <v>188</v>
      </c>
      <c r="D18" s="59"/>
      <c r="E18" s="145"/>
      <c r="F18" s="137">
        <f t="shared" si="3"/>
        <v>0</v>
      </c>
      <c r="G18" s="59"/>
      <c r="H18" s="138">
        <f t="shared" si="0"/>
        <v>0</v>
      </c>
      <c r="I18" s="59"/>
      <c r="J18" s="136">
        <v>0.8</v>
      </c>
      <c r="K18" s="137">
        <f t="shared" si="4"/>
        <v>0</v>
      </c>
      <c r="L18" s="138">
        <f t="shared" si="1"/>
        <v>0</v>
      </c>
    </row>
    <row r="19" spans="1:12" ht="12.75" customHeight="1">
      <c r="A19" s="133">
        <f t="shared" si="2"/>
        <v>709</v>
      </c>
      <c r="B19" s="144">
        <v>190508</v>
      </c>
      <c r="C19" s="135" t="s">
        <v>189</v>
      </c>
      <c r="D19" s="59"/>
      <c r="E19" s="145"/>
      <c r="F19" s="137">
        <f t="shared" si="3"/>
        <v>0</v>
      </c>
      <c r="G19" s="59"/>
      <c r="H19" s="138">
        <f t="shared" si="0"/>
        <v>0</v>
      </c>
      <c r="I19" s="59"/>
      <c r="J19" s="136">
        <v>0.8</v>
      </c>
      <c r="K19" s="137">
        <f t="shared" si="4"/>
        <v>0</v>
      </c>
      <c r="L19" s="138">
        <f t="shared" si="1"/>
        <v>0</v>
      </c>
    </row>
    <row r="20" spans="1:12" ht="12.75" customHeight="1">
      <c r="A20" s="133">
        <f t="shared" si="2"/>
        <v>710</v>
      </c>
      <c r="B20" s="144">
        <v>190509</v>
      </c>
      <c r="C20" s="135" t="s">
        <v>190</v>
      </c>
      <c r="D20" s="59"/>
      <c r="E20" s="145"/>
      <c r="F20" s="137">
        <f t="shared" si="3"/>
        <v>0</v>
      </c>
      <c r="G20" s="59"/>
      <c r="H20" s="138">
        <f t="shared" si="0"/>
        <v>0</v>
      </c>
      <c r="I20" s="59"/>
      <c r="J20" s="136">
        <v>0.8</v>
      </c>
      <c r="K20" s="137">
        <f t="shared" si="4"/>
        <v>0</v>
      </c>
      <c r="L20" s="138">
        <f t="shared" si="1"/>
        <v>0</v>
      </c>
    </row>
    <row r="21" spans="1:12" ht="12.75" customHeight="1">
      <c r="A21" s="133">
        <f t="shared" si="2"/>
        <v>711</v>
      </c>
      <c r="B21" s="144">
        <v>190510</v>
      </c>
      <c r="C21" s="135" t="s">
        <v>191</v>
      </c>
      <c r="D21" s="59"/>
      <c r="E21" s="145"/>
      <c r="F21" s="137">
        <f t="shared" si="3"/>
        <v>0</v>
      </c>
      <c r="G21" s="59"/>
      <c r="H21" s="138">
        <f t="shared" si="0"/>
        <v>0</v>
      </c>
      <c r="I21" s="59"/>
      <c r="J21" s="136">
        <v>0.8</v>
      </c>
      <c r="K21" s="137">
        <f t="shared" si="4"/>
        <v>0</v>
      </c>
      <c r="L21" s="138">
        <f t="shared" si="1"/>
        <v>0</v>
      </c>
    </row>
    <row r="22" spans="1:12" ht="12.75" customHeight="1">
      <c r="A22" s="133">
        <f t="shared" si="2"/>
        <v>712</v>
      </c>
      <c r="B22" s="144">
        <v>190511</v>
      </c>
      <c r="C22" s="135" t="s">
        <v>192</v>
      </c>
      <c r="D22" s="59"/>
      <c r="E22" s="145"/>
      <c r="F22" s="137">
        <f t="shared" si="3"/>
        <v>0</v>
      </c>
      <c r="G22" s="59"/>
      <c r="H22" s="138">
        <f t="shared" si="0"/>
        <v>0</v>
      </c>
      <c r="I22" s="59"/>
      <c r="J22" s="136">
        <v>0.8</v>
      </c>
      <c r="K22" s="137">
        <f t="shared" si="4"/>
        <v>0</v>
      </c>
      <c r="L22" s="138">
        <f t="shared" si="1"/>
        <v>0</v>
      </c>
    </row>
    <row r="23" spans="1:12" ht="12.75" customHeight="1">
      <c r="A23" s="133">
        <f t="shared" si="2"/>
        <v>713</v>
      </c>
      <c r="B23" s="144">
        <v>190512</v>
      </c>
      <c r="C23" s="135" t="s">
        <v>193</v>
      </c>
      <c r="D23" s="59"/>
      <c r="E23" s="145"/>
      <c r="F23" s="137">
        <f t="shared" si="3"/>
        <v>0</v>
      </c>
      <c r="G23" s="59"/>
      <c r="H23" s="138">
        <f t="shared" si="0"/>
        <v>0</v>
      </c>
      <c r="I23" s="59"/>
      <c r="J23" s="136">
        <v>0.8</v>
      </c>
      <c r="K23" s="137">
        <f t="shared" si="4"/>
        <v>0</v>
      </c>
      <c r="L23" s="138">
        <f t="shared" si="1"/>
        <v>0</v>
      </c>
    </row>
    <row r="24" spans="1:12" ht="12.75" customHeight="1">
      <c r="A24" s="133">
        <f t="shared" si="2"/>
        <v>714</v>
      </c>
      <c r="B24" s="144">
        <v>190513</v>
      </c>
      <c r="C24" s="135" t="s">
        <v>194</v>
      </c>
      <c r="D24" s="59"/>
      <c r="E24" s="145"/>
      <c r="F24" s="137">
        <f t="shared" si="3"/>
        <v>0</v>
      </c>
      <c r="G24" s="59"/>
      <c r="H24" s="138">
        <f t="shared" si="0"/>
        <v>0</v>
      </c>
      <c r="I24" s="59"/>
      <c r="J24" s="136">
        <v>1</v>
      </c>
      <c r="K24" s="137">
        <f t="shared" si="4"/>
        <v>0</v>
      </c>
      <c r="L24" s="138">
        <f t="shared" si="1"/>
        <v>0</v>
      </c>
    </row>
    <row r="25" spans="1:12" ht="12.75" customHeight="1">
      <c r="A25" s="133">
        <f t="shared" si="2"/>
        <v>715</v>
      </c>
      <c r="B25" s="144">
        <v>190514</v>
      </c>
      <c r="C25" s="135" t="s">
        <v>195</v>
      </c>
      <c r="D25" s="59"/>
      <c r="E25" s="145"/>
      <c r="F25" s="137">
        <f t="shared" si="3"/>
        <v>0</v>
      </c>
      <c r="G25" s="59"/>
      <c r="H25" s="138">
        <f t="shared" si="0"/>
        <v>0</v>
      </c>
      <c r="I25" s="59"/>
      <c r="J25" s="136">
        <v>1</v>
      </c>
      <c r="K25" s="137">
        <f t="shared" si="4"/>
        <v>0</v>
      </c>
      <c r="L25" s="138">
        <f t="shared" si="1"/>
        <v>0</v>
      </c>
    </row>
    <row r="26" spans="1:12" ht="12.75" customHeight="1">
      <c r="A26" s="133">
        <f t="shared" si="2"/>
        <v>716</v>
      </c>
      <c r="B26" s="144">
        <v>190513</v>
      </c>
      <c r="C26" s="135" t="s">
        <v>196</v>
      </c>
      <c r="D26" s="59"/>
      <c r="E26" s="145"/>
      <c r="F26" s="137">
        <f t="shared" si="3"/>
        <v>0</v>
      </c>
      <c r="G26" s="59"/>
      <c r="H26" s="138">
        <f t="shared" si="0"/>
        <v>0</v>
      </c>
      <c r="I26" s="59"/>
      <c r="J26" s="136">
        <v>0.8</v>
      </c>
      <c r="K26" s="137">
        <f t="shared" si="4"/>
        <v>0</v>
      </c>
      <c r="L26" s="138">
        <f t="shared" si="1"/>
        <v>0</v>
      </c>
    </row>
    <row r="27" spans="1:12" ht="12.75" customHeight="1">
      <c r="A27" s="133">
        <f t="shared" si="2"/>
        <v>717</v>
      </c>
      <c r="B27" s="144">
        <v>190514</v>
      </c>
      <c r="C27" s="135" t="s">
        <v>197</v>
      </c>
      <c r="D27" s="59"/>
      <c r="E27" s="145"/>
      <c r="F27" s="137">
        <f t="shared" si="3"/>
        <v>0</v>
      </c>
      <c r="G27" s="59"/>
      <c r="H27" s="138">
        <f t="shared" si="0"/>
        <v>0</v>
      </c>
      <c r="I27" s="59"/>
      <c r="J27" s="136">
        <v>0.8</v>
      </c>
      <c r="K27" s="137">
        <f t="shared" si="4"/>
        <v>0</v>
      </c>
      <c r="L27" s="138">
        <f t="shared" si="1"/>
        <v>0</v>
      </c>
    </row>
    <row r="28" spans="1:12" ht="12.75" customHeight="1">
      <c r="A28" s="133">
        <f t="shared" si="2"/>
        <v>718</v>
      </c>
      <c r="B28" s="144">
        <v>190515</v>
      </c>
      <c r="C28" s="146" t="s">
        <v>320</v>
      </c>
      <c r="D28" s="59"/>
      <c r="E28" s="145"/>
      <c r="F28" s="137">
        <f>ROUND(D28*E28,0)</f>
        <v>0</v>
      </c>
      <c r="G28" s="59"/>
      <c r="H28" s="138">
        <f>F28-G28</f>
        <v>0</v>
      </c>
      <c r="I28" s="59"/>
      <c r="J28" s="136">
        <v>0.8</v>
      </c>
      <c r="K28" s="137">
        <f>ROUND(I28*J28,0)</f>
        <v>0</v>
      </c>
      <c r="L28" s="138">
        <f>K28-F28</f>
        <v>0</v>
      </c>
    </row>
    <row r="29" spans="1:12" ht="12.75" customHeight="1">
      <c r="A29" s="133">
        <f t="shared" si="2"/>
        <v>719</v>
      </c>
      <c r="B29" s="144">
        <v>190516</v>
      </c>
      <c r="C29" s="146" t="s">
        <v>198</v>
      </c>
      <c r="D29" s="59"/>
      <c r="E29" s="145"/>
      <c r="F29" s="137">
        <f t="shared" si="3"/>
        <v>0</v>
      </c>
      <c r="G29" s="59"/>
      <c r="H29" s="138">
        <f t="shared" si="0"/>
        <v>0</v>
      </c>
      <c r="I29" s="59"/>
      <c r="J29" s="136">
        <v>0.8</v>
      </c>
      <c r="K29" s="137">
        <f t="shared" si="4"/>
        <v>0</v>
      </c>
      <c r="L29" s="138">
        <f t="shared" si="1"/>
        <v>0</v>
      </c>
    </row>
    <row r="30" spans="1:12" ht="12.75" customHeight="1">
      <c r="A30" s="133">
        <f t="shared" si="2"/>
        <v>720</v>
      </c>
      <c r="B30" s="144">
        <v>190517</v>
      </c>
      <c r="C30" s="146" t="s">
        <v>199</v>
      </c>
      <c r="D30" s="59"/>
      <c r="E30" s="145"/>
      <c r="F30" s="137">
        <f t="shared" si="3"/>
        <v>0</v>
      </c>
      <c r="G30" s="59"/>
      <c r="H30" s="138">
        <f t="shared" si="0"/>
        <v>0</v>
      </c>
      <c r="I30" s="59"/>
      <c r="J30" s="136">
        <v>0.8</v>
      </c>
      <c r="K30" s="137">
        <f t="shared" si="4"/>
        <v>0</v>
      </c>
      <c r="L30" s="138">
        <f t="shared" si="1"/>
        <v>0</v>
      </c>
    </row>
    <row r="31" spans="1:12" ht="12.75" customHeight="1">
      <c r="A31" s="133">
        <f t="shared" si="2"/>
        <v>721</v>
      </c>
      <c r="B31" s="144">
        <v>190518</v>
      </c>
      <c r="C31" s="135" t="s">
        <v>200</v>
      </c>
      <c r="D31" s="59"/>
      <c r="E31" s="145"/>
      <c r="F31" s="137">
        <f t="shared" si="3"/>
        <v>0</v>
      </c>
      <c r="G31" s="59"/>
      <c r="H31" s="138">
        <f t="shared" si="0"/>
        <v>0</v>
      </c>
      <c r="I31" s="59"/>
      <c r="J31" s="136">
        <v>0.8</v>
      </c>
      <c r="K31" s="137">
        <f t="shared" si="4"/>
        <v>0</v>
      </c>
      <c r="L31" s="138">
        <f t="shared" si="1"/>
        <v>0</v>
      </c>
    </row>
    <row r="32" spans="1:12" ht="12.75" customHeight="1">
      <c r="A32" s="133">
        <f t="shared" si="2"/>
        <v>722</v>
      </c>
      <c r="B32" s="144">
        <v>190519</v>
      </c>
      <c r="C32" s="135" t="s">
        <v>201</v>
      </c>
      <c r="D32" s="59"/>
      <c r="E32" s="145"/>
      <c r="F32" s="137">
        <f t="shared" si="3"/>
        <v>0</v>
      </c>
      <c r="G32" s="59"/>
      <c r="H32" s="138">
        <f t="shared" si="0"/>
        <v>0</v>
      </c>
      <c r="I32" s="59"/>
      <c r="J32" s="136">
        <v>0.8</v>
      </c>
      <c r="K32" s="137">
        <f t="shared" si="4"/>
        <v>0</v>
      </c>
      <c r="L32" s="138">
        <f t="shared" si="1"/>
        <v>0</v>
      </c>
    </row>
    <row r="33" spans="1:12" ht="12.75" customHeight="1">
      <c r="A33" s="133">
        <f>A32+1</f>
        <v>723</v>
      </c>
      <c r="B33" s="134"/>
      <c r="C33" s="147"/>
      <c r="D33" s="59"/>
      <c r="E33" s="145"/>
      <c r="F33" s="137">
        <f t="shared" si="3"/>
        <v>0</v>
      </c>
      <c r="G33" s="59"/>
      <c r="H33" s="138">
        <f t="shared" si="0"/>
        <v>0</v>
      </c>
      <c r="I33" s="59"/>
      <c r="J33" s="136">
        <v>0.8</v>
      </c>
      <c r="K33" s="137">
        <f t="shared" si="4"/>
        <v>0</v>
      </c>
      <c r="L33" s="138">
        <f t="shared" si="1"/>
        <v>0</v>
      </c>
    </row>
    <row r="34" spans="1:12" ht="12.75" customHeight="1">
      <c r="A34" s="129"/>
      <c r="B34" s="140"/>
      <c r="C34" s="129"/>
      <c r="D34" s="148"/>
      <c r="E34" s="149"/>
      <c r="F34" s="148"/>
      <c r="G34" s="148"/>
      <c r="H34" s="129"/>
      <c r="I34" s="129"/>
      <c r="J34" s="132"/>
      <c r="K34" s="129"/>
      <c r="L34" s="129"/>
    </row>
    <row r="35" spans="1:12" ht="12.75" customHeight="1">
      <c r="A35" s="113"/>
      <c r="B35" s="114"/>
      <c r="C35" s="126"/>
      <c r="D35" s="150">
        <f>SUM(D10:D33)</f>
        <v>0</v>
      </c>
      <c r="E35" s="151"/>
      <c r="F35" s="150">
        <f>SUM(F10:F33)</f>
        <v>0</v>
      </c>
      <c r="G35" s="150">
        <f>SUM(G10:G33)</f>
        <v>0</v>
      </c>
      <c r="H35" s="152">
        <f>SUM(H10:H33)</f>
        <v>0</v>
      </c>
      <c r="I35" s="150">
        <f>SUM(I10:I33)</f>
        <v>0</v>
      </c>
      <c r="J35" s="116"/>
      <c r="K35" s="150">
        <f>SUM(K10:K33)</f>
        <v>0</v>
      </c>
      <c r="L35" s="44">
        <f>SUM(L10:L33)</f>
        <v>0</v>
      </c>
    </row>
    <row r="36" spans="1:12" ht="12.75">
      <c r="A36" s="113"/>
      <c r="B36" s="114"/>
      <c r="C36" s="129"/>
      <c r="D36" s="153"/>
      <c r="E36" s="131"/>
      <c r="F36" s="153"/>
      <c r="G36" s="153"/>
      <c r="H36" s="154"/>
      <c r="I36" s="154"/>
      <c r="J36" s="113"/>
      <c r="K36" s="113"/>
      <c r="L36" s="113"/>
    </row>
    <row r="37" spans="1:12" ht="12.75">
      <c r="A37" s="113"/>
      <c r="B37" s="114"/>
      <c r="C37" s="41"/>
      <c r="D37" s="155"/>
      <c r="E37" s="132"/>
      <c r="F37" s="129"/>
      <c r="G37" s="129"/>
      <c r="H37" s="113"/>
      <c r="I37" s="113"/>
      <c r="J37" s="113"/>
      <c r="K37" s="113"/>
      <c r="L37" s="113"/>
    </row>
    <row r="38" spans="1:12" ht="12.75">
      <c r="A38" s="113"/>
      <c r="B38" s="114"/>
      <c r="C38" s="41"/>
      <c r="D38" s="155"/>
      <c r="E38" s="132"/>
      <c r="F38" s="129"/>
      <c r="G38" s="129"/>
      <c r="H38" s="113"/>
      <c r="I38" s="113"/>
      <c r="J38" s="113"/>
      <c r="K38" s="113"/>
      <c r="L38" s="113"/>
    </row>
    <row r="39" spans="1:12" ht="12.75">
      <c r="A39" s="113"/>
      <c r="B39" s="155" t="str">
        <f>CONCATENATE("* voor ",Voorblad!B3-1," geldt een maximale vergoeding van 75% van de werkelijke kosten (netto-inkoopkosten), vanaf ",Voorblad!B3," is dit 80 % van de werkelijke kosten")</f>
        <v>* voor 2005 geldt een maximale vergoeding van 75% van de werkelijke kosten (netto-inkoopkosten), vanaf 2006 is dit 80 % van de werkelijke kosten</v>
      </c>
      <c r="C39" s="41"/>
      <c r="D39" s="155"/>
      <c r="E39" s="132"/>
      <c r="F39" s="129"/>
      <c r="G39" s="129"/>
      <c r="H39" s="113"/>
      <c r="I39" s="113"/>
      <c r="J39" s="113"/>
      <c r="K39" s="113"/>
      <c r="L39" s="113"/>
    </row>
    <row r="40" spans="1:12" ht="12.75">
      <c r="A40" s="113"/>
      <c r="B40" s="41"/>
      <c r="C40" s="41"/>
      <c r="D40" s="155"/>
      <c r="E40" s="132"/>
      <c r="F40" s="129"/>
      <c r="G40" s="129"/>
      <c r="H40" s="113"/>
      <c r="I40" s="113"/>
      <c r="J40" s="113"/>
      <c r="K40" s="113"/>
      <c r="L40" s="41"/>
    </row>
    <row r="41" spans="1:12" ht="12.75">
      <c r="A41" s="41"/>
      <c r="B41" s="155" t="s">
        <v>202</v>
      </c>
      <c r="C41" s="41"/>
      <c r="D41" s="156"/>
      <c r="E41" s="42"/>
      <c r="F41" s="43"/>
      <c r="G41" s="43"/>
      <c r="H41" s="41"/>
      <c r="I41" s="41"/>
      <c r="J41" s="41"/>
      <c r="K41" s="41"/>
      <c r="L41" s="41"/>
    </row>
    <row r="42" spans="1:12" ht="12.75">
      <c r="A42" s="41"/>
      <c r="B42" s="155" t="s">
        <v>203</v>
      </c>
      <c r="C42" s="41"/>
      <c r="D42" s="156"/>
      <c r="E42" s="157"/>
      <c r="F42" s="43"/>
      <c r="G42" s="43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3"/>
      <c r="E43" s="42"/>
      <c r="F43" s="43"/>
      <c r="G43" s="43"/>
      <c r="H43" s="41"/>
      <c r="I43" s="41"/>
      <c r="J43" s="41"/>
      <c r="K43" s="41"/>
      <c r="L43" s="41"/>
    </row>
    <row r="44" spans="1:12" ht="12.75">
      <c r="A44" s="41"/>
      <c r="B44" s="155" t="str">
        <f>CONCATENATE("*** Voor reuma-patienten die na 1-5-2004 beginnen met remicade kan hier de 75% budgettaire vergoeding voor ",Voorblad!B3-1," en 80% voor ",Voorblad!B3," worden overeengekomen.")</f>
        <v>*** Voor reuma-patienten die na 1-5-2004 beginnen met remicade kan hier de 75% budgettaire vergoeding voor 2005 en 80% voor 2006 worden overeengekomen.</v>
      </c>
      <c r="C44" s="41"/>
      <c r="D44" s="43"/>
      <c r="E44" s="42"/>
      <c r="F44" s="43"/>
      <c r="G44" s="43"/>
      <c r="H44" s="41"/>
      <c r="I44" s="41"/>
      <c r="J44" s="41"/>
      <c r="K44" s="41"/>
      <c r="L44" s="41"/>
    </row>
  </sheetData>
  <sheetProtection password="CCBC" sheet="1" objects="1" scenarios="1"/>
  <conditionalFormatting sqref="I10 D10 G10 I12:I33 D12:E33 G12:G33">
    <cfRule type="expression" priority="1" dxfId="0" stopIfTrue="1">
      <formula>$B$2=TRUE</formula>
    </cfRule>
  </conditionalFormatting>
  <printOptions/>
  <pageMargins left="0.75" right="0.75" top="1" bottom="1" header="0.5" footer="0.5"/>
  <pageSetup horizontalDpi="1200" verticalDpi="1200" orientation="landscape" paperSize="9" scale="59" r:id="rId1"/>
  <headerFooter alignWithMargins="0">
    <oddFooter>&amp;Rblad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RowColHeaders="0" showZeros="0" showOutlineSymbols="0"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2" max="2" width="65.140625" style="0" customWidth="1"/>
    <col min="3" max="6" width="14.7109375" style="0" customWidth="1"/>
  </cols>
  <sheetData>
    <row r="1" ht="12.75">
      <c r="B1" s="9" t="s">
        <v>259</v>
      </c>
    </row>
    <row r="2" spans="1:2" ht="12.75">
      <c r="A2" s="208" t="b">
        <f>Voorblad!A24</f>
        <v>1</v>
      </c>
      <c r="B2" t="s">
        <v>314</v>
      </c>
    </row>
    <row r="3" ht="12.75">
      <c r="B3" t="s">
        <v>315</v>
      </c>
    </row>
    <row r="4" ht="12.75">
      <c r="B4" t="s">
        <v>316</v>
      </c>
    </row>
    <row r="6" spans="3:6" ht="12.75">
      <c r="C6" s="277" t="s">
        <v>288</v>
      </c>
      <c r="D6" s="278"/>
      <c r="E6" s="279" t="s">
        <v>310</v>
      </c>
      <c r="F6" s="279" t="s">
        <v>291</v>
      </c>
    </row>
    <row r="7" spans="3:6" ht="12.75">
      <c r="C7" s="279" t="s">
        <v>289</v>
      </c>
      <c r="D7" s="279" t="s">
        <v>290</v>
      </c>
      <c r="E7" s="281"/>
      <c r="F7" s="281"/>
    </row>
    <row r="8" spans="3:6" ht="12.75">
      <c r="C8" s="280"/>
      <c r="D8" s="280"/>
      <c r="E8" s="280"/>
      <c r="F8" s="280"/>
    </row>
    <row r="10" spans="1:6" ht="12.75">
      <c r="A10" s="181">
        <v>801</v>
      </c>
      <c r="B10" s="186" t="s">
        <v>262</v>
      </c>
      <c r="C10" s="187">
        <v>1.26</v>
      </c>
      <c r="D10" s="188"/>
      <c r="E10" s="188"/>
      <c r="F10" s="188"/>
    </row>
    <row r="11" spans="1:6" ht="12.75">
      <c r="A11" s="181">
        <f>A10+1</f>
        <v>802</v>
      </c>
      <c r="B11" s="186" t="s">
        <v>263</v>
      </c>
      <c r="C11" s="187">
        <v>1.75</v>
      </c>
      <c r="D11" s="188"/>
      <c r="E11" s="188"/>
      <c r="F11" s="188"/>
    </row>
    <row r="12" spans="1:6" ht="12.75">
      <c r="A12" s="181">
        <f aca="true" t="shared" si="0" ref="A12:A43">A11+1</f>
        <v>803</v>
      </c>
      <c r="B12" s="186" t="s">
        <v>264</v>
      </c>
      <c r="C12" s="187">
        <v>1.52</v>
      </c>
      <c r="D12" s="188"/>
      <c r="E12" s="188"/>
      <c r="F12" s="188"/>
    </row>
    <row r="13" spans="1:6" ht="12.75">
      <c r="A13" s="181">
        <f t="shared" si="0"/>
        <v>804</v>
      </c>
      <c r="B13" s="186" t="s">
        <v>265</v>
      </c>
      <c r="C13" s="187">
        <v>1.23</v>
      </c>
      <c r="D13" s="188"/>
      <c r="E13" s="188"/>
      <c r="F13" s="188"/>
    </row>
    <row r="14" spans="1:6" ht="12.75">
      <c r="A14" s="181">
        <f t="shared" si="0"/>
        <v>805</v>
      </c>
      <c r="B14" s="186" t="s">
        <v>266</v>
      </c>
      <c r="C14" s="187">
        <v>0.88</v>
      </c>
      <c r="D14" s="188"/>
      <c r="E14" s="188"/>
      <c r="F14" s="188"/>
    </row>
    <row r="15" spans="1:6" ht="12.75">
      <c r="A15" s="181">
        <f t="shared" si="0"/>
        <v>806</v>
      </c>
      <c r="B15" s="186" t="s">
        <v>267</v>
      </c>
      <c r="C15" s="187">
        <v>1.26</v>
      </c>
      <c r="D15" s="188"/>
      <c r="E15" s="188"/>
      <c r="F15" s="188"/>
    </row>
    <row r="16" spans="1:6" ht="12.75">
      <c r="A16" s="181">
        <f t="shared" si="0"/>
        <v>807</v>
      </c>
      <c r="B16" s="186" t="s">
        <v>268</v>
      </c>
      <c r="C16" s="187">
        <v>0.2</v>
      </c>
      <c r="D16" s="188"/>
      <c r="E16" s="188"/>
      <c r="F16" s="188"/>
    </row>
    <row r="17" spans="1:6" ht="12.75">
      <c r="A17" s="181">
        <f t="shared" si="0"/>
        <v>808</v>
      </c>
      <c r="B17" s="186" t="s">
        <v>269</v>
      </c>
      <c r="C17" s="187">
        <v>0.73</v>
      </c>
      <c r="D17" s="188"/>
      <c r="E17" s="188"/>
      <c r="F17" s="188"/>
    </row>
    <row r="18" spans="1:6" ht="12.75">
      <c r="A18" s="181">
        <f t="shared" si="0"/>
        <v>809</v>
      </c>
      <c r="B18" s="186" t="s">
        <v>270</v>
      </c>
      <c r="C18" s="187">
        <v>1.47</v>
      </c>
      <c r="D18" s="188"/>
      <c r="E18" s="188"/>
      <c r="F18" s="188"/>
    </row>
    <row r="19" spans="1:6" ht="12.75">
      <c r="A19" s="181">
        <f t="shared" si="0"/>
        <v>810</v>
      </c>
      <c r="B19" s="186" t="s">
        <v>271</v>
      </c>
      <c r="C19" s="187">
        <v>1.45</v>
      </c>
      <c r="D19" s="188"/>
      <c r="E19" s="188"/>
      <c r="F19" s="188"/>
    </row>
    <row r="20" spans="1:6" ht="12.75">
      <c r="A20" s="181">
        <f t="shared" si="0"/>
        <v>811</v>
      </c>
      <c r="B20" s="186" t="s">
        <v>272</v>
      </c>
      <c r="C20" s="187">
        <v>0.93</v>
      </c>
      <c r="D20" s="188"/>
      <c r="E20" s="188"/>
      <c r="F20" s="188"/>
    </row>
    <row r="21" spans="1:6" ht="12.75">
      <c r="A21" s="181">
        <f t="shared" si="0"/>
        <v>812</v>
      </c>
      <c r="B21" s="186" t="s">
        <v>273</v>
      </c>
      <c r="C21" s="187">
        <v>0.66</v>
      </c>
      <c r="D21" s="188"/>
      <c r="E21" s="188"/>
      <c r="F21" s="188"/>
    </row>
    <row r="22" spans="1:6" ht="12.75">
      <c r="A22" s="181">
        <f t="shared" si="0"/>
        <v>813</v>
      </c>
      <c r="B22" s="186" t="s">
        <v>274</v>
      </c>
      <c r="C22" s="187">
        <v>1.09</v>
      </c>
      <c r="D22" s="188"/>
      <c r="E22" s="188"/>
      <c r="F22" s="188"/>
    </row>
    <row r="23" spans="1:6" ht="12.75">
      <c r="A23" s="181">
        <f t="shared" si="0"/>
        <v>814</v>
      </c>
      <c r="B23" s="186" t="s">
        <v>275</v>
      </c>
      <c r="C23" s="187">
        <v>2.14</v>
      </c>
      <c r="D23" s="188"/>
      <c r="E23" s="188"/>
      <c r="F23" s="188"/>
    </row>
    <row r="24" spans="1:6" ht="12.75">
      <c r="A24" s="181">
        <f t="shared" si="0"/>
        <v>815</v>
      </c>
      <c r="B24" s="186" t="s">
        <v>276</v>
      </c>
      <c r="C24" s="187">
        <v>0.73</v>
      </c>
      <c r="D24" s="188"/>
      <c r="E24" s="188"/>
      <c r="F24" s="188"/>
    </row>
    <row r="25" spans="1:6" ht="12.75">
      <c r="A25" s="181">
        <f t="shared" si="0"/>
        <v>816</v>
      </c>
      <c r="B25" s="186" t="s">
        <v>277</v>
      </c>
      <c r="C25" s="187">
        <v>0.18</v>
      </c>
      <c r="D25" s="188"/>
      <c r="E25" s="188"/>
      <c r="F25" s="188"/>
    </row>
    <row r="26" spans="1:6" ht="12.75">
      <c r="A26" s="181">
        <f t="shared" si="0"/>
        <v>817</v>
      </c>
      <c r="B26" s="186" t="s">
        <v>278</v>
      </c>
      <c r="C26" s="187">
        <v>0.25</v>
      </c>
      <c r="D26" s="188"/>
      <c r="E26" s="188"/>
      <c r="F26" s="188"/>
    </row>
    <row r="27" spans="1:6" ht="12.75">
      <c r="A27" s="181">
        <f t="shared" si="0"/>
        <v>818</v>
      </c>
      <c r="B27" s="186" t="s">
        <v>279</v>
      </c>
      <c r="C27" s="187">
        <v>0.37</v>
      </c>
      <c r="D27" s="188"/>
      <c r="E27" s="188"/>
      <c r="F27" s="188"/>
    </row>
    <row r="28" spans="1:6" ht="12.75">
      <c r="A28" s="181">
        <f t="shared" si="0"/>
        <v>819</v>
      </c>
      <c r="B28" s="186" t="s">
        <v>280</v>
      </c>
      <c r="C28" s="187">
        <v>1.24</v>
      </c>
      <c r="D28" s="188"/>
      <c r="E28" s="188"/>
      <c r="F28" s="188"/>
    </row>
    <row r="29" spans="1:6" ht="12.75">
      <c r="A29" s="181">
        <f t="shared" si="0"/>
        <v>820</v>
      </c>
      <c r="B29" s="135" t="s">
        <v>281</v>
      </c>
      <c r="C29" s="187">
        <v>0.9</v>
      </c>
      <c r="D29" s="188"/>
      <c r="E29" s="210"/>
      <c r="F29" s="193"/>
    </row>
    <row r="30" spans="1:6" ht="12.75">
      <c r="A30" s="181">
        <f t="shared" si="0"/>
        <v>821</v>
      </c>
      <c r="B30" s="135" t="s">
        <v>282</v>
      </c>
      <c r="C30" s="187">
        <v>0.66</v>
      </c>
      <c r="D30" s="188"/>
      <c r="E30" s="188"/>
      <c r="F30" s="188"/>
    </row>
    <row r="31" spans="1:6" ht="12.75">
      <c r="A31" s="181">
        <f t="shared" si="0"/>
        <v>822</v>
      </c>
      <c r="B31" s="186" t="s">
        <v>283</v>
      </c>
      <c r="C31" s="187">
        <v>0.93</v>
      </c>
      <c r="D31" s="188"/>
      <c r="E31" s="188"/>
      <c r="F31" s="188"/>
    </row>
    <row r="32" spans="1:6" ht="12.75">
      <c r="A32" s="181">
        <f t="shared" si="0"/>
        <v>823</v>
      </c>
      <c r="B32" s="135" t="s">
        <v>284</v>
      </c>
      <c r="C32" s="155"/>
      <c r="D32" s="189"/>
      <c r="E32" s="189"/>
      <c r="F32" s="189"/>
    </row>
    <row r="33" spans="1:6" ht="12.75">
      <c r="A33" s="181">
        <f t="shared" si="0"/>
        <v>824</v>
      </c>
      <c r="B33" s="135" t="s">
        <v>285</v>
      </c>
      <c r="C33" s="187">
        <v>0.53</v>
      </c>
      <c r="D33" s="188"/>
      <c r="E33" s="188"/>
      <c r="F33" s="188"/>
    </row>
    <row r="34" spans="1:6" ht="12.75">
      <c r="A34" s="181">
        <f t="shared" si="0"/>
        <v>825</v>
      </c>
      <c r="B34" s="190" t="s">
        <v>286</v>
      </c>
      <c r="C34" s="187">
        <v>0.37</v>
      </c>
      <c r="D34" s="188"/>
      <c r="E34" s="188"/>
      <c r="F34" s="188"/>
    </row>
    <row r="35" spans="1:6" ht="12.75">
      <c r="A35" s="181">
        <f t="shared" si="0"/>
        <v>826</v>
      </c>
      <c r="B35" s="186" t="s">
        <v>287</v>
      </c>
      <c r="C35" s="187">
        <v>1.64</v>
      </c>
      <c r="D35" s="188"/>
      <c r="E35" s="188"/>
      <c r="F35" s="188"/>
    </row>
    <row r="36" spans="1:6" ht="12.75">
      <c r="A36" s="181">
        <f t="shared" si="0"/>
        <v>827</v>
      </c>
      <c r="B36" s="267" t="s">
        <v>292</v>
      </c>
      <c r="C36" s="276"/>
      <c r="D36" s="268"/>
      <c r="E36" s="191"/>
      <c r="F36" s="188"/>
    </row>
    <row r="37" spans="1:6" ht="12.75">
      <c r="A37" s="181">
        <f t="shared" si="0"/>
        <v>828</v>
      </c>
      <c r="B37" s="267" t="s">
        <v>293</v>
      </c>
      <c r="C37" s="276"/>
      <c r="D37" s="268"/>
      <c r="E37" s="191"/>
      <c r="F37" s="188"/>
    </row>
    <row r="38" spans="1:6" ht="12.75">
      <c r="A38" s="181">
        <f t="shared" si="0"/>
        <v>829</v>
      </c>
      <c r="B38" s="267" t="s">
        <v>294</v>
      </c>
      <c r="C38" s="276"/>
      <c r="D38" s="268"/>
      <c r="E38" s="191"/>
      <c r="F38" s="188"/>
    </row>
    <row r="39" spans="1:6" ht="12.75">
      <c r="A39" s="181">
        <f t="shared" si="0"/>
        <v>830</v>
      </c>
      <c r="B39" s="267" t="s">
        <v>295</v>
      </c>
      <c r="C39" s="276"/>
      <c r="D39" s="268"/>
      <c r="E39" s="191"/>
      <c r="F39" s="188"/>
    </row>
    <row r="40" spans="1:6" ht="12.75">
      <c r="A40" s="181">
        <f t="shared" si="0"/>
        <v>831</v>
      </c>
      <c r="B40" s="267" t="s">
        <v>296</v>
      </c>
      <c r="C40" s="276"/>
      <c r="D40" s="268"/>
      <c r="E40" s="191"/>
      <c r="F40" s="188"/>
    </row>
    <row r="41" spans="1:6" ht="12.75">
      <c r="A41" s="181">
        <f t="shared" si="0"/>
        <v>832</v>
      </c>
      <c r="B41" s="273" t="s">
        <v>297</v>
      </c>
      <c r="C41" s="274"/>
      <c r="D41" s="275"/>
      <c r="E41" s="192"/>
      <c r="F41" s="188"/>
    </row>
    <row r="42" spans="1:6" ht="12.75">
      <c r="A42" s="181">
        <f t="shared" si="0"/>
        <v>833</v>
      </c>
      <c r="B42" s="273" t="s">
        <v>298</v>
      </c>
      <c r="C42" s="274"/>
      <c r="D42" s="275"/>
      <c r="E42" s="192"/>
      <c r="F42" s="188"/>
    </row>
    <row r="43" spans="1:6" ht="12.75">
      <c r="A43" s="181">
        <f t="shared" si="0"/>
        <v>834</v>
      </c>
      <c r="B43" s="273" t="s">
        <v>299</v>
      </c>
      <c r="C43" s="274"/>
      <c r="D43" s="275"/>
      <c r="E43" s="192"/>
      <c r="F43" s="188"/>
    </row>
    <row r="44" ht="12.75">
      <c r="F44" s="189"/>
    </row>
    <row r="45" spans="1:6" ht="12.75">
      <c r="A45" s="181">
        <f>A43+1</f>
        <v>835</v>
      </c>
      <c r="B45" s="267" t="s">
        <v>21</v>
      </c>
      <c r="C45" s="268"/>
      <c r="D45" s="194">
        <f>SUM(D10:D43)</f>
        <v>0</v>
      </c>
      <c r="E45" s="194">
        <f>SUM(E10:E43)</f>
        <v>0</v>
      </c>
      <c r="F45" s="194">
        <f>SUM(F10:F43)</f>
        <v>0</v>
      </c>
    </row>
    <row r="46" spans="1:6" ht="12.75">
      <c r="A46" s="181">
        <f>A45+1</f>
        <v>836</v>
      </c>
      <c r="B46" s="267" t="s">
        <v>300</v>
      </c>
      <c r="C46" s="268"/>
      <c r="D46" s="194">
        <f>SUM(D10:D44)</f>
        <v>0</v>
      </c>
      <c r="E46" s="217"/>
      <c r="F46" s="194">
        <f>SUM(F10:F29)+SUM(F31:F40)</f>
        <v>0</v>
      </c>
    </row>
    <row r="47" spans="1:5" ht="12.75">
      <c r="A47" s="181">
        <f>A46+1</f>
        <v>837</v>
      </c>
      <c r="B47" s="267" t="s">
        <v>301</v>
      </c>
      <c r="C47" s="268"/>
      <c r="D47" s="194">
        <f>ROUND(SUMPRODUCT(C10:C44,D10:D44)*0.44,2)</f>
        <v>0</v>
      </c>
      <c r="E47" s="211"/>
    </row>
    <row r="49" spans="1:6" ht="12.75">
      <c r="A49" s="181">
        <f>A47+1</f>
        <v>838</v>
      </c>
      <c r="B49" s="261" t="s">
        <v>302</v>
      </c>
      <c r="C49" s="262"/>
      <c r="D49" s="262"/>
      <c r="E49" s="262"/>
      <c r="F49" s="263"/>
    </row>
    <row r="50" spans="1:6" ht="12.75">
      <c r="A50" s="199"/>
      <c r="B50" s="200"/>
      <c r="C50" s="155"/>
      <c r="D50" s="155"/>
      <c r="E50" s="155"/>
      <c r="F50" s="155"/>
    </row>
    <row r="51" spans="1:6" ht="12.75">
      <c r="A51" s="181">
        <f>A49+1</f>
        <v>839</v>
      </c>
      <c r="B51" s="269" t="s">
        <v>319</v>
      </c>
      <c r="C51" s="270"/>
      <c r="D51" s="182" t="s">
        <v>9</v>
      </c>
      <c r="E51" s="182" t="s">
        <v>20</v>
      </c>
      <c r="F51" s="182" t="s">
        <v>318</v>
      </c>
    </row>
    <row r="52" spans="1:6" ht="12.75">
      <c r="A52" s="181">
        <f>A51+1</f>
        <v>840</v>
      </c>
      <c r="B52" s="213" t="s">
        <v>303</v>
      </c>
      <c r="D52" s="201">
        <f>ROUND(D47*'Blad10 parameterwaarden'!E9,0)</f>
        <v>0</v>
      </c>
      <c r="E52" s="201">
        <f>ROUND(D47*'Blad10 parameterwaarden'!F9,0)</f>
        <v>0</v>
      </c>
      <c r="F52" s="223">
        <f>D52+E52</f>
        <v>0</v>
      </c>
    </row>
    <row r="53" spans="1:6" s="11" customFormat="1" ht="12.75">
      <c r="A53" s="204"/>
      <c r="B53" s="202"/>
      <c r="C53" s="202"/>
      <c r="D53" s="203"/>
      <c r="E53" s="203"/>
      <c r="F53" s="203"/>
    </row>
    <row r="54" spans="1:6" ht="12.75">
      <c r="A54" s="181">
        <f>A52+1</f>
        <v>841</v>
      </c>
      <c r="B54" s="195" t="s">
        <v>317</v>
      </c>
      <c r="C54" s="196"/>
      <c r="D54" s="196"/>
      <c r="E54" s="196"/>
      <c r="F54" s="182">
        <v>2005</v>
      </c>
    </row>
    <row r="55" spans="1:6" ht="12.75">
      <c r="A55" s="181">
        <f>A54+1</f>
        <v>842</v>
      </c>
      <c r="B55" s="197" t="s">
        <v>261</v>
      </c>
      <c r="C55" s="198"/>
      <c r="D55" s="198"/>
      <c r="E55" s="198"/>
      <c r="F55" s="183"/>
    </row>
    <row r="56" spans="1:6" ht="12.75">
      <c r="A56" s="181">
        <f>A55+1</f>
        <v>843</v>
      </c>
      <c r="B56" s="197" t="str">
        <f>CONCATENATE("Aantal agio's voor investeringsrichtlijn (regel ",A45," x 0,25)")</f>
        <v>Aantal agio's voor investeringsrichtlijn (regel 835 x 0,25)</v>
      </c>
      <c r="C56" s="198"/>
      <c r="D56" s="198"/>
      <c r="E56" s="212"/>
      <c r="F56">
        <f>ROUND(D45*0.25,2)</f>
        <v>0</v>
      </c>
    </row>
    <row r="57" spans="1:6" ht="12.75">
      <c r="A57" s="181">
        <f>A56+1</f>
        <v>844</v>
      </c>
      <c r="B57" s="197" t="s">
        <v>260</v>
      </c>
      <c r="C57" s="198"/>
      <c r="D57" s="198"/>
      <c r="E57" s="198"/>
      <c r="F57" s="224">
        <f>ROUND((ROUND(IF(F55&lt;=450,'Blad10 parameterwaarden'!M62,IF(F55&gt;=600,'Blad10 parameterwaarden'!M63,(F55-450)/150*('Blad10 parameterwaarden'!M63-'Blad10 parameterwaarden'!M62)+'Blad10 parameterwaarden'!M62)),0)/10)*F56,0)</f>
        <v>0</v>
      </c>
    </row>
    <row r="59" spans="1:6" ht="12.75">
      <c r="A59" s="181">
        <f>A57+1</f>
        <v>845</v>
      </c>
      <c r="B59" s="195" t="s">
        <v>312</v>
      </c>
      <c r="C59" s="196"/>
      <c r="D59" s="196"/>
      <c r="E59" s="196"/>
      <c r="F59" s="226">
        <v>2005</v>
      </c>
    </row>
    <row r="60" spans="1:6" ht="12.75">
      <c r="A60" s="181">
        <f>A59+1</f>
        <v>846</v>
      </c>
      <c r="B60" s="218" t="s">
        <v>313</v>
      </c>
      <c r="C60" s="219"/>
      <c r="D60" s="219"/>
      <c r="E60" s="219"/>
      <c r="F60" s="183"/>
    </row>
    <row r="61" spans="1:6" ht="12.75">
      <c r="A61" s="181">
        <f>A60+1</f>
        <v>847</v>
      </c>
      <c r="B61" s="207" t="s">
        <v>309</v>
      </c>
      <c r="C61" s="209"/>
      <c r="D61" s="184">
        <f>E45</f>
        <v>0</v>
      </c>
      <c r="E61" s="205">
        <v>15700</v>
      </c>
      <c r="F61" s="205">
        <f>ROUND(D61*E61,0)</f>
        <v>0</v>
      </c>
    </row>
    <row r="62" spans="1:6" ht="12.75">
      <c r="A62" s="181">
        <f>A61+1</f>
        <v>848</v>
      </c>
      <c r="B62" s="207" t="s">
        <v>21</v>
      </c>
      <c r="C62" s="220"/>
      <c r="D62" s="221"/>
      <c r="E62" s="222"/>
      <c r="F62" s="205">
        <f>F60+F61</f>
        <v>0</v>
      </c>
    </row>
    <row r="64" spans="1:6" ht="12.75">
      <c r="A64" s="181">
        <f>A62+1</f>
        <v>849</v>
      </c>
      <c r="B64" s="195" t="str">
        <f>CONCATENATE("Totaal schoning (regel ",A52,"+ ",A57,"+ ",A62,")")</f>
        <v>Totaal schoning (regel 840+ 844+ 848)</v>
      </c>
      <c r="C64" s="196"/>
      <c r="D64" s="196"/>
      <c r="E64" s="196"/>
      <c r="F64" s="225">
        <f>F52+F57+F62</f>
        <v>0</v>
      </c>
    </row>
    <row r="66" spans="1:6" ht="12.75" customHeight="1">
      <c r="A66" s="264">
        <f>A64+1</f>
        <v>850</v>
      </c>
      <c r="B66" s="271" t="s">
        <v>304</v>
      </c>
      <c r="C66" s="272"/>
      <c r="D66" s="256" t="str">
        <f>CONCATENATE("bezette plaatsen ult. ",Voorblad!B3-1)</f>
        <v>bezette plaatsen ult. 2005</v>
      </c>
      <c r="E66" s="256" t="s">
        <v>305</v>
      </c>
      <c r="F66" s="256" t="s">
        <v>306</v>
      </c>
    </row>
    <row r="67" spans="1:6" ht="12.75">
      <c r="A67" s="265"/>
      <c r="B67" s="271"/>
      <c r="C67" s="272"/>
      <c r="D67" s="259"/>
      <c r="E67" s="259"/>
      <c r="F67" s="257"/>
    </row>
    <row r="68" spans="1:6" ht="12.75">
      <c r="A68" s="266"/>
      <c r="B68" s="271"/>
      <c r="C68" s="272"/>
      <c r="D68" s="260"/>
      <c r="E68" s="260"/>
      <c r="F68" s="258"/>
    </row>
    <row r="69" spans="1:6" ht="12.75">
      <c r="A69" s="181">
        <f>A66+1</f>
        <v>851</v>
      </c>
      <c r="B69" s="214" t="s">
        <v>307</v>
      </c>
      <c r="C69" s="215"/>
      <c r="D69" s="184">
        <f>F46</f>
        <v>0</v>
      </c>
      <c r="E69" s="205">
        <f>IF(D69&lt;50,'Blad10 parameterwaarden'!L67,IF(D69&gt;=150,'Blad10 parameterwaarden'!L69,'Blad10 parameterwaarden'!L68))</f>
        <v>145000</v>
      </c>
      <c r="F69" s="205">
        <f>ROUND(E69*D69,0)</f>
        <v>0</v>
      </c>
    </row>
    <row r="70" spans="1:6" ht="12.75">
      <c r="A70" s="181">
        <f>A69+1</f>
        <v>852</v>
      </c>
      <c r="B70" s="207" t="s">
        <v>308</v>
      </c>
      <c r="C70" s="216"/>
      <c r="D70" s="184">
        <f>F45-F46</f>
        <v>0</v>
      </c>
      <c r="E70" s="205">
        <f>'Blad10 parameterwaarden'!L69</f>
        <v>108000</v>
      </c>
      <c r="F70" s="205">
        <f>ROUND(D70*E70,0)</f>
        <v>0</v>
      </c>
    </row>
    <row r="71" spans="1:6" ht="12.75">
      <c r="A71" s="181">
        <f>A70+1</f>
        <v>853</v>
      </c>
      <c r="B71" s="207" t="s">
        <v>306</v>
      </c>
      <c r="C71" s="216"/>
      <c r="D71" s="184">
        <f>SUM(D69:D70)</f>
        <v>0</v>
      </c>
      <c r="E71" s="155"/>
      <c r="F71" s="185">
        <f>SUM(F69:F70)</f>
        <v>0</v>
      </c>
    </row>
    <row r="72" spans="1:8" ht="12.75">
      <c r="A72" s="206"/>
      <c r="B72" s="155"/>
      <c r="C72" s="155"/>
      <c r="D72" s="155"/>
      <c r="E72" s="155"/>
      <c r="F72" s="155"/>
      <c r="G72" s="155"/>
      <c r="H72" s="155"/>
    </row>
    <row r="73" spans="1:6" ht="12.75">
      <c r="A73" s="181">
        <f>A71+1</f>
        <v>854</v>
      </c>
      <c r="B73" s="195" t="str">
        <f>CONCATENATE("Restpost (ten behoeve van budgetneutraliteit) (regel ",A64," - ",A71,")")</f>
        <v>Restpost (ten behoeve van budgetneutraliteit) (regel 849 - 853)</v>
      </c>
      <c r="C73" s="196"/>
      <c r="D73" s="196"/>
      <c r="E73" s="196"/>
      <c r="F73" s="185">
        <f>F64-F71</f>
        <v>0</v>
      </c>
    </row>
    <row r="74" spans="1:7" ht="12.75">
      <c r="A74" s="155"/>
      <c r="C74" s="155"/>
      <c r="D74" s="155"/>
      <c r="E74" s="155"/>
      <c r="F74" s="155"/>
      <c r="G74" s="155"/>
    </row>
    <row r="75" ht="12.75">
      <c r="B75" t="s">
        <v>311</v>
      </c>
    </row>
  </sheetData>
  <sheetProtection password="CCBC" sheet="1" objects="1" scenarios="1"/>
  <mergeCells count="23">
    <mergeCell ref="C6:D6"/>
    <mergeCell ref="C7:C8"/>
    <mergeCell ref="D7:D8"/>
    <mergeCell ref="F6:F8"/>
    <mergeCell ref="E6:E8"/>
    <mergeCell ref="B43:D43"/>
    <mergeCell ref="B36:D36"/>
    <mergeCell ref="B37:D37"/>
    <mergeCell ref="B38:D38"/>
    <mergeCell ref="B39:D39"/>
    <mergeCell ref="B40:D40"/>
    <mergeCell ref="B41:D41"/>
    <mergeCell ref="B42:D42"/>
    <mergeCell ref="A66:A68"/>
    <mergeCell ref="B45:C45"/>
    <mergeCell ref="B46:C46"/>
    <mergeCell ref="B47:C47"/>
    <mergeCell ref="B51:C51"/>
    <mergeCell ref="B66:C68"/>
    <mergeCell ref="F66:F68"/>
    <mergeCell ref="D66:D68"/>
    <mergeCell ref="E66:E68"/>
    <mergeCell ref="B49:F49"/>
  </mergeCells>
  <conditionalFormatting sqref="F55 F33:F43 D10:E31 D33:E35 F30:F31 F10:F28 F60">
    <cfRule type="expression" priority="1" dxfId="0" stopIfTrue="1">
      <formula>$A$2=TRUE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Footer>&amp;Rblad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RowColHeaders="0" showZeros="0" showOutlineSymbols="0" view="pageBreakPreview" zoomScale="75" zoomScaleSheetLayoutView="75" workbookViewId="0" topLeftCell="A1">
      <selection activeCell="C6" sqref="C6"/>
    </sheetView>
  </sheetViews>
  <sheetFormatPr defaultColWidth="9.140625" defaultRowHeight="12.75"/>
  <cols>
    <col min="1" max="1" width="6.28125" style="0" bestFit="1" customWidth="1"/>
    <col min="2" max="2" width="64.421875" style="0" customWidth="1"/>
    <col min="3" max="3" width="12.7109375" style="0" customWidth="1"/>
  </cols>
  <sheetData>
    <row r="1" ht="12.75">
      <c r="B1" s="9" t="str">
        <f>CONCATENATE("Voorlopige nacalculatie ",Voorblad!B3-1)</f>
        <v>Voorlopige nacalculatie 2005</v>
      </c>
    </row>
    <row r="2" ht="12.75">
      <c r="B2" s="158" t="b">
        <f>Voorblad!A24</f>
        <v>1</v>
      </c>
    </row>
    <row r="3" ht="12.75">
      <c r="B3" s="9" t="s">
        <v>120</v>
      </c>
    </row>
    <row r="5" spans="1:3" ht="12.75">
      <c r="A5" s="176">
        <v>801</v>
      </c>
      <c r="B5" s="159" t="s">
        <v>121</v>
      </c>
      <c r="C5" s="160">
        <f>'Blad3 Categorale ziekenh. (011)'!K34+'Blad3 Categorale ziekenh. (011)'!L34</f>
        <v>0</v>
      </c>
    </row>
    <row r="6" spans="1:4" ht="12.75">
      <c r="A6" s="176">
        <f>A5+1</f>
        <v>802</v>
      </c>
      <c r="B6" s="161" t="s">
        <v>122</v>
      </c>
      <c r="C6" s="162"/>
      <c r="D6" s="15"/>
    </row>
    <row r="7" spans="1:3" ht="12.75">
      <c r="A7" s="176">
        <f>A6+1</f>
        <v>803</v>
      </c>
      <c r="B7" s="161" t="s">
        <v>123</v>
      </c>
      <c r="C7" s="163">
        <f>IF('Blad6 overige budgetcomponenten'!C22=0,0,'Blad6 overige budgetcomponenten'!C22)</f>
        <v>0</v>
      </c>
    </row>
    <row r="8" spans="1:3" ht="12.75">
      <c r="A8" s="176">
        <f>A7+1</f>
        <v>804</v>
      </c>
      <c r="B8" s="161" t="s">
        <v>124</v>
      </c>
      <c r="C8" s="163">
        <f>IF('Blad7 dure geneesmiddelen'!H35=0,0,'Blad7 dure geneesmiddelen'!H35)</f>
        <v>0</v>
      </c>
    </row>
    <row r="9" spans="1:3" ht="12.75">
      <c r="A9" s="177"/>
      <c r="B9" s="9"/>
      <c r="C9" s="10"/>
    </row>
    <row r="10" spans="1:3" ht="12.75">
      <c r="A10" s="176">
        <f>A8+1</f>
        <v>805</v>
      </c>
      <c r="B10" s="164" t="str">
        <f>CONCATENATE("voorlopige nacalculatie ",Voorblad!$B$3-1," totaal")</f>
        <v>voorlopige nacalculatie 2005 totaal</v>
      </c>
      <c r="C10" s="165">
        <f>SUM(C6:C8)</f>
        <v>0</v>
      </c>
    </row>
    <row r="11" ht="12.75">
      <c r="A11" s="177"/>
    </row>
    <row r="12" spans="1:2" ht="12.75">
      <c r="A12" s="177"/>
      <c r="B12" s="9" t="s">
        <v>125</v>
      </c>
    </row>
    <row r="13" ht="12.75">
      <c r="A13" s="177"/>
    </row>
    <row r="14" spans="1:3" ht="12.75">
      <c r="A14" s="176">
        <f>A10+1</f>
        <v>806</v>
      </c>
      <c r="B14" s="159" t="s">
        <v>121</v>
      </c>
      <c r="C14" s="160">
        <f>'Blad 4 Epilepsie (040)'!I18</f>
        <v>0</v>
      </c>
    </row>
    <row r="15" spans="1:3" ht="12.75">
      <c r="A15" s="176">
        <f>A14+1</f>
        <v>807</v>
      </c>
      <c r="B15" s="161" t="s">
        <v>122</v>
      </c>
      <c r="C15" s="162"/>
    </row>
    <row r="16" spans="1:3" ht="12.75">
      <c r="A16" s="176">
        <f>A15+1</f>
        <v>808</v>
      </c>
      <c r="B16" s="161" t="s">
        <v>123</v>
      </c>
      <c r="C16" s="163">
        <f>IF('Blad6 overige budgetcomponenten'!C22=0,0,'Blad6 overige budgetcomponenten'!C22)</f>
        <v>0</v>
      </c>
    </row>
    <row r="17" spans="1:3" ht="12.75">
      <c r="A17" s="176">
        <f>A16+1</f>
        <v>809</v>
      </c>
      <c r="B17" s="161" t="s">
        <v>124</v>
      </c>
      <c r="C17" s="163">
        <f>IF('Blad7 dure geneesmiddelen'!H35=0,0,'Blad7 dure geneesmiddelen'!H35)</f>
        <v>0</v>
      </c>
    </row>
    <row r="18" spans="1:3" ht="12.75">
      <c r="A18" s="177"/>
      <c r="B18" s="9"/>
      <c r="C18" s="10"/>
    </row>
    <row r="19" spans="1:3" ht="12.75">
      <c r="A19" s="176">
        <f>A17+1</f>
        <v>810</v>
      </c>
      <c r="B19" s="164" t="str">
        <f>CONCATENATE("voorlopige nacalculatie ",Voorblad!$B$3-1," totaal")</f>
        <v>voorlopige nacalculatie 2005 totaal</v>
      </c>
      <c r="C19" s="165">
        <f>SUM(C15:C17)</f>
        <v>0</v>
      </c>
    </row>
    <row r="20" ht="12.75">
      <c r="A20" s="177"/>
    </row>
    <row r="21" spans="1:2" ht="12.75">
      <c r="A21" s="177"/>
      <c r="B21" s="9" t="s">
        <v>126</v>
      </c>
    </row>
    <row r="22" ht="12.75">
      <c r="A22" s="177"/>
    </row>
    <row r="23" spans="1:3" ht="12.75">
      <c r="A23" s="176">
        <f>A19+1</f>
        <v>811</v>
      </c>
      <c r="B23" s="159" t="s">
        <v>121</v>
      </c>
      <c r="C23" s="160">
        <f>'Blad5 Radiotherap. centra (090)'!K18+'Blad5 Radiotherap. centra (090)'!L18</f>
        <v>0</v>
      </c>
    </row>
    <row r="24" spans="1:3" ht="12.75">
      <c r="A24" s="176">
        <f>A23+1</f>
        <v>812</v>
      </c>
      <c r="B24" s="161" t="s">
        <v>122</v>
      </c>
      <c r="C24" s="162"/>
    </row>
    <row r="25" spans="1:3" ht="12.75">
      <c r="A25" s="176">
        <f>A24+1</f>
        <v>813</v>
      </c>
      <c r="B25" s="161" t="s">
        <v>123</v>
      </c>
      <c r="C25" s="163">
        <f>IF('Blad6 overige budgetcomponenten'!C22=0,0,'Blad6 overige budgetcomponenten'!C22)</f>
        <v>0</v>
      </c>
    </row>
    <row r="26" spans="1:3" ht="12.75">
      <c r="A26" s="176">
        <f>A25+1</f>
        <v>814</v>
      </c>
      <c r="B26" s="161" t="s">
        <v>124</v>
      </c>
      <c r="C26" s="163">
        <f>IF('Blad7 dure geneesmiddelen'!H35=0,0,'Blad7 dure geneesmiddelen'!H35)</f>
        <v>0</v>
      </c>
    </row>
    <row r="27" spans="1:3" ht="12.75">
      <c r="A27" s="177"/>
      <c r="B27" s="9"/>
      <c r="C27" s="10"/>
    </row>
    <row r="28" spans="1:3" ht="12.75">
      <c r="A28" s="176">
        <f>A26+1</f>
        <v>815</v>
      </c>
      <c r="B28" s="164" t="str">
        <f>CONCATENATE("voorlopige nacalculatie ",Voorblad!$B$3-1," totaal")</f>
        <v>voorlopige nacalculatie 2005 totaal</v>
      </c>
      <c r="C28" s="165">
        <f>SUM(C24:C26)</f>
        <v>0</v>
      </c>
    </row>
    <row r="31" ht="12.75">
      <c r="B31" s="31" t="s">
        <v>204</v>
      </c>
    </row>
    <row r="32" ht="12.75">
      <c r="B32" s="31" t="s">
        <v>205</v>
      </c>
    </row>
  </sheetData>
  <sheetProtection password="CCBC" sheet="1" objects="1" scenarios="1"/>
  <conditionalFormatting sqref="C6 C15 C24">
    <cfRule type="expression" priority="1" dxfId="0" stopIfTrue="1">
      <formula>$B$2=TRUE</formula>
    </cfRule>
  </conditionalFormatting>
  <printOptions/>
  <pageMargins left="0.75" right="0.75" top="1" bottom="1" header="0.5" footer="0.5"/>
  <pageSetup fitToHeight="1" fitToWidth="1" horizontalDpi="1200" verticalDpi="1200" orientation="portrait" paperSize="9" r:id="rId1"/>
  <headerFooter alignWithMargins="0">
    <oddFooter>&amp;Rblad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E.A. Rutting</cp:lastModifiedBy>
  <cp:lastPrinted>2006-03-02T13:38:31Z</cp:lastPrinted>
  <dcterms:created xsi:type="dcterms:W3CDTF">2001-02-02T19:26:46Z</dcterms:created>
  <dcterms:modified xsi:type="dcterms:W3CDTF">2006-03-02T13:38:54Z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1006154952</vt:i4>
  </property>
  <property fmtid="{D5CDD505-2E9C-101B-9397-08002B2CF9AE}" pid="3" name="_EmailSubject">
    <vt:lpwstr>PA categoraal epilepsie radiotherapeutisch 05.xls</vt:lpwstr>
  </property>
  <property fmtid="{D5CDD505-2E9C-101B-9397-08002B2CF9AE}" pid="4" name="_AuthorEmail">
    <vt:lpwstr>LHuiskes@ctg-zaio.nl</vt:lpwstr>
  </property>
  <property fmtid="{D5CDD505-2E9C-101B-9397-08002B2CF9AE}" pid="5" name="_AuthorEmailDisplayName">
    <vt:lpwstr>Huiskes, Luuk</vt:lpwstr>
  </property>
  <property fmtid="{D5CDD505-2E9C-101B-9397-08002B2CF9AE}" pid="6" name="_PreviousAdHocReviewCycleID">
    <vt:i4>2014838074</vt:i4>
  </property>
  <property fmtid="{D5CDD505-2E9C-101B-9397-08002B2CF9AE}" pid="7" name="_ReviewingToolsShownOnce">
    <vt:lpwstr/>
  </property>
  <property fmtid="{D5CDD505-2E9C-101B-9397-08002B2CF9AE}" pid="8" name="_dlc_DocId">
    <vt:lpwstr>THRFR6N5WDQ4-17-3046</vt:lpwstr>
  </property>
  <property fmtid="{D5CDD505-2E9C-101B-9397-08002B2CF9AE}" pid="9" name="_dlc_DocIdItemGuid">
    <vt:lpwstr>169ceab5-df25-4d28-9de3-27d5e21e56cf</vt:lpwstr>
  </property>
  <property fmtid="{D5CDD505-2E9C-101B-9397-08002B2CF9AE}" pid="10" name="_dlc_DocIdUrl">
    <vt:lpwstr>http://kennisnet.nza.nl/publicaties/Aanleveren/_layouts/DocIdRedir.aspx?ID=THRFR6N5WDQ4-17-3046, THRFR6N5WDQ4-17-3046</vt:lpwstr>
  </property>
  <property fmtid="{D5CDD505-2E9C-101B-9397-08002B2CF9AE}" pid="11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12" name="NZa-zoekwoordenMetadata">
    <vt:lpwstr/>
  </property>
  <property fmtid="{D5CDD505-2E9C-101B-9397-08002B2CF9AE}" pid="13" name="VerzondenAanMetadata">
    <vt:lpwstr/>
  </property>
  <property fmtid="{D5CDD505-2E9C-101B-9397-08002B2CF9AE}" pid="14" name="Sector(en)Metadata">
    <vt:lpwstr>Alle:Ziekenhuiszorg|1a957709-959b-40c0-9640-61f1bd5d07a0</vt:lpwstr>
  </property>
  <property fmtid="{D5CDD505-2E9C-101B-9397-08002B2CF9AE}" pid="15" name="DocumentTypeMetadata">
    <vt:lpwstr>Regels:Formulier|4bc40415-667d-4fea-816d-9688ca6ffa69</vt:lpwstr>
  </property>
  <property fmtid="{D5CDD505-2E9C-101B-9397-08002B2CF9AE}" pid="16" name="ExtraZoekwoordenMetadata">
    <vt:lpwstr/>
  </property>
  <property fmtid="{D5CDD505-2E9C-101B-9397-08002B2CF9AE}" pid="17" name="j85cec29e8c24b8a90feb8db203ff7e2">
    <vt:lpwstr>Ziekenhuiszorg|1a957709-959b-40c0-9640-61f1bd5d07a0</vt:lpwstr>
  </property>
  <property fmtid="{D5CDD505-2E9C-101B-9397-08002B2CF9AE}" pid="18" name="DocumentTypen">
    <vt:lpwstr>103;#Formulier|4bc40415-667d-4fea-816d-9688ca6ffa69</vt:lpwstr>
  </property>
  <property fmtid="{D5CDD505-2E9C-101B-9397-08002B2CF9AE}" pid="19" name="DocumentType">
    <vt:lpwstr/>
  </property>
  <property fmtid="{D5CDD505-2E9C-101B-9397-08002B2CF9AE}" pid="20" name="Sector(en)">
    <vt:lpwstr>134;#Ziekenhuiszorg|1a957709-959b-40c0-9640-61f1bd5d07a0</vt:lpwstr>
  </property>
  <property fmtid="{D5CDD505-2E9C-101B-9397-08002B2CF9AE}" pid="21" name="NZa-zoekwoorden">
    <vt:lpwstr/>
  </property>
  <property fmtid="{D5CDD505-2E9C-101B-9397-08002B2CF9AE}" pid="22" name="ff74c6b610ef44f49114c43de1676156">
    <vt:lpwstr/>
  </property>
  <property fmtid="{D5CDD505-2E9C-101B-9397-08002B2CF9AE}" pid="23" name="n407de7a4204433984b2eeeaba786d56">
    <vt:lpwstr/>
  </property>
  <property fmtid="{D5CDD505-2E9C-101B-9397-08002B2CF9AE}" pid="24" name="Extra zoekwoorden">
    <vt:lpwstr/>
  </property>
  <property fmtid="{D5CDD505-2E9C-101B-9397-08002B2CF9AE}" pid="25" name="l24ea505ea8d4be1bd84e8204c620c6c">
    <vt:lpwstr/>
  </property>
  <property fmtid="{D5CDD505-2E9C-101B-9397-08002B2CF9AE}" pid="26" name="me0f0aaf77cd4640acf557f58a1d2cc0">
    <vt:lpwstr>Formulier|4bc40415-667d-4fea-816d-9688ca6ffa69</vt:lpwstr>
  </property>
  <property fmtid="{D5CDD505-2E9C-101B-9397-08002B2CF9AE}" pid="27" name="TaxCatchAll">
    <vt:lpwstr>103;#Formulier|4bc40415-667d-4fea-816d-9688ca6ffa69;#134;#Ziekenhuiszorg|1a957709-959b-40c0-9640-61f1bd5d07a0</vt:lpwstr>
  </property>
</Properties>
</file>