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7205" windowHeight="11025" activeTab="0"/>
  </bookViews>
  <sheets>
    <sheet name="Berekening" sheetId="1" r:id="rId1"/>
    <sheet name="Uitgangspunten" sheetId="2" r:id="rId2"/>
    <sheet name="Restpost uren &amp; nachtopvang" sheetId="3" r:id="rId3"/>
    <sheet name="Toelichting bij het invullen" sheetId="4" r:id="rId4"/>
  </sheets>
  <definedNames>
    <definedName name="_xlnm.Print_Area" localSheetId="0">'Berekening'!$A$3:$J$105</definedName>
    <definedName name="_xlnm.Print_Area" localSheetId="2">'Restpost uren &amp; nachtopvang'!$A$1:$L$55</definedName>
    <definedName name="_xlnm.Print_Area" localSheetId="3">'Toelichting bij het invullen'!$A:$J</definedName>
    <definedName name="_xlnm.Print_Area" localSheetId="1">'Uitgangspunten'!$A$1:$I$25</definedName>
  </definedNames>
  <calcPr fullCalcOnLoad="1"/>
</workbook>
</file>

<file path=xl/sharedStrings.xml><?xml version="1.0" encoding="utf-8"?>
<sst xmlns="http://schemas.openxmlformats.org/spreadsheetml/2006/main" count="250" uniqueCount="179">
  <si>
    <t>Gedragswetenschapper</t>
  </si>
  <si>
    <t>psychiater</t>
  </si>
  <si>
    <t>Overige msw/paramed.</t>
  </si>
  <si>
    <t>Dagbesteding</t>
  </si>
  <si>
    <t>Woondienst</t>
  </si>
  <si>
    <t>van</t>
  </si>
  <si>
    <t>tot</t>
  </si>
  <si>
    <t>op</t>
  </si>
  <si>
    <t>aantal uren</t>
  </si>
  <si>
    <t>maandag t/m vrijdag</t>
  </si>
  <si>
    <t>(bv 1 op 1;  2 op 1; 0,5 op 1)</t>
  </si>
  <si>
    <t>aantal pers.leden per cliënt</t>
  </si>
  <si>
    <t>Zaterdag &amp; Zondag</t>
  </si>
  <si>
    <t>maandag</t>
  </si>
  <si>
    <t>dinsdag</t>
  </si>
  <si>
    <t>woensdag</t>
  </si>
  <si>
    <t>donderdag</t>
  </si>
  <si>
    <t>vrijdag</t>
  </si>
  <si>
    <t>zaterdag</t>
  </si>
  <si>
    <t>zondag</t>
  </si>
  <si>
    <t>periode 1</t>
  </si>
  <si>
    <t>periode 2</t>
  </si>
  <si>
    <t>periode 3</t>
  </si>
  <si>
    <t>Totaal uren per week</t>
  </si>
  <si>
    <t>(betreft afwijkingen van bovengenoemd rooster)</t>
  </si>
  <si>
    <t>Arts</t>
  </si>
  <si>
    <t>Cliënturen</t>
  </si>
  <si>
    <t>formatie-uren</t>
  </si>
  <si>
    <t>schaal</t>
  </si>
  <si>
    <t xml:space="preserve"> aantal uren</t>
  </si>
  <si>
    <t>uren per week</t>
  </si>
  <si>
    <t>Omschrijving</t>
  </si>
  <si>
    <t>Pagina 1</t>
  </si>
  <si>
    <t>Naam cliënt:</t>
  </si>
  <si>
    <t>Dag</t>
  </si>
  <si>
    <t>Totaal</t>
  </si>
  <si>
    <t>MSW &amp; (para)medisch personeel</t>
  </si>
  <si>
    <t>Pagina 3</t>
  </si>
  <si>
    <t>Subtotaal ma t/m vr (per dag)</t>
  </si>
  <si>
    <t>subtotaal za &amp; zo (per dag)</t>
  </si>
  <si>
    <t>periode 4</t>
  </si>
  <si>
    <t>periode 5</t>
  </si>
  <si>
    <t>periode 6</t>
  </si>
  <si>
    <t xml:space="preserve">Toelichting bij het invullen van het berekeningenformulier  </t>
  </si>
  <si>
    <t>Pagina 4</t>
  </si>
  <si>
    <t xml:space="preserve">Voor de woondienst is de week verdeeld in 2 blokken: het weekeind en de doordeweekse dagen. Per blok zijn </t>
  </si>
  <si>
    <t>moment ingezet wordt vermeld te worden. Deze personeelsinzet wordt uitgedrukt in "aantal personeelsleden</t>
  </si>
  <si>
    <t xml:space="preserve">er 6 periodes gedefinieerd waarbinnen de client de zorg ontvangt. De uren van de zorgverlening in de </t>
  </si>
  <si>
    <t>van 15 minuten te werken. Een begintijd van 0:00 én een periode waarbinnen het tijdstip 0:00 voorkomt geeft</t>
  </si>
  <si>
    <t xml:space="preserve">Uren </t>
  </si>
  <si>
    <t>Restpost uren per week *)</t>
  </si>
  <si>
    <t xml:space="preserve">uren </t>
  </si>
  <si>
    <t>Nza registratienummer</t>
  </si>
  <si>
    <t>Totaal uren</t>
  </si>
  <si>
    <t>Uren per week</t>
  </si>
  <si>
    <t>SGLVG</t>
  </si>
  <si>
    <t>ob</t>
  </si>
  <si>
    <t>pv</t>
  </si>
  <si>
    <t>vp</t>
  </si>
  <si>
    <t>ab</t>
  </si>
  <si>
    <t>bh</t>
  </si>
  <si>
    <t>Woonzorg</t>
  </si>
  <si>
    <t>VV 8</t>
  </si>
  <si>
    <t>VG 7</t>
  </si>
  <si>
    <t>GGZ 7b</t>
  </si>
  <si>
    <t>LG 7</t>
  </si>
  <si>
    <t>ZG 3 aud</t>
  </si>
  <si>
    <t>ZG 5 vis</t>
  </si>
  <si>
    <t>LVG 4</t>
  </si>
  <si>
    <t>Functie</t>
  </si>
  <si>
    <t>Subtotaal woonzorg</t>
  </si>
  <si>
    <t>Subtotaal dagbesteding</t>
  </si>
  <si>
    <t>Behandeling</t>
  </si>
  <si>
    <t>verschil</t>
  </si>
  <si>
    <t>Subtotaal behandeling</t>
  </si>
  <si>
    <t xml:space="preserve">te worden. De totale uren per nacht moeten ingevuld worden in de regel slaapdienst. </t>
  </si>
  <si>
    <t>De dagbesteding kan ingevuld worden in het hiervoor bestemde blok. In tegenstelling tot de woondienst is er</t>
  </si>
  <si>
    <t>echter maar 1 periode per dag beschikbaar om in te vullen. Mocht het voorkomen dat een cliënt in de ochtend</t>
  </si>
  <si>
    <t>en in de middag dagbesteding krijgt, en voor de tussenliggend periode weer door de woondienst begeleid wordt,</t>
  </si>
  <si>
    <t>dan kunnen de totale uren per dag ingevuld worden als ware er sprake van een aaneengesloten periode.</t>
  </si>
  <si>
    <t xml:space="preserve">In het blok 'BEHANDELING' kan de inzet van de medisch sociaal wetenschappelijke staf en het  </t>
  </si>
  <si>
    <t>(para)medisch hulppersoneel opgegeven worden. Indien een specefieke behandelaar niet vermeld staat</t>
  </si>
  <si>
    <t>Algemeen:</t>
  </si>
  <si>
    <t>problemen bij de invoer. Mocht dit voorkomen dan dient u een andere begin- en eindtijd te kiezen, waarbij de</t>
  </si>
  <si>
    <t>tijdspanne van deze periode overigens niet wijzigt, zodat de foutmelding niet meer voorkomt.</t>
  </si>
  <si>
    <t>Woondienst:</t>
  </si>
  <si>
    <t xml:space="preserve">Waar mogelijk wordt gewerkt met een pull-down menu voor het invoeren van gegevens. Waar dit niet mogelijk is </t>
  </si>
  <si>
    <t>Berekening totaal uren zorg</t>
  </si>
  <si>
    <t>Alle in te vullen gegevens staan in een blauw gekleurde cel.</t>
  </si>
  <si>
    <t xml:space="preserve">Bij het invullen van de periode's mogen de uren van elke periode geen overlap vertonen met de andere periode's. </t>
  </si>
  <si>
    <t>Dagbesteding:</t>
  </si>
  <si>
    <t>Behandeling:</t>
  </si>
  <si>
    <t>Voor zover er gevraagd wordt om de begin- en eindtijden van de zorgverlening in te vullen dient u gebruik te</t>
  </si>
  <si>
    <t>maken van het pull-down menu wat aan de betreffende invoercel verbonden is. Gekozen is om met blokken</t>
  </si>
  <si>
    <r>
      <t xml:space="preserve">woondienst mogen </t>
    </r>
    <r>
      <rPr>
        <u val="single"/>
        <sz val="10"/>
        <rFont val="Arial"/>
        <family val="2"/>
      </rPr>
      <t>niet</t>
    </r>
    <r>
      <rPr>
        <sz val="10"/>
        <rFont val="Arial"/>
        <family val="0"/>
      </rPr>
      <t xml:space="preserve"> samenvallen met de uren van de andere periode's binnen de woondienst of de uren </t>
    </r>
  </si>
  <si>
    <t xml:space="preserve">waarin een cliënt dagbesteding ontvangt. In deze 6 periodes kan het reguliere schema ingevuld worden. </t>
  </si>
  <si>
    <t>Toelichting op de berekening restpost uren:</t>
  </si>
  <si>
    <t>(uren slaap/waakdienst, restpost uren per week en de uren in het blok 'Behandeling') moeten de uren ingevuld</t>
  </si>
  <si>
    <t>worden in het het formaat uu:mm (bv: 1 uur = 1:00).</t>
  </si>
  <si>
    <t xml:space="preserve">Ook is het niet toegestaan dat er een overlap is tussen de uren woondienst en dagbesteding. </t>
  </si>
  <si>
    <t>Onderverdeling in functies</t>
  </si>
  <si>
    <t>Ondersteunende begeleiding</t>
  </si>
  <si>
    <t>Persoonlijke verzorging</t>
  </si>
  <si>
    <t>Totaal uren per week woondienst</t>
  </si>
  <si>
    <t>Totaal uren per week dagbesteding</t>
  </si>
  <si>
    <t>per functie</t>
  </si>
  <si>
    <t>totaal</t>
  </si>
  <si>
    <t>Activerende begeleiding</t>
  </si>
  <si>
    <t xml:space="preserve">Het totaal aantal uren directe zorgverlening dient uitgesplitst te worden naar 4 functies. Het berekende </t>
  </si>
  <si>
    <t>aantal uren dient gelijk te zijn aan de opgegeven aantal uren.</t>
  </si>
  <si>
    <t xml:space="preserve">Het totaal aantal uren directe zorgverlening dient uitgesplitst te worden naar 2 functies. Het berekende </t>
  </si>
  <si>
    <t>Tarief ZZP</t>
  </si>
  <si>
    <t>Totaal bedrag zorgverlening</t>
  </si>
  <si>
    <t>Drempelbedrag</t>
  </si>
  <si>
    <t>Drempel</t>
  </si>
  <si>
    <t>Werkelijke uren p/w</t>
  </si>
  <si>
    <t>-</t>
  </si>
  <si>
    <t>Allereerst moet de naam van de cliënt en het Nza-nummer waaronder de instelling bekend staat</t>
  </si>
  <si>
    <t>ZZP max:</t>
  </si>
  <si>
    <t>VG 5</t>
  </si>
  <si>
    <t xml:space="preserve">     Geindiceerde ZZP: </t>
  </si>
  <si>
    <t>Totaal uren directe woondienst per week</t>
  </si>
  <si>
    <t>Totaal uren dagbesteding per week</t>
  </si>
  <si>
    <t>Totaal uren msw &amp; (para)medisch personeel (betreft uren behandeling)</t>
  </si>
  <si>
    <t>Datum opname cliënt in instelling</t>
  </si>
  <si>
    <t>Betreft de opgegeven ZZP een indicatie door het CIZ of een eigen score</t>
  </si>
  <si>
    <t>Eigen score</t>
  </si>
  <si>
    <t>CIZ-indicatie</t>
  </si>
  <si>
    <t>Verpleging</t>
  </si>
  <si>
    <t>Bijbehorende CCE-verklaring geldig tot</t>
  </si>
  <si>
    <t>ingevuld worden. Daarnaast wordt gevraagd naar de opnamedatum in de instelling, de datum waarop de zorg</t>
  </si>
  <si>
    <t>conform het sjabloon daadwerkelijk is begonnen en de datum waarop de geldigheid van de CCE-verklaring afloopt.</t>
  </si>
  <si>
    <t>Ook moet aangegeven worden of de cliënt over een CIZ-indicatie beschikt, of dat de ZZP door de zorgaanbieder</t>
  </si>
  <si>
    <t>LVG 5</t>
  </si>
  <si>
    <r>
      <t>Beoogde</t>
    </r>
    <r>
      <rPr>
        <sz val="10"/>
        <rFont val="Arial"/>
        <family val="0"/>
      </rPr>
      <t xml:space="preserve"> datum ingang zorgverlening cf </t>
    </r>
    <r>
      <rPr>
        <b/>
        <sz val="10"/>
        <color indexed="10"/>
        <rFont val="Arial"/>
        <family val="2"/>
      </rPr>
      <t>ONDERSTAAND</t>
    </r>
    <r>
      <rPr>
        <sz val="10"/>
        <rFont val="Arial"/>
        <family val="0"/>
      </rPr>
      <t xml:space="preserve"> Nza-sjabloon</t>
    </r>
  </si>
  <si>
    <t>blok worden opgegeven worden toegerekend aan de functie behandeling.</t>
  </si>
  <si>
    <t>kunt u de inzet onderbrengen in een andere categorie met dezelfde functieschaal. Alle uren die in dit</t>
  </si>
  <si>
    <t>zelf gescoord is. De toeslag kan alleen worden toegekend aan cliënten die hun zorg ontvangen in een instelling</t>
  </si>
  <si>
    <t>die is toegelaten voor plaatsen verblijf én behandeling. Extramurale cliënten óf cliënten in een instelling die</t>
  </si>
  <si>
    <t xml:space="preserve">alleen is toegelaten voor plaatsen verblijf zonder behandeling (de zogenaamde gvt-plaatsen) komen niet voor </t>
  </si>
  <si>
    <t>Toelichting op de berekening uren nachtopvang:</t>
  </si>
  <si>
    <t>Uren nachtopvang</t>
  </si>
  <si>
    <t>Uitgangspunten</t>
  </si>
  <si>
    <t>ZZP</t>
  </si>
  <si>
    <t>Uren per functie</t>
  </si>
  <si>
    <t>behandeling</t>
  </si>
  <si>
    <t>Drempel-berekening</t>
  </si>
  <si>
    <t>Naam Cliënt</t>
  </si>
  <si>
    <t>Nza-registratienummer</t>
  </si>
  <si>
    <t>Uitsplising totaal aantal uren tbv de drempelberekening naar AWBZ-functies</t>
  </si>
  <si>
    <t>In te calculeren toeslag extreme zorgzwaarte</t>
  </si>
  <si>
    <t>Berekening drempelbedrag &amp; in te calculeren toeslag extreme zorgzwaarte</t>
  </si>
  <si>
    <t>ZZP-prijs</t>
  </si>
  <si>
    <t>Behandeling in ZZP</t>
  </si>
  <si>
    <t>Dagbesteding in ZZP</t>
  </si>
  <si>
    <t>Pagina 2</t>
  </si>
  <si>
    <t>een toeslag extreme zorgbehoefte in aanmerking. Als laatste moet aangegeven worden of in de opgegeven</t>
  </si>
  <si>
    <t>behandeling. Uren die gerelateerd zijn aan bv dienstoverdracht, schrijven van rapportages, scholing of andere</t>
  </si>
  <si>
    <t>In dit blok wordt de toeslag extreme zorgzwaarte berekend.</t>
  </si>
  <si>
    <t>Sjabloon berekening toeslag extreme zorgzwaarte 2010</t>
  </si>
  <si>
    <t xml:space="preserve">De basis voor de berekeningen is gelegen in de opgave van de directe uren voor de woondienst, dagbesteding en </t>
  </si>
  <si>
    <t xml:space="preserve">indirecte uren mogen derhalve niet worden opgegeven. </t>
  </si>
  <si>
    <t>Naast de periode waarin de zorg verleend wordt dient ook het aantal personeelsleden dat op dat betreffende</t>
  </si>
  <si>
    <t>per cliënt".  Als voorbeeld: 1 personeelslid op 1 cliënt of 2 personeelsleden op 1 cliënt. Indien er 3 cliënten</t>
  </si>
  <si>
    <t>tegelijk geholpen worden door 1 personeelslid dient er 0,33 personeelslid op 1 cliënt ingevuld te worden.</t>
  </si>
  <si>
    <t>Incidentele afwijkingen ten opzicht van het reguliere schemakunnen kunnen ingevuld worden (op weekbasis) op de</t>
  </si>
  <si>
    <t>regel "Restpost uren per week". Deze restpost dient separaat toegelicht te worden.</t>
  </si>
  <si>
    <t>De uren die verband houden met eventuele nachtopvang dienen niet in de opgave van de periodes opgenomen</t>
  </si>
  <si>
    <t>aantal uren dient gelijk te zijn aan het opgegeven aantal uren.</t>
  </si>
  <si>
    <t xml:space="preserve">Totale opgave </t>
  </si>
  <si>
    <t>Toeslag-berekening</t>
  </si>
  <si>
    <t>Uren in ZZP</t>
  </si>
  <si>
    <t>Pagina 5</t>
  </si>
  <si>
    <t xml:space="preserve">ZZP de dagbesteding en/of de behandeling op 'AAN' of 'UIT' staan (zie CIZ-indicatie). </t>
  </si>
  <si>
    <t xml:space="preserve">  uurtarief</t>
  </si>
  <si>
    <r>
      <t xml:space="preserve">Komt </t>
    </r>
    <r>
      <rPr>
        <b/>
        <sz val="10"/>
        <color indexed="10"/>
        <rFont val="Arial"/>
        <family val="2"/>
      </rPr>
      <t>mogelijk</t>
    </r>
    <r>
      <rPr>
        <b/>
        <sz val="10"/>
        <rFont val="Arial"/>
        <family val="2"/>
      </rPr>
      <t xml:space="preserve"> in aanmerking voor toeslag extreme zorgzwaarte ?</t>
    </r>
  </si>
  <si>
    <t>LG 5</t>
  </si>
  <si>
    <t>Mogelijke Nza-categorieën:</t>
  </si>
  <si>
    <t>Behoort bij budgetformulier 2010   (GHZ, V&amp;V, GGZ)</t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</si>
</sst>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_-* #,##0.0\-;_-* &quot;-&quot;??_-;_-@_-"/>
    <numFmt numFmtId="173" formatCode="_-* #,##0_-;_-* #,##0\-;_-* &quot;-&quot;??_-;_-@_-"/>
    <numFmt numFmtId="174" formatCode="_-* #,##0.000_-;_-* #,##0.000\-;_-* &quot;-&quot;??_-;_-@_-"/>
    <numFmt numFmtId="175" formatCode="_-* #,##0.0000_-;_-* #,##0.0000\-;_-* &quot;-&quot;??_-;_-@_-"/>
    <numFmt numFmtId="176" formatCode="h:mm;@"/>
    <numFmt numFmtId="177" formatCode="[$-413]dddd\ d\ mmmm\ yyyy"/>
    <numFmt numFmtId="178" formatCode="[h]:mm:ss;@"/>
    <numFmt numFmtId="179" formatCode="[h]:mm;@"/>
    <numFmt numFmtId="180" formatCode="#,##0.0"/>
    <numFmt numFmtId="181" formatCode="0.0%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[$€-2]\ * #,##0.00_-;_-[$€-2]\ * #,##0.00\-;_-[$€-2]\ * &quot;-&quot;??_-"/>
    <numFmt numFmtId="190" formatCode="0.000000000"/>
    <numFmt numFmtId="191" formatCode="0.0000000000"/>
    <numFmt numFmtId="192" formatCode="_-&quot;€&quot;\ * #,##0.0_-;_-&quot;€&quot;\ * #,##0.0\-;_-&quot;€&quot;\ * &quot;-&quot;??_-;_-@_-"/>
    <numFmt numFmtId="193" formatCode="_-&quot;€&quot;\ * #,##0_-;_-&quot;€&quot;\ * #,##0\-;_-&quot;€&quot;\ * &quot;-&quot;??_-;_-@_-"/>
    <numFmt numFmtId="194" formatCode="_-[$€-2]\ * #,##0.00_-;_-[$€-2]\ * #,##0.00\-;_-[$€-2]\ * &quot;-&quot;??_-;_-@_-"/>
    <numFmt numFmtId="195" formatCode="_-[$€-2]\ * #,##0.0_-;_-[$€-2]\ * #,##0.0\-;_-[$€-2]\ * &quot;-&quot;??_-"/>
    <numFmt numFmtId="196" formatCode="_-&quot;€&quot;\ * #,##0.000_-;_-&quot;€&quot;\ * #,##0.000\-;_-&quot;€&quot;\ * &quot;-&quot;??_-;_-@_-"/>
    <numFmt numFmtId="197" formatCode="_-&quot;€&quot;\ * #,##0.0000_-;_-&quot;€&quot;\ * #,##0.0000\-;_-&quot;€&quot;\ * &quot;-&quot;??_-;_-@_-"/>
    <numFmt numFmtId="198" formatCode="d/mm/yy;@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176" fontId="0" fillId="2" borderId="3" xfId="0" applyNumberFormat="1" applyFill="1" applyBorder="1" applyAlignment="1" applyProtection="1">
      <alignment/>
      <protection locked="0"/>
    </xf>
    <xf numFmtId="176" fontId="0" fillId="2" borderId="4" xfId="0" applyNumberForma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176" fontId="0" fillId="2" borderId="6" xfId="0" applyNumberFormat="1" applyFill="1" applyBorder="1" applyAlignment="1" applyProtection="1">
      <alignment/>
      <protection locked="0"/>
    </xf>
    <xf numFmtId="20" fontId="0" fillId="2" borderId="7" xfId="0" applyNumberForma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176" fontId="0" fillId="2" borderId="7" xfId="0" applyNumberFormat="1" applyFill="1" applyBorder="1" applyAlignment="1" applyProtection="1">
      <alignment/>
      <protection locked="0"/>
    </xf>
    <xf numFmtId="179" fontId="0" fillId="2" borderId="1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76" fontId="0" fillId="2" borderId="11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9" fontId="0" fillId="2" borderId="12" xfId="0" applyNumberFormat="1" applyFill="1" applyBorder="1" applyAlignment="1" applyProtection="1">
      <alignment/>
      <protection locked="0"/>
    </xf>
    <xf numFmtId="179" fontId="0" fillId="2" borderId="13" xfId="0" applyNumberFormat="1" applyFill="1" applyBorder="1" applyAlignment="1" applyProtection="1">
      <alignment/>
      <protection locked="0"/>
    </xf>
    <xf numFmtId="179" fontId="0" fillId="2" borderId="14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/>
      <protection/>
    </xf>
    <xf numFmtId="43" fontId="0" fillId="0" borderId="17" xfId="17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3" fontId="0" fillId="0" borderId="17" xfId="17" applyBorder="1" applyAlignment="1" applyProtection="1">
      <alignment/>
      <protection/>
    </xf>
    <xf numFmtId="43" fontId="0" fillId="0" borderId="19" xfId="17" applyBorder="1" applyAlignment="1" applyProtection="1">
      <alignment/>
      <protection/>
    </xf>
    <xf numFmtId="43" fontId="0" fillId="0" borderId="18" xfId="17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43" fontId="0" fillId="0" borderId="22" xfId="17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179" fontId="0" fillId="0" borderId="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7" xfId="0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0" fontId="0" fillId="0" borderId="24" xfId="0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/>
    </xf>
    <xf numFmtId="179" fontId="0" fillId="0" borderId="26" xfId="0" applyNumberFormat="1" applyBorder="1" applyAlignment="1" applyProtection="1">
      <alignment/>
      <protection/>
    </xf>
    <xf numFmtId="179" fontId="0" fillId="0" borderId="25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179" fontId="0" fillId="0" borderId="29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9" fontId="0" fillId="0" borderId="4" xfId="0" applyNumberFormat="1" applyBorder="1" applyAlignment="1" applyProtection="1" quotePrefix="1">
      <alignment/>
      <protection/>
    </xf>
    <xf numFmtId="179" fontId="0" fillId="0" borderId="0" xfId="0" applyNumberFormat="1" applyAlignment="1" applyProtection="1">
      <alignment/>
      <protection/>
    </xf>
    <xf numFmtId="189" fontId="2" fillId="0" borderId="0" xfId="0" applyNumberFormat="1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3" fontId="0" fillId="0" borderId="17" xfId="17" applyBorder="1" applyAlignment="1" applyProtection="1">
      <alignment horizontal="left"/>
      <protection/>
    </xf>
    <xf numFmtId="0" fontId="0" fillId="0" borderId="1" xfId="0" applyBorder="1" applyAlignment="1" applyProtection="1">
      <alignment vertical="top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3" fontId="0" fillId="0" borderId="0" xfId="17" applyAlignment="1" applyProtection="1">
      <alignment/>
      <protection/>
    </xf>
    <xf numFmtId="43" fontId="0" fillId="0" borderId="30" xfId="17" applyFont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43" fontId="0" fillId="0" borderId="10" xfId="17" applyBorder="1" applyAlignment="1" applyProtection="1">
      <alignment horizontal="right" vertical="top"/>
      <protection/>
    </xf>
    <xf numFmtId="0" fontId="0" fillId="0" borderId="15" xfId="0" applyBorder="1" applyAlignment="1" applyProtection="1">
      <alignment vertical="top" wrapText="1"/>
      <protection/>
    </xf>
    <xf numFmtId="43" fontId="0" fillId="0" borderId="15" xfId="17" applyBorder="1" applyAlignment="1" applyProtection="1">
      <alignment horizontal="right" vertical="top"/>
      <protection/>
    </xf>
    <xf numFmtId="173" fontId="0" fillId="0" borderId="8" xfId="17" applyNumberFormat="1" applyFont="1" applyBorder="1" applyAlignment="1" applyProtection="1">
      <alignment horizontal="center"/>
      <protection/>
    </xf>
    <xf numFmtId="43" fontId="0" fillId="0" borderId="7" xfId="17" applyNumberFormat="1" applyFont="1" applyBorder="1" applyAlignment="1" applyProtection="1">
      <alignment/>
      <protection/>
    </xf>
    <xf numFmtId="173" fontId="0" fillId="0" borderId="0" xfId="17" applyNumberFormat="1" applyBorder="1" applyAlignment="1" applyProtection="1">
      <alignment/>
      <protection/>
    </xf>
    <xf numFmtId="173" fontId="0" fillId="0" borderId="1" xfId="17" applyNumberFormat="1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3" fontId="0" fillId="0" borderId="21" xfId="17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3" fontId="0" fillId="0" borderId="0" xfId="17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/>
      <protection/>
    </xf>
    <xf numFmtId="9" fontId="0" fillId="0" borderId="16" xfId="0" applyNumberFormat="1" applyBorder="1" applyAlignment="1" applyProtection="1">
      <alignment horizontal="left"/>
      <protection/>
    </xf>
    <xf numFmtId="43" fontId="0" fillId="0" borderId="16" xfId="17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9" fontId="0" fillId="0" borderId="0" xfId="0" applyNumberFormat="1" applyBorder="1" applyAlignment="1" applyProtection="1">
      <alignment horizontal="left"/>
      <protection/>
    </xf>
    <xf numFmtId="43" fontId="0" fillId="0" borderId="0" xfId="17" applyFont="1" applyBorder="1" applyAlignment="1" applyProtection="1">
      <alignment horizontal="right"/>
      <protection/>
    </xf>
    <xf numFmtId="179" fontId="2" fillId="0" borderId="0" xfId="0" applyNumberFormat="1" applyFont="1" applyBorder="1" applyAlignment="1" applyProtection="1">
      <alignment/>
      <protection/>
    </xf>
    <xf numFmtId="43" fontId="0" fillId="0" borderId="0" xfId="17" applyAlignment="1" applyProtection="1">
      <alignment horizontal="right"/>
      <protection/>
    </xf>
    <xf numFmtId="2" fontId="0" fillId="0" borderId="13" xfId="0" applyNumberFormat="1" applyFill="1" applyBorder="1" applyAlignment="1" applyProtection="1">
      <alignment/>
      <protection/>
    </xf>
    <xf numFmtId="44" fontId="0" fillId="0" borderId="0" xfId="20" applyBorder="1" applyAlignment="1" applyProtection="1">
      <alignment/>
      <protection/>
    </xf>
    <xf numFmtId="193" fontId="0" fillId="0" borderId="13" xfId="2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2" fontId="0" fillId="0" borderId="31" xfId="0" applyNumberFormat="1" applyFill="1" applyBorder="1" applyAlignment="1" applyProtection="1">
      <alignment/>
      <protection/>
    </xf>
    <xf numFmtId="44" fontId="0" fillId="0" borderId="2" xfId="20" applyBorder="1" applyAlignment="1" applyProtection="1">
      <alignment/>
      <protection/>
    </xf>
    <xf numFmtId="193" fontId="0" fillId="0" borderId="31" xfId="2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79" fontId="0" fillId="0" borderId="16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189" fontId="2" fillId="0" borderId="0" xfId="0" applyNumberFormat="1" applyFont="1" applyBorder="1" applyAlignment="1" applyProtection="1">
      <alignment/>
      <protection/>
    </xf>
    <xf numFmtId="189" fontId="0" fillId="0" borderId="0" xfId="0" applyNumberFormat="1" applyFont="1" applyBorder="1" applyAlignment="1" applyProtection="1">
      <alignment/>
      <protection/>
    </xf>
    <xf numFmtId="189" fontId="0" fillId="0" borderId="8" xfId="0" applyNumberFormat="1" applyFont="1" applyBorder="1" applyAlignment="1" applyProtection="1">
      <alignment/>
      <protection/>
    </xf>
    <xf numFmtId="189" fontId="0" fillId="0" borderId="27" xfId="0" applyNumberFormat="1" applyFont="1" applyBorder="1" applyAlignment="1" applyProtection="1">
      <alignment/>
      <protection/>
    </xf>
    <xf numFmtId="179" fontId="0" fillId="2" borderId="31" xfId="0" applyNumberFormat="1" applyFill="1" applyBorder="1" applyAlignment="1" applyProtection="1">
      <alignment/>
      <protection locked="0"/>
    </xf>
    <xf numFmtId="195" fontId="2" fillId="0" borderId="0" xfId="0" applyNumberFormat="1" applyFont="1" applyFill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79" fontId="0" fillId="0" borderId="10" xfId="0" applyNumberFormat="1" applyBorder="1" applyAlignment="1" applyProtection="1" quotePrefix="1">
      <alignment/>
      <protection/>
    </xf>
    <xf numFmtId="179" fontId="0" fillId="0" borderId="13" xfId="0" applyNumberFormat="1" applyBorder="1" applyAlignment="1" applyProtection="1" quotePrefix="1">
      <alignment/>
      <protection/>
    </xf>
    <xf numFmtId="179" fontId="0" fillId="0" borderId="14" xfId="0" applyNumberFormat="1" applyBorder="1" applyAlignment="1" applyProtection="1" quotePrefix="1">
      <alignment/>
      <protection/>
    </xf>
    <xf numFmtId="179" fontId="0" fillId="0" borderId="7" xfId="0" applyNumberFormat="1" applyBorder="1" applyAlignment="1" applyProtection="1" quotePrefix="1">
      <alignment/>
      <protection/>
    </xf>
    <xf numFmtId="179" fontId="0" fillId="0" borderId="21" xfId="0" applyNumberFormat="1" applyBorder="1" applyAlignment="1" applyProtection="1" quotePrefix="1">
      <alignment/>
      <protection/>
    </xf>
    <xf numFmtId="0" fontId="0" fillId="0" borderId="15" xfId="0" applyFill="1" applyBorder="1" applyAlignment="1" applyProtection="1">
      <alignment/>
      <protection/>
    </xf>
    <xf numFmtId="179" fontId="0" fillId="0" borderId="12" xfId="0" applyNumberFormat="1" applyFill="1" applyBorder="1" applyAlignment="1" applyProtection="1">
      <alignment/>
      <protection locked="0"/>
    </xf>
    <xf numFmtId="179" fontId="0" fillId="0" borderId="31" xfId="0" applyNumberFormat="1" applyFill="1" applyBorder="1" applyAlignment="1" applyProtection="1">
      <alignment/>
      <protection locked="0"/>
    </xf>
    <xf numFmtId="179" fontId="0" fillId="0" borderId="13" xfId="0" applyNumberFormat="1" applyFill="1" applyBorder="1" applyAlignment="1" applyProtection="1">
      <alignment/>
      <protection locked="0"/>
    </xf>
    <xf numFmtId="179" fontId="0" fillId="0" borderId="15" xfId="0" applyNumberFormat="1" applyFont="1" applyFill="1" applyBorder="1" applyAlignment="1" applyProtection="1">
      <alignment/>
      <protection locked="0"/>
    </xf>
    <xf numFmtId="189" fontId="0" fillId="0" borderId="17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43" fontId="0" fillId="0" borderId="15" xfId="17" applyFont="1" applyBorder="1" applyAlignment="1" applyProtection="1">
      <alignment horizontal="right"/>
      <protection/>
    </xf>
    <xf numFmtId="179" fontId="0" fillId="0" borderId="0" xfId="17" applyNumberFormat="1" applyBorder="1" applyAlignment="1" applyProtection="1">
      <alignment horizontal="right"/>
      <protection/>
    </xf>
    <xf numFmtId="43" fontId="2" fillId="0" borderId="0" xfId="17" applyFont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44" fontId="0" fillId="0" borderId="0" xfId="20" applyFont="1" applyFill="1" applyBorder="1" applyAlignment="1" applyProtection="1">
      <alignment/>
      <protection/>
    </xf>
    <xf numFmtId="193" fontId="0" fillId="0" borderId="13" xfId="2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193" fontId="0" fillId="0" borderId="15" xfId="20" applyNumberFormat="1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2" fontId="0" fillId="0" borderId="31" xfId="0" applyNumberFormat="1" applyFont="1" applyFill="1" applyBorder="1" applyAlignment="1" applyProtection="1">
      <alignment/>
      <protection/>
    </xf>
    <xf numFmtId="44" fontId="0" fillId="0" borderId="2" xfId="20" applyFont="1" applyFill="1" applyBorder="1" applyAlignment="1" applyProtection="1">
      <alignment/>
      <protection/>
    </xf>
    <xf numFmtId="193" fontId="0" fillId="0" borderId="31" xfId="20" applyNumberFormat="1" applyFont="1" applyFill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43" fontId="0" fillId="0" borderId="16" xfId="17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89" fontId="2" fillId="0" borderId="30" xfId="0" applyNumberFormat="1" applyFont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vertical="top"/>
      <protection/>
    </xf>
    <xf numFmtId="0" fontId="0" fillId="0" borderId="5" xfId="0" applyFont="1" applyFill="1" applyBorder="1" applyAlignment="1" applyProtection="1">
      <alignment/>
      <protection/>
    </xf>
    <xf numFmtId="193" fontId="0" fillId="0" borderId="12" xfId="20" applyNumberFormat="1" applyFont="1" applyBorder="1" applyAlignment="1" applyProtection="1" quotePrefix="1">
      <alignment/>
      <protection/>
    </xf>
    <xf numFmtId="178" fontId="8" fillId="0" borderId="22" xfId="0" applyNumberFormat="1" applyFont="1" applyFill="1" applyBorder="1" applyAlignment="1" applyProtection="1">
      <alignment/>
      <protection/>
    </xf>
    <xf numFmtId="193" fontId="0" fillId="0" borderId="14" xfId="20" applyNumberFormat="1" applyFont="1" applyBorder="1" applyAlignment="1" applyProtection="1" quotePrefix="1">
      <alignment/>
      <protection/>
    </xf>
    <xf numFmtId="0" fontId="0" fillId="0" borderId="16" xfId="0" applyBorder="1" applyAlignment="1" applyProtection="1">
      <alignment wrapText="1"/>
      <protection/>
    </xf>
    <xf numFmtId="176" fontId="0" fillId="0" borderId="16" xfId="0" applyNumberFormat="1" applyBorder="1" applyAlignment="1" applyProtection="1">
      <alignment/>
      <protection/>
    </xf>
    <xf numFmtId="20" fontId="0" fillId="0" borderId="16" xfId="0" applyNumberFormat="1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93" fontId="0" fillId="0" borderId="15" xfId="0" applyNumberFormat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30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 vertical="top"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 vertical="top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vertical="center"/>
      <protection/>
    </xf>
    <xf numFmtId="0" fontId="0" fillId="0" borderId="8" xfId="0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/>
      <protection/>
    </xf>
    <xf numFmtId="0" fontId="0" fillId="2" borderId="15" xfId="0" applyFont="1" applyFill="1" applyBorder="1" applyAlignment="1" applyProtection="1">
      <alignment horizontal="center" vertical="center"/>
      <protection locked="0"/>
    </xf>
    <xf numFmtId="179" fontId="0" fillId="0" borderId="15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ill="1" applyAlignment="1" applyProtection="1">
      <alignment/>
      <protection/>
    </xf>
    <xf numFmtId="0" fontId="0" fillId="0" borderId="14" xfId="0" applyBorder="1" applyAlignment="1">
      <alignment horizontal="right" vertical="top" wrapText="1"/>
    </xf>
    <xf numFmtId="0" fontId="9" fillId="0" borderId="8" xfId="0" applyFont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2" fontId="0" fillId="0" borderId="13" xfId="0" applyNumberFormat="1" applyBorder="1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 vertical="top"/>
      <protection/>
    </xf>
    <xf numFmtId="0" fontId="0" fillId="0" borderId="14" xfId="0" applyFont="1" applyBorder="1" applyAlignment="1" applyProtection="1">
      <alignment horizontal="right" vertical="top"/>
      <protection/>
    </xf>
    <xf numFmtId="2" fontId="0" fillId="0" borderId="0" xfId="0" applyNumberFormat="1" applyFont="1" applyBorder="1" applyAlignment="1" applyProtection="1" quotePrefix="1">
      <alignment/>
      <protection/>
    </xf>
    <xf numFmtId="2" fontId="0" fillId="0" borderId="2" xfId="0" applyNumberFormat="1" applyFont="1" applyFill="1" applyBorder="1" applyAlignment="1" applyProtection="1" quotePrefix="1">
      <alignment/>
      <protection/>
    </xf>
    <xf numFmtId="2" fontId="0" fillId="0" borderId="28" xfId="0" applyNumberFormat="1" applyFont="1" applyFill="1" applyBorder="1" applyAlignment="1" applyProtection="1" quotePrefix="1">
      <alignment/>
      <protection/>
    </xf>
    <xf numFmtId="2" fontId="0" fillId="0" borderId="2" xfId="0" applyNumberFormat="1" applyFont="1" applyBorder="1" applyAlignment="1" applyProtection="1" quotePrefix="1">
      <alignment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2" fontId="0" fillId="0" borderId="30" xfId="0" applyNumberFormat="1" applyFont="1" applyFill="1" applyBorder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12" xfId="0" applyBorder="1" applyAlignment="1" applyProtection="1">
      <alignment horizontal="center" vertical="top" wrapText="1"/>
      <protection/>
    </xf>
    <xf numFmtId="14" fontId="0" fillId="2" borderId="30" xfId="0" applyNumberForma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Border="1" applyAlignment="1" applyProtection="1" quotePrefix="1">
      <alignment/>
      <protection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2" fillId="0" borderId="3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20" fontId="0" fillId="0" borderId="5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0" fontId="1" fillId="0" borderId="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193" fontId="0" fillId="0" borderId="15" xfId="20" applyNumberFormat="1" applyFont="1" applyBorder="1" applyAlignment="1" applyProtection="1" quotePrefix="1">
      <alignment/>
      <protection/>
    </xf>
    <xf numFmtId="14" fontId="1" fillId="0" borderId="2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 vertical="top" wrapText="1"/>
      <protection/>
    </xf>
    <xf numFmtId="0" fontId="0" fillId="0" borderId="14" xfId="0" applyBorder="1" applyAlignment="1">
      <alignment horizontal="right" vertical="top" wrapText="1"/>
    </xf>
    <xf numFmtId="0" fontId="0" fillId="0" borderId="30" xfId="0" applyBorder="1" applyAlignment="1" applyProtection="1">
      <alignment vertical="top" wrapText="1"/>
      <protection/>
    </xf>
    <xf numFmtId="0" fontId="0" fillId="0" borderId="16" xfId="0" applyBorder="1" applyAlignment="1">
      <alignment wrapText="1"/>
    </xf>
    <xf numFmtId="43" fontId="0" fillId="0" borderId="30" xfId="17" applyFont="1" applyBorder="1" applyAlignment="1" applyProtection="1">
      <alignment horizontal="left" vertical="top" wrapText="1"/>
      <protection/>
    </xf>
    <xf numFmtId="43" fontId="0" fillId="0" borderId="10" xfId="17" applyBorder="1" applyAlignment="1" applyProtection="1">
      <alignment vertical="top" wrapText="1"/>
      <protection/>
    </xf>
    <xf numFmtId="0" fontId="0" fillId="2" borderId="30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right" vertical="top" wrapText="1"/>
      <protection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0" fillId="2" borderId="3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CCFFCC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114300</xdr:rowOff>
    </xdr:from>
    <xdr:to>
      <xdr:col>5</xdr:col>
      <xdr:colOff>657225</xdr:colOff>
      <xdr:row>3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9525" y="60007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57150</xdr:rowOff>
    </xdr:from>
    <xdr:to>
      <xdr:col>5</xdr:col>
      <xdr:colOff>657225</xdr:colOff>
      <xdr:row>5</xdr:row>
      <xdr:rowOff>57150</xdr:rowOff>
    </xdr:to>
    <xdr:sp>
      <xdr:nvSpPr>
        <xdr:cNvPr id="2" name="Line 3"/>
        <xdr:cNvSpPr>
          <a:spLocks/>
        </xdr:cNvSpPr>
      </xdr:nvSpPr>
      <xdr:spPr>
        <a:xfrm flipH="1">
          <a:off x="9525" y="86677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66675</xdr:rowOff>
    </xdr:from>
    <xdr:to>
      <xdr:col>10</xdr:col>
      <xdr:colOff>0</xdr:colOff>
      <xdr:row>7</xdr:row>
      <xdr:rowOff>66675</xdr:rowOff>
    </xdr:to>
    <xdr:sp>
      <xdr:nvSpPr>
        <xdr:cNvPr id="3" name="Line 4"/>
        <xdr:cNvSpPr>
          <a:spLocks/>
        </xdr:cNvSpPr>
      </xdr:nvSpPr>
      <xdr:spPr>
        <a:xfrm flipH="1">
          <a:off x="0" y="1200150"/>
          <a:ext cx="634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10</xdr:col>
      <xdr:colOff>0</xdr:colOff>
      <xdr:row>7</xdr:row>
      <xdr:rowOff>152400</xdr:rowOff>
    </xdr:to>
    <xdr:sp>
      <xdr:nvSpPr>
        <xdr:cNvPr id="4" name="Line 5"/>
        <xdr:cNvSpPr>
          <a:spLocks/>
        </xdr:cNvSpPr>
      </xdr:nvSpPr>
      <xdr:spPr>
        <a:xfrm flipH="1">
          <a:off x="0" y="1285875"/>
          <a:ext cx="634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85725</xdr:rowOff>
    </xdr:from>
    <xdr:to>
      <xdr:col>8</xdr:col>
      <xdr:colOff>495300</xdr:colOff>
      <xdr:row>7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09575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19050</xdr:rowOff>
    </xdr:from>
    <xdr:to>
      <xdr:col>7</xdr:col>
      <xdr:colOff>485775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9050"/>
          <a:ext cx="1409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3</xdr:col>
      <xdr:colOff>381000</xdr:colOff>
      <xdr:row>0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0" y="9525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3</xdr:col>
      <xdr:colOff>381000</xdr:colOff>
      <xdr:row>2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0" y="38100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8</xdr:col>
      <xdr:colOff>723900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0" y="89535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97155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38100</xdr:rowOff>
    </xdr:from>
    <xdr:to>
      <xdr:col>10</xdr:col>
      <xdr:colOff>495300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200025</xdr:rowOff>
    </xdr:from>
    <xdr:to>
      <xdr:col>5</xdr:col>
      <xdr:colOff>276225</xdr:colOff>
      <xdr:row>0</xdr:row>
      <xdr:rowOff>200025</xdr:rowOff>
    </xdr:to>
    <xdr:sp>
      <xdr:nvSpPr>
        <xdr:cNvPr id="1" name="Line 2"/>
        <xdr:cNvSpPr>
          <a:spLocks/>
        </xdr:cNvSpPr>
      </xdr:nvSpPr>
      <xdr:spPr>
        <a:xfrm flipH="1">
          <a:off x="0" y="200025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57150</xdr:rowOff>
    </xdr:from>
    <xdr:to>
      <xdr:col>5</xdr:col>
      <xdr:colOff>285750</xdr:colOff>
      <xdr:row>2</xdr:row>
      <xdr:rowOff>57150</xdr:rowOff>
    </xdr:to>
    <xdr:sp>
      <xdr:nvSpPr>
        <xdr:cNvPr id="2" name="Line 3"/>
        <xdr:cNvSpPr>
          <a:spLocks/>
        </xdr:cNvSpPr>
      </xdr:nvSpPr>
      <xdr:spPr>
        <a:xfrm flipH="1">
          <a:off x="9525" y="495300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10</xdr:col>
      <xdr:colOff>0</xdr:colOff>
      <xdr:row>4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0" y="8572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19050</xdr:rowOff>
    </xdr:from>
    <xdr:to>
      <xdr:col>8</xdr:col>
      <xdr:colOff>285750</xdr:colOff>
      <xdr:row>4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9050"/>
          <a:ext cx="1524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19050</xdr:rowOff>
    </xdr:from>
    <xdr:to>
      <xdr:col>9</xdr:col>
      <xdr:colOff>781050</xdr:colOff>
      <xdr:row>5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0" y="942975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A112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 zeroHeight="1"/>
  <cols>
    <col min="1" max="1" width="3.7109375" style="28" customWidth="1"/>
    <col min="2" max="2" width="1.28515625" style="28" customWidth="1"/>
    <col min="3" max="3" width="20.57421875" style="28" customWidth="1"/>
    <col min="4" max="4" width="7.57421875" style="28" customWidth="1"/>
    <col min="5" max="5" width="9.7109375" style="28" customWidth="1"/>
    <col min="6" max="6" width="10.8515625" style="28" customWidth="1"/>
    <col min="7" max="7" width="9.57421875" style="28" customWidth="1"/>
    <col min="8" max="8" width="9.421875" style="28" customWidth="1"/>
    <col min="9" max="9" width="10.7109375" style="28" customWidth="1"/>
    <col min="10" max="10" width="11.7109375" style="28" customWidth="1"/>
    <col min="11" max="11" width="11.421875" style="28" customWidth="1"/>
    <col min="12" max="12" width="11.28125" style="28" hidden="1" customWidth="1"/>
    <col min="13" max="13" width="10.00390625" style="28" hidden="1" customWidth="1"/>
    <col min="14" max="14" width="11.00390625" style="28" hidden="1" customWidth="1"/>
    <col min="15" max="15" width="12.421875" style="28" hidden="1" customWidth="1"/>
    <col min="16" max="16" width="13.00390625" style="28" hidden="1" customWidth="1"/>
    <col min="17" max="110" width="9.140625" style="28" hidden="1" customWidth="1"/>
    <col min="111" max="113" width="9.421875" style="28" hidden="1" customWidth="1"/>
    <col min="114" max="118" width="9.140625" style="28" hidden="1" customWidth="1"/>
    <col min="119" max="119" width="10.8515625" style="28" hidden="1" customWidth="1"/>
    <col min="120" max="16384" width="9.140625" style="28" hidden="1" customWidth="1"/>
  </cols>
  <sheetData>
    <row r="1" ht="12.75"/>
    <row r="2" ht="12.75"/>
    <row r="3" spans="1:3" ht="12.75">
      <c r="A3" s="27" t="s">
        <v>178</v>
      </c>
      <c r="B3" s="27"/>
      <c r="C3" s="27"/>
    </row>
    <row r="4" ht="12.75"/>
    <row r="5" spans="1:10" ht="12.75">
      <c r="A5" s="28" t="s">
        <v>159</v>
      </c>
      <c r="J5" s="29" t="s">
        <v>32</v>
      </c>
    </row>
    <row r="6" ht="12.75">
      <c r="J6" s="290">
        <v>40287</v>
      </c>
    </row>
    <row r="7" ht="12.75"/>
    <row r="8" spans="1:3" ht="12.75">
      <c r="A8" s="27"/>
      <c r="B8" s="27"/>
      <c r="C8" s="27"/>
    </row>
    <row r="9" spans="1:14" ht="14.25" customHeight="1" thickBot="1">
      <c r="A9" s="27"/>
      <c r="B9" s="27"/>
      <c r="C9" s="27"/>
      <c r="N9" s="28" t="s">
        <v>177</v>
      </c>
    </row>
    <row r="10" spans="1:14" ht="16.5" customHeight="1" thickBot="1">
      <c r="A10" s="187" t="s">
        <v>33</v>
      </c>
      <c r="B10" s="209"/>
      <c r="C10" s="206"/>
      <c r="D10" s="299"/>
      <c r="E10" s="300"/>
      <c r="F10" s="300"/>
      <c r="G10" s="300"/>
      <c r="H10" s="300"/>
      <c r="I10" s="300"/>
      <c r="J10" s="301"/>
      <c r="N10" s="28">
        <v>600</v>
      </c>
    </row>
    <row r="11" spans="1:14" ht="15.75" customHeight="1" thickBot="1">
      <c r="A11" s="30" t="s">
        <v>52</v>
      </c>
      <c r="B11" s="188"/>
      <c r="C11" s="188"/>
      <c r="D11" s="182">
        <v>600</v>
      </c>
      <c r="E11" s="183"/>
      <c r="H11" s="213" t="s">
        <v>120</v>
      </c>
      <c r="I11" s="214"/>
      <c r="J11" s="215"/>
      <c r="L11" s="32"/>
      <c r="N11" s="28">
        <v>650</v>
      </c>
    </row>
    <row r="12" spans="1:14" ht="11.25" customHeight="1" thickBot="1">
      <c r="A12" s="33"/>
      <c r="B12" s="33"/>
      <c r="C12" s="33"/>
      <c r="D12" s="20"/>
      <c r="E12" s="34"/>
      <c r="F12" s="35"/>
      <c r="G12" s="35"/>
      <c r="H12" s="36"/>
      <c r="I12" s="37"/>
      <c r="J12" s="211"/>
      <c r="L12" s="32"/>
      <c r="N12" s="28">
        <v>120</v>
      </c>
    </row>
    <row r="13" spans="1:15" ht="15.75" customHeight="1" thickBot="1">
      <c r="A13" s="219" t="s">
        <v>124</v>
      </c>
      <c r="B13" s="220"/>
      <c r="C13" s="220"/>
      <c r="D13" s="221"/>
      <c r="E13" s="222"/>
      <c r="F13" s="223"/>
      <c r="G13" s="223"/>
      <c r="H13" s="303"/>
      <c r="I13" s="304"/>
      <c r="J13" s="211"/>
      <c r="L13" s="32"/>
      <c r="N13" s="218"/>
      <c r="O13" s="218"/>
    </row>
    <row r="14" spans="1:14" ht="15.75" customHeight="1" thickBot="1">
      <c r="A14" s="233" t="s">
        <v>134</v>
      </c>
      <c r="B14" s="209"/>
      <c r="C14" s="209"/>
      <c r="D14" s="228"/>
      <c r="E14" s="229"/>
      <c r="F14" s="230"/>
      <c r="G14" s="230"/>
      <c r="H14" s="305"/>
      <c r="I14" s="306"/>
      <c r="J14" s="211"/>
      <c r="L14" s="32"/>
      <c r="N14" s="28" t="s">
        <v>126</v>
      </c>
    </row>
    <row r="15" spans="1:14" ht="15.75" customHeight="1" thickBot="1">
      <c r="A15" s="232" t="s">
        <v>129</v>
      </c>
      <c r="B15" s="224"/>
      <c r="C15" s="224"/>
      <c r="D15" s="225"/>
      <c r="E15" s="226"/>
      <c r="F15" s="227"/>
      <c r="G15" s="227"/>
      <c r="H15" s="305"/>
      <c r="I15" s="306"/>
      <c r="J15" s="211"/>
      <c r="L15" s="32"/>
      <c r="N15" s="28" t="s">
        <v>127</v>
      </c>
    </row>
    <row r="16" spans="1:12" ht="15.75" customHeight="1" thickBot="1">
      <c r="A16" s="188" t="s">
        <v>125</v>
      </c>
      <c r="B16" s="224"/>
      <c r="C16" s="224"/>
      <c r="D16" s="225"/>
      <c r="E16" s="226"/>
      <c r="F16" s="227"/>
      <c r="G16" s="227"/>
      <c r="H16" s="307"/>
      <c r="I16" s="304"/>
      <c r="J16" s="211"/>
      <c r="L16" s="32"/>
    </row>
    <row r="17" spans="1:14" ht="19.5" customHeight="1" thickBot="1">
      <c r="A17" s="187" t="s">
        <v>154</v>
      </c>
      <c r="B17" s="209"/>
      <c r="C17" s="209"/>
      <c r="D17" s="228"/>
      <c r="E17" s="229"/>
      <c r="F17" s="230"/>
      <c r="G17" s="230"/>
      <c r="H17" s="264"/>
      <c r="I17" s="269"/>
      <c r="J17" s="211"/>
      <c r="L17" s="32"/>
      <c r="N17" s="274">
        <v>2</v>
      </c>
    </row>
    <row r="18" spans="1:14" ht="19.5" customHeight="1" thickBot="1">
      <c r="A18" s="266" t="s">
        <v>153</v>
      </c>
      <c r="B18" s="265"/>
      <c r="C18" s="265"/>
      <c r="D18" s="228"/>
      <c r="E18" s="229"/>
      <c r="F18" s="230"/>
      <c r="G18" s="230"/>
      <c r="H18" s="264"/>
      <c r="I18" s="269"/>
      <c r="J18" s="211"/>
      <c r="L18" s="32"/>
      <c r="N18" s="274">
        <v>2</v>
      </c>
    </row>
    <row r="19" spans="1:12" ht="10.5" customHeight="1">
      <c r="A19" s="231"/>
      <c r="B19" s="33"/>
      <c r="C19" s="33"/>
      <c r="D19" s="20"/>
      <c r="E19" s="34"/>
      <c r="F19" s="35"/>
      <c r="G19" s="35"/>
      <c r="H19" s="36"/>
      <c r="I19" s="37"/>
      <c r="J19" s="211"/>
      <c r="L19" s="32"/>
    </row>
    <row r="20" spans="1:12" ht="13.5" customHeight="1">
      <c r="A20" s="38" t="s">
        <v>87</v>
      </c>
      <c r="B20" s="38"/>
      <c r="C20" s="38"/>
      <c r="D20" s="20"/>
      <c r="E20" s="34"/>
      <c r="F20" s="35"/>
      <c r="I20" s="37"/>
      <c r="J20" s="212">
        <f>IF(AND(J11&lt;&gt;"",J12&lt;&gt;""),"Slechts 1 keuze tegelijk is toegestaan ","")</f>
      </c>
      <c r="L20" s="32"/>
    </row>
    <row r="21" spans="4:10" ht="9" customHeight="1" thickBot="1">
      <c r="D21" s="35"/>
      <c r="E21" s="35"/>
      <c r="F21" s="35"/>
      <c r="G21" s="35"/>
      <c r="H21" s="35"/>
      <c r="I21" s="35"/>
      <c r="J21" s="35"/>
    </row>
    <row r="22" spans="1:3" ht="13.5" thickBot="1">
      <c r="A22" s="91" t="s">
        <v>4</v>
      </c>
      <c r="B22" s="193"/>
      <c r="C22" s="205"/>
    </row>
    <row r="23" spans="1:10" ht="12.75">
      <c r="A23" s="189"/>
      <c r="B23" s="204"/>
      <c r="C23" s="204"/>
      <c r="D23" s="40" t="s">
        <v>49</v>
      </c>
      <c r="E23" s="41"/>
      <c r="F23" s="42" t="s">
        <v>11</v>
      </c>
      <c r="G23" s="43"/>
      <c r="H23" s="44"/>
      <c r="I23" s="45" t="s">
        <v>29</v>
      </c>
      <c r="J23" s="41"/>
    </row>
    <row r="24" spans="1:10" ht="13.5" thickBot="1">
      <c r="A24" s="122" t="s">
        <v>9</v>
      </c>
      <c r="B24" s="86"/>
      <c r="C24" s="86"/>
      <c r="D24" s="46" t="s">
        <v>5</v>
      </c>
      <c r="E24" s="47" t="s">
        <v>6</v>
      </c>
      <c r="F24" s="48" t="s">
        <v>10</v>
      </c>
      <c r="G24" s="48"/>
      <c r="H24" s="48"/>
      <c r="I24" s="46" t="s">
        <v>26</v>
      </c>
      <c r="J24" s="47" t="s">
        <v>27</v>
      </c>
    </row>
    <row r="25" spans="1:235" ht="12.75">
      <c r="A25" s="71" t="s">
        <v>20</v>
      </c>
      <c r="B25" s="73"/>
      <c r="C25" s="73"/>
      <c r="D25" s="4"/>
      <c r="E25" s="5"/>
      <c r="F25" s="6"/>
      <c r="G25" s="50" t="s">
        <v>7</v>
      </c>
      <c r="H25" s="51">
        <v>1</v>
      </c>
      <c r="I25" s="52">
        <f aca="true" t="shared" si="0" ref="I25:I30">+E25-D25</f>
        <v>0</v>
      </c>
      <c r="J25" s="53">
        <f aca="true" t="shared" si="1" ref="J25:J30">+I25*F25</f>
        <v>0</v>
      </c>
      <c r="N25" s="54">
        <v>1</v>
      </c>
      <c r="O25" s="54">
        <v>0.010416666666666666</v>
      </c>
      <c r="P25" s="54">
        <v>0.020833333333333332</v>
      </c>
      <c r="Q25" s="54">
        <v>0.03125</v>
      </c>
      <c r="R25" s="54">
        <v>0.0416666666666667</v>
      </c>
      <c r="S25" s="54">
        <v>0.0520833333333334</v>
      </c>
      <c r="T25" s="54">
        <v>0.0625</v>
      </c>
      <c r="U25" s="54">
        <v>0.0729166666666667</v>
      </c>
      <c r="V25" s="54">
        <v>0.0833333333333334</v>
      </c>
      <c r="W25" s="54">
        <v>0.09375</v>
      </c>
      <c r="X25" s="54">
        <v>0.104166666666667</v>
      </c>
      <c r="Y25" s="54">
        <v>0.114583333333334</v>
      </c>
      <c r="Z25" s="54">
        <v>0.125</v>
      </c>
      <c r="AA25" s="54">
        <v>0.135416666666667</v>
      </c>
      <c r="AB25" s="54">
        <v>0.145833333333334</v>
      </c>
      <c r="AC25" s="54">
        <v>0.15625</v>
      </c>
      <c r="AD25" s="54">
        <v>0.166666666666667</v>
      </c>
      <c r="AE25" s="54">
        <v>0.177083333333334</v>
      </c>
      <c r="AF25" s="54">
        <v>0.1875</v>
      </c>
      <c r="AG25" s="54">
        <v>0.197916666666667</v>
      </c>
      <c r="AH25" s="54">
        <v>0.208333333333334</v>
      </c>
      <c r="AI25" s="54">
        <v>0.21875</v>
      </c>
      <c r="AJ25" s="54">
        <v>0.229166666666667</v>
      </c>
      <c r="AK25" s="54">
        <v>0.239583333333334</v>
      </c>
      <c r="AL25" s="54">
        <v>0.25</v>
      </c>
      <c r="AM25" s="54">
        <v>0.260416666666667</v>
      </c>
      <c r="AN25" s="54">
        <v>0.270833333333334</v>
      </c>
      <c r="AO25" s="54">
        <v>0.28125</v>
      </c>
      <c r="AP25" s="54">
        <v>0.291666666666667</v>
      </c>
      <c r="AQ25" s="54">
        <v>0.302083333333334</v>
      </c>
      <c r="AR25" s="54">
        <v>0.3125</v>
      </c>
      <c r="AS25" s="54">
        <v>0.322916666666667</v>
      </c>
      <c r="AT25" s="54">
        <v>0.333333333333334</v>
      </c>
      <c r="AU25" s="54">
        <v>0.34375</v>
      </c>
      <c r="AV25" s="54">
        <v>0.354166666666667</v>
      </c>
      <c r="AW25" s="54">
        <v>0.364583333333334</v>
      </c>
      <c r="AX25" s="54">
        <v>0.375</v>
      </c>
      <c r="AY25" s="54">
        <v>0.385416666666667</v>
      </c>
      <c r="AZ25" s="54">
        <v>0.395833333333334</v>
      </c>
      <c r="BA25" s="54">
        <v>0.40625</v>
      </c>
      <c r="BB25" s="54">
        <v>0.416666666666667</v>
      </c>
      <c r="BC25" s="54">
        <v>0.427083333333334</v>
      </c>
      <c r="BD25" s="54">
        <v>0.4375</v>
      </c>
      <c r="BE25" s="54">
        <v>0.447916666666667</v>
      </c>
      <c r="BF25" s="54">
        <v>0.458333333333334</v>
      </c>
      <c r="BG25" s="54">
        <v>0.46875</v>
      </c>
      <c r="BH25" s="54">
        <v>0.479166666666667</v>
      </c>
      <c r="BI25" s="54">
        <v>0.489583333333334</v>
      </c>
      <c r="BJ25" s="54">
        <v>0.5</v>
      </c>
      <c r="BK25" s="54">
        <v>0.510416666666667</v>
      </c>
      <c r="BL25" s="54">
        <v>0.520833333333334</v>
      </c>
      <c r="BM25" s="54">
        <v>0.53125</v>
      </c>
      <c r="BN25" s="54">
        <v>0.541666666666667</v>
      </c>
      <c r="BO25" s="54">
        <v>0.552083333333334</v>
      </c>
      <c r="BP25" s="54">
        <v>0.5625</v>
      </c>
      <c r="BQ25" s="54">
        <v>0.572916666666667</v>
      </c>
      <c r="BR25" s="54">
        <v>0.583333333333334</v>
      </c>
      <c r="BS25" s="54">
        <v>0.59375</v>
      </c>
      <c r="BT25" s="54">
        <v>0.604166666666667</v>
      </c>
      <c r="BU25" s="54">
        <v>0.614583333333334</v>
      </c>
      <c r="BV25" s="54">
        <v>0.625</v>
      </c>
      <c r="BW25" s="54">
        <v>0.635416666666667</v>
      </c>
      <c r="BX25" s="54">
        <v>0.645833333333334</v>
      </c>
      <c r="BY25" s="54">
        <v>0.65625</v>
      </c>
      <c r="BZ25" s="54">
        <v>0.666666666666667</v>
      </c>
      <c r="CA25" s="54">
        <v>0.677083333333334</v>
      </c>
      <c r="CB25" s="54">
        <v>0.6875</v>
      </c>
      <c r="CC25" s="54">
        <v>0.697916666666667</v>
      </c>
      <c r="CD25" s="54">
        <v>0.708333333333334</v>
      </c>
      <c r="CE25" s="54">
        <v>0.71875</v>
      </c>
      <c r="CF25" s="54">
        <v>0.729166666666667</v>
      </c>
      <c r="CG25" s="54">
        <v>0.739583333333334</v>
      </c>
      <c r="CH25" s="54">
        <v>0.75</v>
      </c>
      <c r="CI25" s="54">
        <v>0.760416666666667</v>
      </c>
      <c r="CJ25" s="54">
        <v>0.770833333333334</v>
      </c>
      <c r="CK25" s="54">
        <v>0.78125</v>
      </c>
      <c r="CL25" s="54">
        <v>0.791666666666667</v>
      </c>
      <c r="CM25" s="54">
        <v>0.802083333333334</v>
      </c>
      <c r="CN25" s="54">
        <v>0.8125</v>
      </c>
      <c r="CO25" s="54">
        <v>0.822916666666667</v>
      </c>
      <c r="CP25" s="54">
        <v>0.833333333333334</v>
      </c>
      <c r="CQ25" s="54">
        <v>0.84375</v>
      </c>
      <c r="CR25" s="54">
        <v>0.854166666666667</v>
      </c>
      <c r="CS25" s="54">
        <v>0.864583333333334</v>
      </c>
      <c r="CT25" s="54">
        <v>0.875</v>
      </c>
      <c r="CU25" s="54">
        <v>0.885416666666667</v>
      </c>
      <c r="CV25" s="54">
        <v>0.895833333333334</v>
      </c>
      <c r="CW25" s="54">
        <v>0.90625</v>
      </c>
      <c r="CX25" s="54">
        <v>0.916666666666667</v>
      </c>
      <c r="CY25" s="54">
        <v>0.927083333333334</v>
      </c>
      <c r="CZ25" s="54">
        <v>0.9375</v>
      </c>
      <c r="DA25" s="54">
        <v>0.947916666666667</v>
      </c>
      <c r="DB25" s="54">
        <v>0.958333333333334</v>
      </c>
      <c r="DC25" s="54">
        <v>0.96875</v>
      </c>
      <c r="DD25" s="54">
        <v>0.979166666666667</v>
      </c>
      <c r="DE25" s="54">
        <v>0.989583333333334</v>
      </c>
      <c r="DF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</row>
    <row r="26" spans="1:54" ht="12.75">
      <c r="A26" s="71" t="s">
        <v>21</v>
      </c>
      <c r="B26" s="73"/>
      <c r="C26" s="73"/>
      <c r="D26" s="7"/>
      <c r="E26" s="8"/>
      <c r="F26" s="9"/>
      <c r="G26" s="55" t="s">
        <v>7</v>
      </c>
      <c r="H26" s="56">
        <v>1</v>
      </c>
      <c r="I26" s="57">
        <f t="shared" si="0"/>
        <v>0</v>
      </c>
      <c r="J26" s="58">
        <f t="shared" si="1"/>
        <v>0</v>
      </c>
      <c r="N26" s="54">
        <v>0.333333333333334</v>
      </c>
      <c r="O26" s="54">
        <v>0.34375</v>
      </c>
      <c r="P26" s="54">
        <v>0.354166666666667</v>
      </c>
      <c r="Q26" s="54">
        <v>0.364583333333334</v>
      </c>
      <c r="R26" s="54">
        <v>0.375</v>
      </c>
      <c r="S26" s="54">
        <v>0.385416666666667</v>
      </c>
      <c r="T26" s="54">
        <v>0.395833333333334</v>
      </c>
      <c r="U26" s="54">
        <v>0.40625</v>
      </c>
      <c r="V26" s="54">
        <v>0.416666666666667</v>
      </c>
      <c r="W26" s="54">
        <v>0.427083333333334</v>
      </c>
      <c r="X26" s="54">
        <v>0.4375</v>
      </c>
      <c r="Y26" s="54">
        <v>0.447916666666667</v>
      </c>
      <c r="Z26" s="54">
        <v>0.458333333333334</v>
      </c>
      <c r="AA26" s="54">
        <v>0.46875</v>
      </c>
      <c r="AB26" s="54">
        <v>0.479166666666667</v>
      </c>
      <c r="AC26" s="54">
        <v>0.489583333333334</v>
      </c>
      <c r="AD26" s="54">
        <v>0.5</v>
      </c>
      <c r="AE26" s="54">
        <v>0.510416666666667</v>
      </c>
      <c r="AF26" s="54">
        <v>0.520833333333334</v>
      </c>
      <c r="AG26" s="54">
        <v>0.53125</v>
      </c>
      <c r="AH26" s="54">
        <v>0.541666666666667</v>
      </c>
      <c r="AI26" s="54">
        <v>0.552083333333334</v>
      </c>
      <c r="AJ26" s="54">
        <v>0.5625</v>
      </c>
      <c r="AK26" s="54">
        <v>0.572916666666667</v>
      </c>
      <c r="AL26" s="54">
        <v>0.583333333333334</v>
      </c>
      <c r="AM26" s="54">
        <v>0.59375</v>
      </c>
      <c r="AN26" s="54">
        <v>0.604166666666667</v>
      </c>
      <c r="AO26" s="54">
        <v>0.614583333333334</v>
      </c>
      <c r="AP26" s="54">
        <v>0.625</v>
      </c>
      <c r="AQ26" s="54">
        <v>0.635416666666667</v>
      </c>
      <c r="AR26" s="54">
        <v>0.645833333333334</v>
      </c>
      <c r="AS26" s="54">
        <v>0.65625</v>
      </c>
      <c r="AT26" s="54">
        <v>0.666666666666667</v>
      </c>
      <c r="AU26" s="54">
        <v>0.677083333333334</v>
      </c>
      <c r="AV26" s="54">
        <v>0.6875</v>
      </c>
      <c r="AW26" s="54">
        <v>0.697916666666667</v>
      </c>
      <c r="AX26" s="54">
        <v>0.708333333333334</v>
      </c>
      <c r="AY26" s="54">
        <v>0.71875</v>
      </c>
      <c r="AZ26" s="54">
        <v>0.729166666666667</v>
      </c>
      <c r="BA26" s="54">
        <v>0.739583333333334</v>
      </c>
      <c r="BB26" s="54">
        <v>0.75</v>
      </c>
    </row>
    <row r="27" spans="1:10" ht="12.75">
      <c r="A27" s="71" t="s">
        <v>22</v>
      </c>
      <c r="B27" s="73"/>
      <c r="C27" s="73"/>
      <c r="D27" s="7"/>
      <c r="E27" s="8"/>
      <c r="F27" s="9"/>
      <c r="G27" s="55" t="s">
        <v>7</v>
      </c>
      <c r="H27" s="56">
        <v>1</v>
      </c>
      <c r="I27" s="57">
        <f t="shared" si="0"/>
        <v>0</v>
      </c>
      <c r="J27" s="58">
        <f t="shared" si="1"/>
        <v>0</v>
      </c>
    </row>
    <row r="28" spans="1:10" ht="12.75">
      <c r="A28" s="71" t="s">
        <v>40</v>
      </c>
      <c r="B28" s="73"/>
      <c r="C28" s="73"/>
      <c r="D28" s="7"/>
      <c r="E28" s="8"/>
      <c r="F28" s="9"/>
      <c r="G28" s="55" t="s">
        <v>7</v>
      </c>
      <c r="H28" s="56">
        <v>1</v>
      </c>
      <c r="I28" s="57">
        <f t="shared" si="0"/>
        <v>0</v>
      </c>
      <c r="J28" s="58">
        <f t="shared" si="1"/>
        <v>0</v>
      </c>
    </row>
    <row r="29" spans="1:10" ht="12.75">
      <c r="A29" s="71" t="s">
        <v>41</v>
      </c>
      <c r="B29" s="73"/>
      <c r="C29" s="73"/>
      <c r="D29" s="7"/>
      <c r="E29" s="8"/>
      <c r="F29" s="9"/>
      <c r="G29" s="55" t="s">
        <v>7</v>
      </c>
      <c r="H29" s="56">
        <v>1</v>
      </c>
      <c r="I29" s="57">
        <f t="shared" si="0"/>
        <v>0</v>
      </c>
      <c r="J29" s="58">
        <f t="shared" si="1"/>
        <v>0</v>
      </c>
    </row>
    <row r="30" spans="1:10" ht="12.75">
      <c r="A30" s="71" t="s">
        <v>42</v>
      </c>
      <c r="B30" s="73"/>
      <c r="C30" s="73"/>
      <c r="D30" s="7"/>
      <c r="E30" s="8"/>
      <c r="F30" s="10"/>
      <c r="G30" s="59" t="s">
        <v>7</v>
      </c>
      <c r="H30" s="60">
        <v>1</v>
      </c>
      <c r="I30" s="61">
        <f t="shared" si="0"/>
        <v>0</v>
      </c>
      <c r="J30" s="62">
        <f t="shared" si="1"/>
        <v>0</v>
      </c>
    </row>
    <row r="31" spans="1:25" ht="12.75">
      <c r="A31" s="71"/>
      <c r="B31" s="73"/>
      <c r="C31" s="73"/>
      <c r="D31" s="63"/>
      <c r="E31" s="56"/>
      <c r="F31" s="64" t="s">
        <v>38</v>
      </c>
      <c r="G31" s="65"/>
      <c r="H31" s="66"/>
      <c r="I31" s="67">
        <f>SUM(I25:I30)</f>
        <v>0</v>
      </c>
      <c r="J31" s="68">
        <f>SUM(J25:J30)</f>
        <v>0</v>
      </c>
      <c r="M31" s="28" t="s">
        <v>118</v>
      </c>
      <c r="N31" s="291" t="s">
        <v>119</v>
      </c>
      <c r="O31" s="291" t="s">
        <v>63</v>
      </c>
      <c r="P31" s="291" t="s">
        <v>68</v>
      </c>
      <c r="Q31" s="292" t="s">
        <v>133</v>
      </c>
      <c r="R31" s="291" t="s">
        <v>55</v>
      </c>
      <c r="S31" s="291" t="s">
        <v>176</v>
      </c>
      <c r="T31" s="291" t="s">
        <v>65</v>
      </c>
      <c r="U31" s="291" t="s">
        <v>66</v>
      </c>
      <c r="V31" s="291" t="s">
        <v>67</v>
      </c>
      <c r="X31" s="28" t="s">
        <v>64</v>
      </c>
      <c r="Y31" s="28" t="s">
        <v>62</v>
      </c>
    </row>
    <row r="32" spans="1:25" ht="12.75">
      <c r="A32" s="71" t="s">
        <v>12</v>
      </c>
      <c r="B32" s="73"/>
      <c r="C32" s="73"/>
      <c r="D32" s="69" t="s">
        <v>5</v>
      </c>
      <c r="E32" s="70" t="s">
        <v>6</v>
      </c>
      <c r="F32" s="71"/>
      <c r="G32" s="55"/>
      <c r="H32" s="56"/>
      <c r="I32" s="69"/>
      <c r="J32" s="70"/>
      <c r="M32" s="28" t="s">
        <v>152</v>
      </c>
      <c r="N32" s="28">
        <f>(ROUND(198.79*365,0))</f>
        <v>72558</v>
      </c>
      <c r="O32" s="28">
        <f>(ROUND(246.64*365,0))</f>
        <v>90024</v>
      </c>
      <c r="P32" s="28">
        <f>(ROUND(235.91*365,0))</f>
        <v>86107</v>
      </c>
      <c r="Q32" s="28">
        <f>(ROUND(234.81*365,0))</f>
        <v>85706</v>
      </c>
      <c r="R32" s="28">
        <f>(ROUND(307.46*365,0))</f>
        <v>112223</v>
      </c>
      <c r="S32" s="28">
        <f>(ROUND(205.29*365,0))</f>
        <v>74931</v>
      </c>
      <c r="T32" s="28">
        <f>(ROUND(227.64*365,0))</f>
        <v>83089</v>
      </c>
      <c r="U32" s="28">
        <f>(ROUND(334.78*365,0))</f>
        <v>122195</v>
      </c>
      <c r="V32" s="28">
        <f>(ROUND(236.57*365,0))</f>
        <v>86348</v>
      </c>
      <c r="X32" s="28">
        <v>109481</v>
      </c>
      <c r="Y32" s="28">
        <v>74905</v>
      </c>
    </row>
    <row r="33" spans="1:25" ht="12.75">
      <c r="A33" s="71" t="s">
        <v>20</v>
      </c>
      <c r="B33" s="73"/>
      <c r="C33" s="73"/>
      <c r="D33" s="7"/>
      <c r="E33" s="8"/>
      <c r="F33" s="9"/>
      <c r="G33" s="55" t="s">
        <v>7</v>
      </c>
      <c r="H33" s="56">
        <v>1</v>
      </c>
      <c r="I33" s="57">
        <f aca="true" t="shared" si="2" ref="I33:I38">+E33-D33</f>
        <v>0</v>
      </c>
      <c r="J33" s="58">
        <f aca="true" t="shared" si="3" ref="J33:J38">+I33*F33</f>
        <v>0</v>
      </c>
      <c r="M33" s="28" t="s">
        <v>114</v>
      </c>
      <c r="N33" s="28">
        <f>+ROUND(N32*1.2,0)</f>
        <v>87070</v>
      </c>
      <c r="O33" s="28">
        <f>+ROUND(O32*1.2,0)</f>
        <v>108029</v>
      </c>
      <c r="P33" s="28">
        <f>+ROUND(P32*1.2,0)</f>
        <v>103328</v>
      </c>
      <c r="Q33" s="28">
        <f>+P33</f>
        <v>103328</v>
      </c>
      <c r="R33" s="28">
        <f>+ROUND(R32*1.2,0)</f>
        <v>134668</v>
      </c>
      <c r="S33" s="28">
        <f>+ROUND(S32*1.2,0)</f>
        <v>89917</v>
      </c>
      <c r="T33" s="28">
        <f>+ROUND(T32*1.2,0)</f>
        <v>99707</v>
      </c>
      <c r="U33" s="28">
        <f>+ROUND(U32*1.2,0)</f>
        <v>146634</v>
      </c>
      <c r="V33" s="28">
        <f>+ROUND(V32*1.2,0)</f>
        <v>103618</v>
      </c>
      <c r="X33" s="28">
        <v>90000</v>
      </c>
      <c r="Y33" s="28">
        <v>90000</v>
      </c>
    </row>
    <row r="34" spans="1:10" ht="12.75">
      <c r="A34" s="71" t="s">
        <v>21</v>
      </c>
      <c r="B34" s="73"/>
      <c r="C34" s="73"/>
      <c r="D34" s="7"/>
      <c r="E34" s="8"/>
      <c r="F34" s="9"/>
      <c r="G34" s="55" t="s">
        <v>7</v>
      </c>
      <c r="H34" s="56">
        <v>1</v>
      </c>
      <c r="I34" s="57">
        <f t="shared" si="2"/>
        <v>0</v>
      </c>
      <c r="J34" s="58">
        <f t="shared" si="3"/>
        <v>0</v>
      </c>
    </row>
    <row r="35" spans="1:10" ht="12.75">
      <c r="A35" s="71" t="s">
        <v>22</v>
      </c>
      <c r="B35" s="73"/>
      <c r="C35" s="73"/>
      <c r="D35" s="7"/>
      <c r="E35" s="8"/>
      <c r="F35" s="9"/>
      <c r="G35" s="55" t="s">
        <v>7</v>
      </c>
      <c r="H35" s="56">
        <v>1</v>
      </c>
      <c r="I35" s="57">
        <f t="shared" si="2"/>
        <v>0</v>
      </c>
      <c r="J35" s="58">
        <f t="shared" si="3"/>
        <v>0</v>
      </c>
    </row>
    <row r="36" spans="1:10" ht="12.75">
      <c r="A36" s="71" t="s">
        <v>40</v>
      </c>
      <c r="B36" s="73"/>
      <c r="C36" s="73"/>
      <c r="D36" s="7"/>
      <c r="E36" s="8"/>
      <c r="F36" s="9"/>
      <c r="G36" s="55" t="s">
        <v>7</v>
      </c>
      <c r="H36" s="56">
        <v>1</v>
      </c>
      <c r="I36" s="57">
        <f t="shared" si="2"/>
        <v>0</v>
      </c>
      <c r="J36" s="58">
        <f t="shared" si="3"/>
        <v>0</v>
      </c>
    </row>
    <row r="37" spans="1:10" ht="12.75">
      <c r="A37" s="71" t="s">
        <v>41</v>
      </c>
      <c r="B37" s="73"/>
      <c r="C37" s="73"/>
      <c r="D37" s="7"/>
      <c r="E37" s="8"/>
      <c r="F37" s="9"/>
      <c r="G37" s="55" t="s">
        <v>7</v>
      </c>
      <c r="H37" s="56">
        <v>1</v>
      </c>
      <c r="I37" s="57">
        <f t="shared" si="2"/>
        <v>0</v>
      </c>
      <c r="J37" s="58">
        <f t="shared" si="3"/>
        <v>0</v>
      </c>
    </row>
    <row r="38" spans="1:10" ht="12.75">
      <c r="A38" s="71" t="s">
        <v>42</v>
      </c>
      <c r="B38" s="73"/>
      <c r="C38" s="73"/>
      <c r="D38" s="7"/>
      <c r="E38" s="8"/>
      <c r="F38" s="10"/>
      <c r="G38" s="59" t="s">
        <v>7</v>
      </c>
      <c r="H38" s="60">
        <v>1</v>
      </c>
      <c r="I38" s="61">
        <f t="shared" si="2"/>
        <v>0</v>
      </c>
      <c r="J38" s="62">
        <f t="shared" si="3"/>
        <v>0</v>
      </c>
    </row>
    <row r="39" spans="1:10" ht="13.5" thickBot="1">
      <c r="A39" s="71"/>
      <c r="B39" s="73"/>
      <c r="C39" s="73"/>
      <c r="D39" s="72"/>
      <c r="E39" s="56"/>
      <c r="F39" s="71" t="s">
        <v>39</v>
      </c>
      <c r="G39" s="73"/>
      <c r="H39" s="56"/>
      <c r="I39" s="57">
        <f>SUM(I33:I38)</f>
        <v>0</v>
      </c>
      <c r="J39" s="58">
        <f>SUM(J33:J38)</f>
        <v>0</v>
      </c>
    </row>
    <row r="40" spans="1:10" ht="13.5" thickBot="1">
      <c r="A40" s="75" t="s">
        <v>141</v>
      </c>
      <c r="B40" s="31"/>
      <c r="C40" s="31"/>
      <c r="D40" s="75" t="s">
        <v>54</v>
      </c>
      <c r="E40" s="31"/>
      <c r="F40" s="31"/>
      <c r="G40" s="31"/>
      <c r="H40" s="31"/>
      <c r="I40" s="123"/>
      <c r="J40" s="12"/>
    </row>
    <row r="41" spans="1:10" ht="13.5" thickBot="1">
      <c r="A41" s="74" t="s">
        <v>50</v>
      </c>
      <c r="B41" s="75"/>
      <c r="C41" s="75"/>
      <c r="D41" s="75" t="s">
        <v>24</v>
      </c>
      <c r="E41" s="31"/>
      <c r="F41" s="31"/>
      <c r="G41" s="31"/>
      <c r="H41" s="31"/>
      <c r="I41" s="123"/>
      <c r="J41" s="12"/>
    </row>
    <row r="42" spans="1:10" ht="13.5" thickBot="1">
      <c r="A42" s="138" t="s">
        <v>121</v>
      </c>
      <c r="B42" s="190"/>
      <c r="C42" s="190"/>
      <c r="D42" s="75"/>
      <c r="E42" s="31"/>
      <c r="F42" s="31"/>
      <c r="G42" s="31"/>
      <c r="H42" s="31"/>
      <c r="I42" s="123"/>
      <c r="J42" s="133">
        <f>(+J31*5+J39*2)+J41+J40</f>
        <v>0</v>
      </c>
    </row>
    <row r="43" spans="1:12" ht="12.75" customHeight="1">
      <c r="A43" s="132" t="s">
        <v>100</v>
      </c>
      <c r="B43" s="191"/>
      <c r="C43" s="191"/>
      <c r="D43" s="128" t="s">
        <v>101</v>
      </c>
      <c r="E43" s="131"/>
      <c r="F43" s="131"/>
      <c r="G43" s="131"/>
      <c r="H43" s="131"/>
      <c r="I43" s="16"/>
      <c r="J43" s="78"/>
      <c r="L43" s="79"/>
    </row>
    <row r="44" spans="1:12" ht="12.75" customHeight="1">
      <c r="A44" s="202"/>
      <c r="B44" s="203"/>
      <c r="C44" s="203"/>
      <c r="D44" s="127" t="s">
        <v>102</v>
      </c>
      <c r="E44" s="73"/>
      <c r="F44" s="73"/>
      <c r="G44" s="73"/>
      <c r="H44" s="73"/>
      <c r="I44" s="129"/>
      <c r="J44" s="136"/>
      <c r="L44" s="79"/>
    </row>
    <row r="45" spans="1:12" ht="12.75" customHeight="1">
      <c r="A45" s="71"/>
      <c r="B45" s="73"/>
      <c r="C45" s="73"/>
      <c r="D45" s="128" t="s">
        <v>128</v>
      </c>
      <c r="E45" s="131"/>
      <c r="F45" s="131"/>
      <c r="G45" s="131"/>
      <c r="H45" s="131"/>
      <c r="I45" s="129"/>
      <c r="J45" s="136"/>
      <c r="L45" s="79"/>
    </row>
    <row r="46" spans="1:12" ht="12.75" customHeight="1" thickBot="1">
      <c r="A46" s="71"/>
      <c r="B46" s="73"/>
      <c r="C46" s="73"/>
      <c r="D46" s="127" t="s">
        <v>107</v>
      </c>
      <c r="E46" s="73"/>
      <c r="F46" s="73"/>
      <c r="G46" s="73"/>
      <c r="H46" s="73"/>
      <c r="I46" s="17"/>
      <c r="J46" s="137"/>
      <c r="L46" s="79"/>
    </row>
    <row r="47" spans="1:12" ht="12.75" customHeight="1" thickBot="1">
      <c r="A47" s="168" t="s">
        <v>103</v>
      </c>
      <c r="B47" s="88"/>
      <c r="C47" s="88"/>
      <c r="D47" s="169"/>
      <c r="E47" s="89"/>
      <c r="F47" s="89"/>
      <c r="G47" s="89"/>
      <c r="H47" s="89"/>
      <c r="I47" s="142">
        <f>+I43+I44+I45+I46</f>
        <v>0</v>
      </c>
      <c r="J47" s="133">
        <f>+J42</f>
        <v>0</v>
      </c>
      <c r="L47" s="79"/>
    </row>
    <row r="48" spans="1:14" s="80" customFormat="1" ht="12.75">
      <c r="A48" s="126"/>
      <c r="B48" s="126"/>
      <c r="C48" s="126"/>
      <c r="D48" s="125"/>
      <c r="E48" s="125"/>
      <c r="F48" s="125"/>
      <c r="G48" s="125"/>
      <c r="H48" s="125"/>
      <c r="I48" s="125"/>
      <c r="J48" s="130"/>
      <c r="M48" s="93"/>
      <c r="N48" s="148"/>
    </row>
    <row r="49" spans="7:11" ht="13.5" thickBot="1">
      <c r="G49" s="81"/>
      <c r="K49" s="82"/>
    </row>
    <row r="50" spans="1:11" ht="13.5" thickBot="1">
      <c r="A50" s="39" t="s">
        <v>3</v>
      </c>
      <c r="B50" s="193"/>
      <c r="C50" s="205"/>
      <c r="G50" s="81"/>
      <c r="K50" s="82"/>
    </row>
    <row r="51" spans="1:10" ht="12.75">
      <c r="A51" s="76" t="s">
        <v>34</v>
      </c>
      <c r="B51" s="77"/>
      <c r="C51" s="51"/>
      <c r="D51" s="40" t="s">
        <v>51</v>
      </c>
      <c r="E51" s="41"/>
      <c r="F51" s="42" t="s">
        <v>11</v>
      </c>
      <c r="G51" s="83"/>
      <c r="H51" s="41"/>
      <c r="I51" s="84" t="s">
        <v>8</v>
      </c>
      <c r="J51" s="41"/>
    </row>
    <row r="52" spans="1:10" ht="13.5" thickBot="1">
      <c r="A52" s="85"/>
      <c r="B52" s="186"/>
      <c r="C52" s="201"/>
      <c r="D52" s="46" t="s">
        <v>5</v>
      </c>
      <c r="E52" s="47" t="s">
        <v>6</v>
      </c>
      <c r="F52" s="48" t="s">
        <v>10</v>
      </c>
      <c r="G52" s="86"/>
      <c r="H52" s="86"/>
      <c r="I52" s="46" t="s">
        <v>26</v>
      </c>
      <c r="J52" s="47" t="s">
        <v>27</v>
      </c>
    </row>
    <row r="53" spans="1:10" ht="12.75">
      <c r="A53" s="71" t="s">
        <v>13</v>
      </c>
      <c r="B53" s="73"/>
      <c r="C53" s="56"/>
      <c r="D53" s="7"/>
      <c r="E53" s="11"/>
      <c r="F53" s="13"/>
      <c r="G53" s="87" t="s">
        <v>7</v>
      </c>
      <c r="H53" s="73">
        <v>1</v>
      </c>
      <c r="I53" s="57">
        <f aca="true" t="shared" si="4" ref="I53:I58">+E53-D53</f>
        <v>0</v>
      </c>
      <c r="J53" s="58">
        <f aca="true" t="shared" si="5" ref="J53:J59">+I53*F53</f>
        <v>0</v>
      </c>
    </row>
    <row r="54" spans="1:10" ht="12.75">
      <c r="A54" s="71" t="s">
        <v>14</v>
      </c>
      <c r="B54" s="73"/>
      <c r="C54" s="56"/>
      <c r="D54" s="7"/>
      <c r="E54" s="11"/>
      <c r="F54" s="13"/>
      <c r="G54" s="87" t="s">
        <v>7</v>
      </c>
      <c r="H54" s="73">
        <v>1</v>
      </c>
      <c r="I54" s="57">
        <f t="shared" si="4"/>
        <v>0</v>
      </c>
      <c r="J54" s="58">
        <f t="shared" si="5"/>
        <v>0</v>
      </c>
    </row>
    <row r="55" spans="1:10" ht="12.75">
      <c r="A55" s="71" t="s">
        <v>15</v>
      </c>
      <c r="B55" s="73"/>
      <c r="C55" s="56"/>
      <c r="D55" s="7"/>
      <c r="E55" s="11"/>
      <c r="F55" s="13"/>
      <c r="G55" s="87" t="s">
        <v>7</v>
      </c>
      <c r="H55" s="73">
        <v>1</v>
      </c>
      <c r="I55" s="57">
        <f t="shared" si="4"/>
        <v>0</v>
      </c>
      <c r="J55" s="58">
        <f t="shared" si="5"/>
        <v>0</v>
      </c>
    </row>
    <row r="56" spans="1:10" ht="12.75">
      <c r="A56" s="71" t="s">
        <v>16</v>
      </c>
      <c r="B56" s="73"/>
      <c r="C56" s="73"/>
      <c r="D56" s="7"/>
      <c r="E56" s="11"/>
      <c r="F56" s="13"/>
      <c r="G56" s="87" t="s">
        <v>7</v>
      </c>
      <c r="H56" s="73">
        <v>1</v>
      </c>
      <c r="I56" s="57">
        <f t="shared" si="4"/>
        <v>0</v>
      </c>
      <c r="J56" s="58">
        <f t="shared" si="5"/>
        <v>0</v>
      </c>
    </row>
    <row r="57" spans="1:10" ht="12.75">
      <c r="A57" s="71" t="s">
        <v>17</v>
      </c>
      <c r="B57" s="73"/>
      <c r="C57" s="73"/>
      <c r="D57" s="7"/>
      <c r="E57" s="11"/>
      <c r="F57" s="13"/>
      <c r="G57" s="87" t="s">
        <v>7</v>
      </c>
      <c r="H57" s="73">
        <v>1</v>
      </c>
      <c r="I57" s="57">
        <f t="shared" si="4"/>
        <v>0</v>
      </c>
      <c r="J57" s="58">
        <f t="shared" si="5"/>
        <v>0</v>
      </c>
    </row>
    <row r="58" spans="1:10" ht="12.75">
      <c r="A58" s="71" t="s">
        <v>18</v>
      </c>
      <c r="B58" s="73"/>
      <c r="C58" s="73"/>
      <c r="D58" s="7"/>
      <c r="E58" s="11"/>
      <c r="F58" s="13"/>
      <c r="G58" s="87" t="s">
        <v>7</v>
      </c>
      <c r="H58" s="73">
        <v>1</v>
      </c>
      <c r="I58" s="57">
        <f t="shared" si="4"/>
        <v>0</v>
      </c>
      <c r="J58" s="58">
        <f t="shared" si="5"/>
        <v>0</v>
      </c>
    </row>
    <row r="59" spans="1:10" ht="13.5" thickBot="1">
      <c r="A59" s="71" t="s">
        <v>19</v>
      </c>
      <c r="B59" s="73"/>
      <c r="C59" s="73"/>
      <c r="D59" s="14"/>
      <c r="E59" s="11"/>
      <c r="F59" s="13"/>
      <c r="G59" s="87" t="s">
        <v>7</v>
      </c>
      <c r="H59" s="73">
        <v>1</v>
      </c>
      <c r="I59" s="57">
        <f>+E59-D59</f>
        <v>0</v>
      </c>
      <c r="J59" s="58">
        <f t="shared" si="5"/>
        <v>0</v>
      </c>
    </row>
    <row r="60" spans="1:10" ht="13.5" thickBot="1">
      <c r="A60" s="75" t="s">
        <v>50</v>
      </c>
      <c r="B60" s="31"/>
      <c r="C60" s="31"/>
      <c r="D60" s="31" t="s">
        <v>24</v>
      </c>
      <c r="E60" s="31"/>
      <c r="F60" s="31"/>
      <c r="G60" s="31"/>
      <c r="H60" s="31"/>
      <c r="I60" s="123"/>
      <c r="J60" s="12"/>
    </row>
    <row r="61" spans="1:12" ht="13.5" thickBot="1">
      <c r="A61" s="75" t="s">
        <v>122</v>
      </c>
      <c r="B61" s="31"/>
      <c r="C61" s="31"/>
      <c r="D61" s="177"/>
      <c r="E61" s="178"/>
      <c r="F61" s="31"/>
      <c r="G61" s="31"/>
      <c r="H61" s="31"/>
      <c r="I61" s="179"/>
      <c r="J61" s="180">
        <f>SUM(J53:J60)</f>
        <v>0</v>
      </c>
      <c r="L61" s="163"/>
    </row>
    <row r="62" spans="1:12" ht="12.75" customHeight="1">
      <c r="A62" s="192" t="s">
        <v>100</v>
      </c>
      <c r="B62" s="83"/>
      <c r="C62" s="83"/>
      <c r="D62" s="143" t="s">
        <v>101</v>
      </c>
      <c r="E62" s="83"/>
      <c r="F62" s="83"/>
      <c r="G62" s="83"/>
      <c r="H62" s="83"/>
      <c r="I62" s="16"/>
      <c r="J62" s="78"/>
      <c r="L62" s="79"/>
    </row>
    <row r="63" spans="1:12" ht="12.75" customHeight="1" thickBot="1">
      <c r="A63" s="71"/>
      <c r="B63" s="73"/>
      <c r="C63" s="73"/>
      <c r="D63" s="128" t="s">
        <v>107</v>
      </c>
      <c r="E63" s="131"/>
      <c r="F63" s="131"/>
      <c r="G63" s="131"/>
      <c r="H63" s="131"/>
      <c r="I63" s="129"/>
      <c r="J63" s="136"/>
      <c r="L63" s="236"/>
    </row>
    <row r="64" spans="1:13" ht="12.75" customHeight="1" thickBot="1">
      <c r="A64" s="88" t="s">
        <v>104</v>
      </c>
      <c r="B64" s="89"/>
      <c r="C64" s="89"/>
      <c r="D64" s="169"/>
      <c r="E64" s="89"/>
      <c r="F64" s="89"/>
      <c r="G64" s="89"/>
      <c r="H64" s="89"/>
      <c r="I64" s="142">
        <f>+I62+I63</f>
        <v>0</v>
      </c>
      <c r="J64" s="133">
        <f>+J61</f>
        <v>0</v>
      </c>
      <c r="L64" s="144"/>
      <c r="M64" s="79"/>
    </row>
    <row r="65" spans="1:13" ht="12.75" customHeight="1">
      <c r="A65" s="110"/>
      <c r="B65" s="110"/>
      <c r="C65" s="110"/>
      <c r="D65" s="125"/>
      <c r="E65" s="110"/>
      <c r="F65" s="110"/>
      <c r="G65" s="110"/>
      <c r="H65" s="110"/>
      <c r="I65" s="267"/>
      <c r="J65" s="268"/>
      <c r="L65" s="144"/>
      <c r="M65" s="79"/>
    </row>
    <row r="66" spans="1:10" ht="12.75">
      <c r="A66" s="73"/>
      <c r="B66" s="73"/>
      <c r="C66" s="73"/>
      <c r="J66" s="29" t="s">
        <v>155</v>
      </c>
    </row>
    <row r="67" spans="1:10" ht="13.5" thickBot="1">
      <c r="A67" s="73"/>
      <c r="B67" s="73"/>
      <c r="C67" s="73"/>
      <c r="J67" s="290">
        <f>+J6</f>
        <v>40287</v>
      </c>
    </row>
    <row r="68" spans="1:5" ht="13.5" thickBot="1">
      <c r="A68" s="91" t="s">
        <v>36</v>
      </c>
      <c r="B68" s="193"/>
      <c r="C68" s="193"/>
      <c r="D68" s="31"/>
      <c r="E68" s="92"/>
    </row>
    <row r="69" spans="1:10" ht="29.25" customHeight="1" thickBot="1">
      <c r="A69" s="185" t="s">
        <v>31</v>
      </c>
      <c r="B69" s="197"/>
      <c r="C69" s="197"/>
      <c r="D69" s="94" t="s">
        <v>28</v>
      </c>
      <c r="E69" s="95"/>
      <c r="F69" s="96"/>
      <c r="G69" s="97" t="s">
        <v>30</v>
      </c>
      <c r="H69" s="297"/>
      <c r="I69" s="298"/>
      <c r="J69" s="98" t="s">
        <v>35</v>
      </c>
    </row>
    <row r="70" spans="1:10" ht="12.75">
      <c r="A70" s="71" t="s">
        <v>0</v>
      </c>
      <c r="B70" s="73"/>
      <c r="C70" s="73"/>
      <c r="D70" s="99">
        <v>65</v>
      </c>
      <c r="E70" s="87"/>
      <c r="F70" s="100"/>
      <c r="G70" s="16"/>
      <c r="H70" s="101"/>
      <c r="I70" s="101"/>
      <c r="J70" s="49"/>
    </row>
    <row r="71" spans="1:10" ht="12.75">
      <c r="A71" s="71" t="s">
        <v>1</v>
      </c>
      <c r="B71" s="73"/>
      <c r="C71" s="73"/>
      <c r="D71" s="99">
        <v>80</v>
      </c>
      <c r="E71" s="87"/>
      <c r="F71" s="100"/>
      <c r="G71" s="17"/>
      <c r="H71" s="101"/>
      <c r="I71" s="101"/>
      <c r="J71" s="49"/>
    </row>
    <row r="72" spans="1:10" ht="12.75">
      <c r="A72" s="71" t="s">
        <v>25</v>
      </c>
      <c r="B72" s="73"/>
      <c r="C72" s="73"/>
      <c r="D72" s="99">
        <v>70</v>
      </c>
      <c r="E72" s="87"/>
      <c r="F72" s="100"/>
      <c r="G72" s="17"/>
      <c r="H72" s="101"/>
      <c r="I72" s="101"/>
      <c r="J72" s="49"/>
    </row>
    <row r="73" spans="1:10" ht="13.5" thickBot="1">
      <c r="A73" s="71" t="s">
        <v>2</v>
      </c>
      <c r="B73" s="73"/>
      <c r="C73" s="73"/>
      <c r="D73" s="102">
        <v>60</v>
      </c>
      <c r="E73" s="103"/>
      <c r="F73" s="104"/>
      <c r="G73" s="18"/>
      <c r="H73" s="101"/>
      <c r="I73" s="101"/>
      <c r="J73" s="49"/>
    </row>
    <row r="74" spans="1:12" s="167" customFormat="1" ht="13.5" thickBot="1">
      <c r="A74" s="88" t="s">
        <v>123</v>
      </c>
      <c r="B74" s="194"/>
      <c r="C74" s="194"/>
      <c r="D74" s="164"/>
      <c r="E74" s="164"/>
      <c r="F74" s="164"/>
      <c r="G74" s="164"/>
      <c r="H74" s="165"/>
      <c r="I74" s="165"/>
      <c r="J74" s="216">
        <f>SUM(G70:G73)</f>
        <v>0</v>
      </c>
      <c r="K74" s="166"/>
      <c r="L74" s="166"/>
    </row>
    <row r="75" spans="1:10" ht="13.5" thickBot="1">
      <c r="A75" s="105"/>
      <c r="B75" s="105"/>
      <c r="C75" s="105"/>
      <c r="D75" s="73"/>
      <c r="E75" s="73"/>
      <c r="F75" s="73"/>
      <c r="G75" s="73"/>
      <c r="H75" s="106"/>
      <c r="I75" s="106"/>
      <c r="J75" s="107"/>
    </row>
    <row r="76" spans="1:10" ht="13.5" thickBot="1">
      <c r="A76" s="88" t="s">
        <v>53</v>
      </c>
      <c r="B76" s="89"/>
      <c r="C76" s="89"/>
      <c r="D76" s="108"/>
      <c r="E76" s="108"/>
      <c r="F76" s="31"/>
      <c r="G76" s="31"/>
      <c r="H76" s="109"/>
      <c r="I76" s="146" t="s">
        <v>105</v>
      </c>
      <c r="J76" s="145" t="s">
        <v>106</v>
      </c>
    </row>
    <row r="77" spans="1:12" ht="12.75" customHeight="1">
      <c r="A77" s="192" t="s">
        <v>100</v>
      </c>
      <c r="B77" s="196"/>
      <c r="C77" s="196"/>
      <c r="D77" s="128" t="s">
        <v>101</v>
      </c>
      <c r="E77" s="131"/>
      <c r="F77" s="131"/>
      <c r="G77" s="131"/>
      <c r="H77" s="131"/>
      <c r="I77" s="139">
        <f>+I43+I62</f>
        <v>0</v>
      </c>
      <c r="J77" s="78"/>
      <c r="L77" s="79"/>
    </row>
    <row r="78" spans="1:12" ht="12.75" customHeight="1">
      <c r="A78" s="71"/>
      <c r="B78" s="73"/>
      <c r="C78" s="73"/>
      <c r="D78" s="127" t="s">
        <v>102</v>
      </c>
      <c r="E78" s="73"/>
      <c r="F78" s="73"/>
      <c r="G78" s="73"/>
      <c r="H78" s="73"/>
      <c r="I78" s="140">
        <f>+I44</f>
        <v>0</v>
      </c>
      <c r="J78" s="136"/>
      <c r="L78" s="79"/>
    </row>
    <row r="79" spans="1:12" ht="12.75" customHeight="1">
      <c r="A79" s="71"/>
      <c r="B79" s="73"/>
      <c r="C79" s="73"/>
      <c r="D79" s="128" t="s">
        <v>128</v>
      </c>
      <c r="E79" s="131"/>
      <c r="F79" s="131"/>
      <c r="G79" s="131"/>
      <c r="H79" s="131"/>
      <c r="I79" s="140">
        <f>+I45</f>
        <v>0</v>
      </c>
      <c r="J79" s="136"/>
      <c r="L79" s="79"/>
    </row>
    <row r="80" spans="1:12" ht="12.75" customHeight="1">
      <c r="A80" s="71"/>
      <c r="B80" s="73"/>
      <c r="C80" s="73"/>
      <c r="D80" s="128" t="s">
        <v>107</v>
      </c>
      <c r="E80" s="131"/>
      <c r="F80" s="131"/>
      <c r="G80" s="131"/>
      <c r="H80" s="131"/>
      <c r="I80" s="140">
        <f>+I46+I63</f>
        <v>0</v>
      </c>
      <c r="J80" s="134"/>
      <c r="L80" s="79"/>
    </row>
    <row r="81" spans="1:12" ht="12.75" customHeight="1" thickBot="1">
      <c r="A81" s="71"/>
      <c r="B81" s="73"/>
      <c r="C81" s="73"/>
      <c r="D81" s="127" t="s">
        <v>72</v>
      </c>
      <c r="E81" s="73"/>
      <c r="F81" s="73"/>
      <c r="G81" s="73"/>
      <c r="H81" s="73"/>
      <c r="I81" s="141">
        <f>+J74</f>
        <v>0</v>
      </c>
      <c r="J81" s="135"/>
      <c r="L81" s="79"/>
    </row>
    <row r="82" spans="1:12" s="27" customFormat="1" ht="13.5" customHeight="1" thickBot="1">
      <c r="A82" s="88" t="s">
        <v>23</v>
      </c>
      <c r="B82" s="89"/>
      <c r="C82" s="89"/>
      <c r="D82" s="169"/>
      <c r="E82" s="89"/>
      <c r="F82" s="89"/>
      <c r="G82" s="89"/>
      <c r="H82" s="89"/>
      <c r="I82" s="217"/>
      <c r="J82" s="170">
        <f>SUM(I77:I81)</f>
        <v>0</v>
      </c>
      <c r="K82" s="90"/>
      <c r="L82" s="90"/>
    </row>
    <row r="83" spans="1:10" ht="12.75">
      <c r="A83" s="110"/>
      <c r="B83" s="110"/>
      <c r="C83" s="110"/>
      <c r="D83" s="111"/>
      <c r="E83" s="111"/>
      <c r="F83" s="73"/>
      <c r="G83" s="73"/>
      <c r="H83" s="112"/>
      <c r="I83" s="147"/>
      <c r="J83" s="113"/>
    </row>
    <row r="84" spans="1:9" ht="12.75">
      <c r="A84" s="73"/>
      <c r="B84" s="73"/>
      <c r="C84" s="73"/>
      <c r="H84" s="114"/>
      <c r="I84" s="114"/>
    </row>
    <row r="85" spans="1:9" ht="15.75">
      <c r="A85" s="198" t="s">
        <v>151</v>
      </c>
      <c r="B85" s="198"/>
      <c r="C85" s="198"/>
      <c r="H85" s="114"/>
      <c r="I85" s="114"/>
    </row>
    <row r="86" spans="1:9" ht="13.5" thickBot="1">
      <c r="A86" s="73"/>
      <c r="B86" s="73"/>
      <c r="C86" s="73"/>
      <c r="H86" s="114"/>
      <c r="I86" s="114"/>
    </row>
    <row r="87" spans="1:11" ht="15" customHeight="1">
      <c r="A87" s="207">
        <f>+D11</f>
        <v>600</v>
      </c>
      <c r="B87" s="208" t="s">
        <v>116</v>
      </c>
      <c r="C87" s="208">
        <f>+E11</f>
        <v>0</v>
      </c>
      <c r="D87" s="184" t="s">
        <v>69</v>
      </c>
      <c r="E87" s="293" t="s">
        <v>171</v>
      </c>
      <c r="F87" s="302" t="s">
        <v>115</v>
      </c>
      <c r="G87" s="251" t="s">
        <v>73</v>
      </c>
      <c r="H87" s="263" t="s">
        <v>174</v>
      </c>
      <c r="I87" s="302" t="s">
        <v>146</v>
      </c>
      <c r="J87" s="302" t="s">
        <v>170</v>
      </c>
      <c r="K87" s="79"/>
    </row>
    <row r="88" spans="1:11" ht="14.25" customHeight="1" thickBot="1">
      <c r="A88" s="85">
        <f>+D10</f>
        <v>0</v>
      </c>
      <c r="B88" s="186"/>
      <c r="C88" s="186"/>
      <c r="D88" s="171"/>
      <c r="E88" s="294"/>
      <c r="F88" s="294"/>
      <c r="G88" s="252"/>
      <c r="H88" s="237"/>
      <c r="I88" s="294"/>
      <c r="J88" s="294"/>
      <c r="K88" s="79"/>
    </row>
    <row r="89" spans="1:12" ht="13.5" customHeight="1">
      <c r="A89" s="71" t="s">
        <v>61</v>
      </c>
      <c r="B89" s="73"/>
      <c r="C89" s="73"/>
      <c r="D89" s="49" t="s">
        <v>56</v>
      </c>
      <c r="E89" s="253">
        <f>IF(J11="",0,VLOOKUP($J$11,Uitgangspunten!$A$15:$I$23,3,FALSE))</f>
        <v>0</v>
      </c>
      <c r="F89" s="115">
        <f>VALUE(I43)*24</f>
        <v>0</v>
      </c>
      <c r="G89" s="151">
        <f>+F89-E89</f>
        <v>0</v>
      </c>
      <c r="H89" s="116">
        <v>33.51</v>
      </c>
      <c r="I89" s="117">
        <f>+ROUND(G89*H89/7*365,0)</f>
        <v>0</v>
      </c>
      <c r="J89" s="117">
        <f>IF(I101-I102&lt;0,0,+(F89-E89*1.1)*H89/7*365)</f>
        <v>0</v>
      </c>
      <c r="K89" s="259"/>
      <c r="L89" s="259"/>
    </row>
    <row r="90" spans="1:12" ht="13.5" customHeight="1">
      <c r="A90" s="71"/>
      <c r="B90" s="73"/>
      <c r="C90" s="73"/>
      <c r="D90" s="49" t="s">
        <v>57</v>
      </c>
      <c r="E90" s="253">
        <f>IF(J11="",0,VLOOKUP($J$11,Uitgangspunten!$A$15:$I$23,4,FALSE))</f>
        <v>0</v>
      </c>
      <c r="F90" s="115">
        <f>VALUE(I44)*24</f>
        <v>0</v>
      </c>
      <c r="G90" s="151">
        <f aca="true" t="shared" si="6" ref="G90:G97">+F90-E90</f>
        <v>0</v>
      </c>
      <c r="H90" s="116">
        <v>32.18</v>
      </c>
      <c r="I90" s="117">
        <f>ROUND(+G90*H90/7*365,0)</f>
        <v>0</v>
      </c>
      <c r="J90" s="117">
        <f>IF(I101-I102&lt;0,0,+(F90-E90*1.1)*H90/7*365)</f>
        <v>0</v>
      </c>
      <c r="K90" s="259"/>
      <c r="L90" s="259"/>
    </row>
    <row r="91" spans="1:12" ht="13.5" customHeight="1">
      <c r="A91" s="71"/>
      <c r="B91" s="73"/>
      <c r="C91" s="73"/>
      <c r="D91" s="49" t="s">
        <v>58</v>
      </c>
      <c r="E91" s="253">
        <f>IF(J11="",0,VLOOKUP($J$11,Uitgangspunten!$A$15:$I$23,5,FALSE))</f>
        <v>0</v>
      </c>
      <c r="F91" s="115">
        <f>VALUE(I45)*24</f>
        <v>0</v>
      </c>
      <c r="G91" s="151">
        <f t="shared" si="6"/>
        <v>0</v>
      </c>
      <c r="H91" s="116">
        <v>33.22</v>
      </c>
      <c r="I91" s="117">
        <f>+ROUND(G91*H91/7*365,)</f>
        <v>0</v>
      </c>
      <c r="J91" s="117">
        <f>IF(I101-I102&lt;0,0,+(F91-E91*1.1)*H91/7*365)</f>
        <v>0</v>
      </c>
      <c r="K91" s="259"/>
      <c r="L91" s="259"/>
    </row>
    <row r="92" spans="1:12" ht="13.5" customHeight="1">
      <c r="A92" s="71"/>
      <c r="B92" s="73"/>
      <c r="C92" s="73"/>
      <c r="D92" s="49" t="s">
        <v>59</v>
      </c>
      <c r="E92" s="253">
        <f>IF(J11="",0,VLOOKUP($J$11,Uitgangspunten!$A$15:$I$23,6,FALSE))</f>
        <v>0</v>
      </c>
      <c r="F92" s="115">
        <f>VALUE(I46)*24</f>
        <v>0</v>
      </c>
      <c r="G92" s="151">
        <f t="shared" si="6"/>
        <v>0</v>
      </c>
      <c r="H92" s="116">
        <v>36.75</v>
      </c>
      <c r="I92" s="117">
        <f>+ROUND(G92*H92/7*365,0)</f>
        <v>0</v>
      </c>
      <c r="J92" s="117">
        <f>IF(I101-I102&lt;0,0,+(F92-E92*1.1)*H92/7*365)</f>
        <v>0</v>
      </c>
      <c r="K92" s="259"/>
      <c r="L92" s="259"/>
    </row>
    <row r="93" spans="1:12" ht="13.5" customHeight="1">
      <c r="A93" s="158" t="s">
        <v>70</v>
      </c>
      <c r="B93" s="199"/>
      <c r="C93" s="199"/>
      <c r="D93" s="159"/>
      <c r="E93" s="254">
        <f>+E89+E90+E91+E92</f>
        <v>0</v>
      </c>
      <c r="F93" s="160">
        <f>+F89+F90+F91+F92+0.001</f>
        <v>0.001</v>
      </c>
      <c r="G93" s="160">
        <f t="shared" si="6"/>
        <v>0.001</v>
      </c>
      <c r="H93" s="161"/>
      <c r="I93" s="162"/>
      <c r="J93" s="162"/>
      <c r="K93" s="259"/>
      <c r="L93" s="259"/>
    </row>
    <row r="94" spans="1:12" ht="13.5" customHeight="1">
      <c r="A94" s="71" t="s">
        <v>3</v>
      </c>
      <c r="B94" s="73"/>
      <c r="C94" s="73"/>
      <c r="D94" s="49" t="s">
        <v>56</v>
      </c>
      <c r="E94" s="253">
        <f>IF(J11="",0,VLOOKUP($J$11,Uitgangspunten!$A$15:$I$23,7,FALSE))</f>
        <v>0</v>
      </c>
      <c r="F94" s="115">
        <f>VALUE(I62)*24</f>
        <v>0</v>
      </c>
      <c r="G94" s="151">
        <f t="shared" si="6"/>
        <v>0</v>
      </c>
      <c r="H94" s="116">
        <f>+H89</f>
        <v>33.51</v>
      </c>
      <c r="I94" s="117">
        <f>ROUND(+G94*H94/7*365,0)</f>
        <v>0</v>
      </c>
      <c r="J94" s="117">
        <f>IF(I101-I102&lt;0,0,+(F94-E94*1.1)*H94/7*365)</f>
        <v>0</v>
      </c>
      <c r="K94" s="259"/>
      <c r="L94" s="259"/>
    </row>
    <row r="95" spans="1:12" ht="13.5" customHeight="1">
      <c r="A95" s="71"/>
      <c r="B95" s="73"/>
      <c r="C95" s="73"/>
      <c r="D95" s="49" t="s">
        <v>59</v>
      </c>
      <c r="E95" s="253">
        <f>IF(J11="",0,VLOOKUP($J$11,Uitgangspunten!$A$15:$I$23,8,FALSE))</f>
        <v>0</v>
      </c>
      <c r="F95" s="115">
        <f>VALUE(I63)*24</f>
        <v>0</v>
      </c>
      <c r="G95" s="151">
        <f t="shared" si="6"/>
        <v>0</v>
      </c>
      <c r="H95" s="116">
        <f>+H92</f>
        <v>36.75</v>
      </c>
      <c r="I95" s="117">
        <f>+ROUND(G95*H95/7*365,0)</f>
        <v>0</v>
      </c>
      <c r="J95" s="117">
        <f>IF(I101-I102&lt;0,0,+(F95-E95*1.1)*H95/7*365)</f>
        <v>0</v>
      </c>
      <c r="K95" s="259"/>
      <c r="L95" s="259"/>
    </row>
    <row r="96" spans="1:12" ht="13.5" customHeight="1">
      <c r="A96" s="158" t="s">
        <v>71</v>
      </c>
      <c r="B96" s="199"/>
      <c r="C96" s="199"/>
      <c r="D96" s="159"/>
      <c r="E96" s="255">
        <f>+E94+E95</f>
        <v>0</v>
      </c>
      <c r="F96" s="160">
        <f>+F94+F95+0.001</f>
        <v>0.001</v>
      </c>
      <c r="G96" s="160">
        <f t="shared" si="6"/>
        <v>0.001</v>
      </c>
      <c r="H96" s="161"/>
      <c r="I96" s="162"/>
      <c r="J96" s="162"/>
      <c r="K96" s="259"/>
      <c r="L96" s="259"/>
    </row>
    <row r="97" spans="1:12" ht="13.5" customHeight="1">
      <c r="A97" s="64" t="s">
        <v>72</v>
      </c>
      <c r="B97" s="131"/>
      <c r="C97" s="131"/>
      <c r="D97" s="118" t="s">
        <v>60</v>
      </c>
      <c r="E97" s="256">
        <f>IF(J11="",0,VLOOKUP($J$11,Uitgangspunten!$A$15:$I$23,9,FALSE))</f>
        <v>0</v>
      </c>
      <c r="F97" s="119">
        <f>VALUE(J74)*24</f>
        <v>0</v>
      </c>
      <c r="G97" s="160">
        <f t="shared" si="6"/>
        <v>0</v>
      </c>
      <c r="H97" s="120">
        <v>67.4</v>
      </c>
      <c r="I97" s="121">
        <f>ROUND(+G97*H97/7*365,0)</f>
        <v>0</v>
      </c>
      <c r="J97" s="121">
        <f>IF(I101-I102&lt;0,0,+(F97-E97*1.1)*H97/7*365)</f>
        <v>0</v>
      </c>
      <c r="K97" s="259"/>
      <c r="L97" s="259"/>
    </row>
    <row r="98" spans="1:10" ht="13.5" customHeight="1" thickBot="1">
      <c r="A98" s="149" t="s">
        <v>74</v>
      </c>
      <c r="B98" s="200"/>
      <c r="C98" s="200"/>
      <c r="D98" s="150"/>
      <c r="E98" s="257">
        <f>+E97</f>
        <v>0</v>
      </c>
      <c r="F98" s="151">
        <f>+F97+0.001</f>
        <v>0.001</v>
      </c>
      <c r="G98" s="151">
        <f>+G97</f>
        <v>0</v>
      </c>
      <c r="H98" s="152"/>
      <c r="I98" s="153"/>
      <c r="J98" s="153"/>
    </row>
    <row r="99" spans="1:12" ht="17.25" customHeight="1" thickBot="1">
      <c r="A99" s="154" t="s">
        <v>169</v>
      </c>
      <c r="B99" s="155"/>
      <c r="C99" s="155"/>
      <c r="D99" s="155"/>
      <c r="E99" s="258">
        <f>+E97+E96+E93</f>
        <v>0</v>
      </c>
      <c r="F99" s="156">
        <f>+F93+F96+F98</f>
        <v>0.003</v>
      </c>
      <c r="G99" s="156">
        <f>+F99-E99</f>
        <v>0.003</v>
      </c>
      <c r="H99" s="155"/>
      <c r="I99" s="157">
        <f>SUM(I89:I97)</f>
        <v>0</v>
      </c>
      <c r="J99" s="157">
        <f>SUM(J89:J97)</f>
        <v>0</v>
      </c>
      <c r="K99" s="259"/>
      <c r="L99" s="259"/>
    </row>
    <row r="100" spans="1:10" ht="13.5" customHeight="1" thickBot="1">
      <c r="A100" s="172" t="s">
        <v>111</v>
      </c>
      <c r="B100" s="195"/>
      <c r="C100" s="195"/>
      <c r="D100" s="77">
        <f>IF(J11="","",+J11)</f>
      </c>
      <c r="E100" s="77"/>
      <c r="F100" s="77"/>
      <c r="G100" s="77"/>
      <c r="H100" s="77"/>
      <c r="I100" s="173">
        <f>IF(J11="",0,+HLOOKUP(J11,N31:V33,2,FALSE))</f>
        <v>0</v>
      </c>
      <c r="J100" s="173"/>
    </row>
    <row r="101" spans="1:12" ht="13.5" customHeight="1" thickBot="1">
      <c r="A101" s="295" t="s">
        <v>112</v>
      </c>
      <c r="B101" s="296"/>
      <c r="C101" s="296"/>
      <c r="D101" s="296"/>
      <c r="E101" s="296"/>
      <c r="F101" s="176"/>
      <c r="G101" s="176"/>
      <c r="H101" s="176"/>
      <c r="I101" s="289">
        <f>+ROUND(I99+I100,0)</f>
        <v>0</v>
      </c>
      <c r="J101" s="181"/>
      <c r="L101" s="259"/>
    </row>
    <row r="102" spans="1:10" ht="13.5" customHeight="1" thickBot="1">
      <c r="A102" s="122" t="s">
        <v>113</v>
      </c>
      <c r="B102" s="86"/>
      <c r="C102" s="86"/>
      <c r="D102" s="86"/>
      <c r="E102" s="86"/>
      <c r="F102" s="174"/>
      <c r="G102" s="86"/>
      <c r="H102" s="86"/>
      <c r="I102" s="175">
        <f>IF(I99=0,0,HLOOKUP(J11,N31:V33,3,FALSE))</f>
        <v>0</v>
      </c>
      <c r="J102" s="175"/>
    </row>
    <row r="103" spans="1:10" ht="13.5" customHeight="1" thickBot="1">
      <c r="A103" s="122" t="s">
        <v>150</v>
      </c>
      <c r="B103" s="86"/>
      <c r="C103" s="86"/>
      <c r="D103" s="86"/>
      <c r="E103" s="86"/>
      <c r="F103" s="174"/>
      <c r="G103" s="86"/>
      <c r="H103" s="86"/>
      <c r="I103" s="175"/>
      <c r="J103" s="175">
        <f>IF(J104="JA",J99,0)</f>
        <v>0</v>
      </c>
    </row>
    <row r="104" spans="1:10" ht="13.5" customHeight="1" thickBot="1">
      <c r="A104" s="271" t="s">
        <v>175</v>
      </c>
      <c r="B104" s="272"/>
      <c r="C104" s="272"/>
      <c r="D104" s="31"/>
      <c r="E104" s="31"/>
      <c r="F104" s="31"/>
      <c r="G104" s="31"/>
      <c r="H104" s="31"/>
      <c r="I104" s="31"/>
      <c r="J104" s="273" t="str">
        <f>IF(I101-I102&gt;0,"JA","NEE")</f>
        <v>NEE</v>
      </c>
    </row>
    <row r="105" ht="14.25" customHeight="1"/>
    <row r="106" spans="13:22" ht="12.75">
      <c r="M106" s="54"/>
      <c r="P106" s="54"/>
      <c r="S106" s="54"/>
      <c r="V106" s="54"/>
    </row>
    <row r="107" spans="13:22" ht="12.75">
      <c r="M107" s="54"/>
      <c r="P107" s="54"/>
      <c r="S107" s="54"/>
      <c r="V107" s="54"/>
    </row>
    <row r="108" spans="13:22" ht="12.75" hidden="1">
      <c r="M108" s="54"/>
      <c r="P108" s="54"/>
      <c r="S108" s="54"/>
      <c r="V108" s="54"/>
    </row>
    <row r="109" spans="13:22" ht="12.75" hidden="1">
      <c r="M109" s="54"/>
      <c r="P109" s="54"/>
      <c r="S109" s="54"/>
      <c r="V109" s="54"/>
    </row>
    <row r="110" spans="13:22" ht="12.75" hidden="1">
      <c r="M110" s="54"/>
      <c r="P110" s="54"/>
      <c r="S110" s="54"/>
      <c r="V110" s="54"/>
    </row>
    <row r="111" spans="13:22" ht="12.75" hidden="1">
      <c r="M111" s="54"/>
      <c r="P111" s="54"/>
      <c r="S111" s="54"/>
      <c r="V111" s="54"/>
    </row>
    <row r="112" spans="15:116" ht="12.75" hidden="1">
      <c r="O112" s="79"/>
      <c r="R112" s="79"/>
      <c r="U112" s="79"/>
      <c r="X112" s="79"/>
      <c r="DL112" s="79"/>
    </row>
  </sheetData>
  <sheetProtection password="FD53" sheet="1" objects="1" scenarios="1"/>
  <mergeCells count="11">
    <mergeCell ref="J87:J88"/>
    <mergeCell ref="E87:E88"/>
    <mergeCell ref="A101:E101"/>
    <mergeCell ref="H69:I69"/>
    <mergeCell ref="D10:J10"/>
    <mergeCell ref="F87:F88"/>
    <mergeCell ref="I87:I88"/>
    <mergeCell ref="H13:I13"/>
    <mergeCell ref="H14:I14"/>
    <mergeCell ref="H16:I16"/>
    <mergeCell ref="H15:I15"/>
  </mergeCells>
  <conditionalFormatting sqref="J104">
    <cfRule type="cellIs" priority="1" dxfId="0" operator="equal" stopIfTrue="1">
      <formula>"JA"</formula>
    </cfRule>
    <cfRule type="cellIs" priority="2" dxfId="1" operator="equal" stopIfTrue="1">
      <formula>"NEE"</formula>
    </cfRule>
  </conditionalFormatting>
  <dataValidations count="13">
    <dataValidation type="decimal" allowBlank="1" showInputMessage="1" showErrorMessage="1" sqref="F98 F94:F95">
      <formula1>0</formula1>
      <formula2>70</formula2>
    </dataValidation>
    <dataValidation type="decimal" allowBlank="1" showInputMessage="1" showErrorMessage="1" sqref="F89:F92">
      <formula1>0</formula1>
      <formula2>150</formula2>
    </dataValidation>
    <dataValidation type="date" allowBlank="1" showInputMessage="1" showErrorMessage="1" sqref="H13:I13 H17:I18">
      <formula1>1</formula1>
      <formula2>40544</formula2>
    </dataValidation>
    <dataValidation type="list" allowBlank="1" showInputMessage="1" showErrorMessage="1" sqref="D53:E59">
      <formula1>$N$26:$BB$26</formula1>
    </dataValidation>
    <dataValidation type="list" allowBlank="1" showInputMessage="1" showErrorMessage="1" sqref="D25:E30 D33:E38">
      <formula1>$N$25:$DE$25</formula1>
    </dataValidation>
    <dataValidation type="list" allowBlank="1" showInputMessage="1" showErrorMessage="1" sqref="J11">
      <formula1>$N$31:$V$31</formula1>
    </dataValidation>
    <dataValidation type="whole" allowBlank="1" showInputMessage="1" showErrorMessage="1" sqref="E12:E20">
      <formula1>0</formula1>
      <formula2>2500</formula2>
    </dataValidation>
    <dataValidation type="list" operator="equal" allowBlank="1" showInputMessage="1" showErrorMessage="1" sqref="D11">
      <formula1>$N$10:$N$12</formula1>
    </dataValidation>
    <dataValidation type="whole" allowBlank="1" showInputMessage="1" showErrorMessage="1" sqref="E11">
      <formula1>0</formula1>
      <formula2>9999</formula2>
    </dataValidation>
    <dataValidation type="list" allowBlank="1" showInputMessage="1" showErrorMessage="1" sqref="H16">
      <formula1>$N$14:$N$15</formula1>
    </dataValidation>
    <dataValidation type="date" allowBlank="1" showInputMessage="1" showErrorMessage="1" sqref="H15:I15">
      <formula1>40179</formula1>
      <formula2>42370</formula2>
    </dataValidation>
    <dataValidation type="date" allowBlank="1" showInputMessage="1" showErrorMessage="1" sqref="H14:I14">
      <formula1>40179</formula1>
      <formula2>40544</formula2>
    </dataValidation>
    <dataValidation type="whole" showInputMessage="1" showErrorMessage="1" sqref="N17:N18">
      <formula1>1</formula1>
      <formula2>2</formula2>
    </dataValidation>
  </dataValidations>
  <printOptions/>
  <pageMargins left="0.61" right="0.17" top="0.46" bottom="0.53" header="0.23" footer="0.39"/>
  <pageSetup fitToHeight="2" horizontalDpi="600" verticalDpi="600" orientation="portrait" paperSize="9" scale="95" r:id="rId3"/>
  <rowBreaks count="1" manualBreakCount="1">
    <brk id="64" max="9" man="1"/>
  </rowBreaks>
  <ignoredErrors>
    <ignoredError sqref="Q33 F98:G9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7" sqref="A17"/>
    </sheetView>
  </sheetViews>
  <sheetFormatPr defaultColWidth="9.140625" defaultRowHeight="12.75" zeroHeight="1"/>
  <cols>
    <col min="1" max="1" width="26.57421875" style="0" customWidth="1"/>
    <col min="9" max="9" width="11.00390625" style="0" customWidth="1"/>
    <col min="11" max="16384" width="0" style="0" hidden="1" customWidth="1"/>
  </cols>
  <sheetData>
    <row r="1" ht="12.75"/>
    <row r="2" spans="1:9" ht="12.75">
      <c r="A2" t="s">
        <v>159</v>
      </c>
      <c r="I2" s="3" t="s">
        <v>37</v>
      </c>
    </row>
    <row r="3" ht="12.75"/>
    <row r="4" ht="12.75">
      <c r="A4" t="s">
        <v>142</v>
      </c>
    </row>
    <row r="5" ht="12.75"/>
    <row r="6" ht="12.75"/>
    <row r="7" ht="12.75"/>
    <row r="8" ht="12.75"/>
    <row r="9" ht="12.75"/>
    <row r="10" spans="1:9" ht="15.75">
      <c r="A10" s="238" t="s">
        <v>149</v>
      </c>
      <c r="B10" s="73"/>
      <c r="C10" s="73"/>
      <c r="D10" s="239"/>
      <c r="E10" s="28"/>
      <c r="F10" s="28"/>
      <c r="G10" s="28"/>
      <c r="H10" s="28"/>
      <c r="I10" s="28"/>
    </row>
    <row r="11" spans="1:9" ht="13.5" thickBot="1">
      <c r="A11" s="71"/>
      <c r="B11" s="73"/>
      <c r="C11" s="73"/>
      <c r="D11" s="239"/>
      <c r="E11" s="28"/>
      <c r="F11" s="28"/>
      <c r="G11" s="28"/>
      <c r="H11" s="28"/>
      <c r="I11" s="28"/>
    </row>
    <row r="12" spans="1:9" ht="13.5" thickBot="1">
      <c r="A12" s="76" t="s">
        <v>143</v>
      </c>
      <c r="B12" s="308" t="s">
        <v>53</v>
      </c>
      <c r="C12" s="77" t="s">
        <v>144</v>
      </c>
      <c r="D12" s="77"/>
      <c r="E12" s="77"/>
      <c r="F12" s="77"/>
      <c r="G12" s="77"/>
      <c r="H12" s="77"/>
      <c r="I12" s="51"/>
    </row>
    <row r="13" spans="1:9" ht="12.75">
      <c r="A13" s="71"/>
      <c r="B13" s="309"/>
      <c r="C13" s="76" t="s">
        <v>61</v>
      </c>
      <c r="D13" s="77"/>
      <c r="E13" s="77"/>
      <c r="F13" s="51"/>
      <c r="G13" s="76" t="s">
        <v>3</v>
      </c>
      <c r="H13" s="51"/>
      <c r="I13" s="51" t="s">
        <v>145</v>
      </c>
    </row>
    <row r="14" spans="1:9" ht="13.5" thickBot="1">
      <c r="A14" s="122"/>
      <c r="B14" s="310"/>
      <c r="C14" s="240" t="s">
        <v>56</v>
      </c>
      <c r="D14" s="241" t="s">
        <v>57</v>
      </c>
      <c r="E14" s="241" t="s">
        <v>58</v>
      </c>
      <c r="F14" s="47" t="s">
        <v>59</v>
      </c>
      <c r="G14" s="240" t="s">
        <v>56</v>
      </c>
      <c r="H14" s="47" t="s">
        <v>59</v>
      </c>
      <c r="I14" s="47" t="s">
        <v>60</v>
      </c>
    </row>
    <row r="15" spans="1:9" ht="12.75">
      <c r="A15" s="275" t="s">
        <v>119</v>
      </c>
      <c r="B15" s="276">
        <f aca="true" t="shared" si="0" ref="B15:B21">SUM(C15:I15)</f>
        <v>27.46</v>
      </c>
      <c r="C15" s="277">
        <v>11.22</v>
      </c>
      <c r="D15" s="278">
        <v>5.34</v>
      </c>
      <c r="E15" s="278">
        <v>2.89</v>
      </c>
      <c r="F15" s="279"/>
      <c r="G15" s="277">
        <v>3.38</v>
      </c>
      <c r="H15" s="279">
        <v>3.38</v>
      </c>
      <c r="I15" s="279">
        <v>1.25</v>
      </c>
    </row>
    <row r="16" spans="1:9" ht="12.75">
      <c r="A16" s="210" t="s">
        <v>63</v>
      </c>
      <c r="B16" s="242">
        <f t="shared" si="0"/>
        <v>34.290000000000006</v>
      </c>
      <c r="C16" s="243">
        <v>11.67</v>
      </c>
      <c r="D16" s="246">
        <v>4.22</v>
      </c>
      <c r="E16" s="246">
        <v>2.17</v>
      </c>
      <c r="F16" s="244">
        <v>4.07</v>
      </c>
      <c r="G16" s="243"/>
      <c r="H16" s="244">
        <v>10.91</v>
      </c>
      <c r="I16" s="244">
        <v>1.25</v>
      </c>
    </row>
    <row r="17" spans="1:9" ht="12.75">
      <c r="A17" s="210" t="s">
        <v>176</v>
      </c>
      <c r="B17" s="242">
        <f t="shared" si="0"/>
        <v>28.24</v>
      </c>
      <c r="C17" s="243">
        <v>2.9</v>
      </c>
      <c r="D17" s="246">
        <v>14.22</v>
      </c>
      <c r="E17" s="246">
        <v>2.9</v>
      </c>
      <c r="F17" s="244"/>
      <c r="G17" s="243">
        <v>5.82</v>
      </c>
      <c r="H17" s="244"/>
      <c r="I17" s="244">
        <v>2.4</v>
      </c>
    </row>
    <row r="18" spans="1:9" ht="12.75">
      <c r="A18" s="210" t="s">
        <v>65</v>
      </c>
      <c r="B18" s="242">
        <f t="shared" si="0"/>
        <v>32.230000000000004</v>
      </c>
      <c r="C18" s="243">
        <v>11.25</v>
      </c>
      <c r="D18" s="245">
        <v>11.25</v>
      </c>
      <c r="E18" s="245">
        <v>2.89</v>
      </c>
      <c r="F18" s="244"/>
      <c r="G18" s="243">
        <v>4.44</v>
      </c>
      <c r="H18" s="244"/>
      <c r="I18" s="244">
        <v>2.4</v>
      </c>
    </row>
    <row r="19" spans="1:9" ht="12.75">
      <c r="A19" s="210" t="s">
        <v>68</v>
      </c>
      <c r="B19" s="242">
        <f t="shared" si="0"/>
        <v>29.93</v>
      </c>
      <c r="C19" s="243">
        <v>12.95</v>
      </c>
      <c r="D19" s="245">
        <v>2.64</v>
      </c>
      <c r="E19" s="245"/>
      <c r="F19" s="244">
        <v>7.56</v>
      </c>
      <c r="G19" s="243"/>
      <c r="H19" s="244">
        <v>2.3</v>
      </c>
      <c r="I19" s="244">
        <v>4.48</v>
      </c>
    </row>
    <row r="20" spans="1:9" ht="12.75">
      <c r="A20" s="210" t="s">
        <v>133</v>
      </c>
      <c r="B20" s="242">
        <f>SUM(C20:I20)</f>
        <v>29.930000000000003</v>
      </c>
      <c r="C20" s="243">
        <v>13.05</v>
      </c>
      <c r="D20" s="245">
        <v>3.96</v>
      </c>
      <c r="E20" s="245"/>
      <c r="F20" s="244">
        <v>6.14</v>
      </c>
      <c r="G20" s="243"/>
      <c r="H20" s="244">
        <v>2.3</v>
      </c>
      <c r="I20" s="244">
        <v>4.48</v>
      </c>
    </row>
    <row r="21" spans="1:9" ht="12.75">
      <c r="A21" s="71" t="s">
        <v>55</v>
      </c>
      <c r="B21" s="242">
        <f t="shared" si="0"/>
        <v>39.43</v>
      </c>
      <c r="C21" s="243">
        <v>21.02</v>
      </c>
      <c r="D21" s="245">
        <v>2.76</v>
      </c>
      <c r="E21" s="245"/>
      <c r="F21" s="244">
        <v>7.92</v>
      </c>
      <c r="G21" s="243"/>
      <c r="H21" s="244">
        <v>4</v>
      </c>
      <c r="I21" s="244">
        <v>3.73</v>
      </c>
    </row>
    <row r="22" spans="1:9" ht="12.75">
      <c r="A22" s="210" t="s">
        <v>66</v>
      </c>
      <c r="B22" s="242">
        <f>SUM(C22:I22)</f>
        <v>49.080000000000005</v>
      </c>
      <c r="C22" s="243">
        <v>16.26</v>
      </c>
      <c r="D22" s="245">
        <v>10.46</v>
      </c>
      <c r="E22" s="245">
        <v>3.94</v>
      </c>
      <c r="F22" s="244">
        <v>6.12</v>
      </c>
      <c r="G22" s="243">
        <v>10.59</v>
      </c>
      <c r="H22" s="244"/>
      <c r="I22" s="244">
        <v>1.71</v>
      </c>
    </row>
    <row r="23" spans="1:9" ht="13.5" thickBot="1">
      <c r="A23" s="2" t="s">
        <v>67</v>
      </c>
      <c r="B23" s="247">
        <f>SUM(C23:I23)</f>
        <v>33.21</v>
      </c>
      <c r="C23" s="248">
        <v>14</v>
      </c>
      <c r="D23" s="249">
        <v>6.59</v>
      </c>
      <c r="E23" s="249">
        <v>2.3</v>
      </c>
      <c r="F23" s="250">
        <v>2.3</v>
      </c>
      <c r="G23" s="248">
        <v>6.75</v>
      </c>
      <c r="H23" s="250"/>
      <c r="I23" s="250">
        <v>1.27</v>
      </c>
    </row>
    <row r="24" ht="12.75"/>
    <row r="25" ht="12.75"/>
    <row r="26" ht="12.75"/>
    <row r="27" ht="12.75"/>
  </sheetData>
  <sheetProtection password="FD53" sheet="1" objects="1" scenarios="1"/>
  <mergeCells count="1">
    <mergeCell ref="B12:B14"/>
  </mergeCells>
  <printOptions/>
  <pageMargins left="0.47" right="0.18" top="0.42" bottom="0.984251968503937" header="0.46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.57421875" style="0" customWidth="1"/>
    <col min="5" max="5" width="4.00390625" style="0" customWidth="1"/>
    <col min="6" max="6" width="1.57421875" style="0" customWidth="1"/>
    <col min="10" max="10" width="22.8515625" style="0" customWidth="1"/>
    <col min="11" max="11" width="11.57421875" style="0" customWidth="1"/>
    <col min="12" max="12" width="7.00390625" style="0" customWidth="1"/>
    <col min="14" max="16384" width="0" style="0" hidden="1" customWidth="1"/>
  </cols>
  <sheetData>
    <row r="2" spans="1:12" ht="13.5" customHeight="1">
      <c r="A2" t="s">
        <v>159</v>
      </c>
      <c r="L2" s="270" t="s">
        <v>44</v>
      </c>
    </row>
    <row r="3" ht="12.75">
      <c r="L3" s="22"/>
    </row>
    <row r="4" spans="1:7" ht="12.75">
      <c r="A4" s="1" t="s">
        <v>147</v>
      </c>
      <c r="B4" s="235"/>
      <c r="C4" s="235"/>
      <c r="D4" s="235"/>
      <c r="E4" s="260">
        <f>+Berekening!D10</f>
        <v>0</v>
      </c>
      <c r="F4" s="260"/>
      <c r="G4" s="261"/>
    </row>
    <row r="5" spans="1:10" ht="15">
      <c r="A5" s="1" t="s">
        <v>148</v>
      </c>
      <c r="B5" s="235"/>
      <c r="C5" s="235"/>
      <c r="D5" s="235"/>
      <c r="E5" s="260">
        <f>+Berekening!D11</f>
        <v>600</v>
      </c>
      <c r="F5" s="262" t="s">
        <v>116</v>
      </c>
      <c r="G5" s="260">
        <f>+Berekening!E11</f>
        <v>0</v>
      </c>
      <c r="H5" s="235"/>
      <c r="I5" s="235"/>
      <c r="J5" s="234"/>
    </row>
    <row r="6" spans="1:13" ht="15">
      <c r="A6" s="281"/>
      <c r="B6" s="282"/>
      <c r="C6" s="282"/>
      <c r="D6" s="282"/>
      <c r="E6" s="282"/>
      <c r="F6" s="282"/>
      <c r="G6" s="282"/>
      <c r="H6" s="282"/>
      <c r="I6" s="282"/>
      <c r="J6" s="283"/>
      <c r="K6" s="284"/>
      <c r="L6" s="284"/>
      <c r="M6" s="284"/>
    </row>
    <row r="7" spans="1:13" ht="6" customHeight="1">
      <c r="A7" s="285"/>
      <c r="B7" s="286"/>
      <c r="C7" s="286"/>
      <c r="D7" s="286"/>
      <c r="E7" s="286"/>
      <c r="F7" s="286"/>
      <c r="G7" s="286"/>
      <c r="H7" s="286"/>
      <c r="I7" s="286"/>
      <c r="J7" s="287"/>
      <c r="K7" s="288"/>
      <c r="L7" s="288"/>
      <c r="M7" s="288"/>
    </row>
    <row r="9" ht="15.75">
      <c r="A9" s="25" t="s">
        <v>140</v>
      </c>
    </row>
    <row r="11" spans="1:12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12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12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ht="12.7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2" ht="12.7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1:12" ht="12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1:12" ht="12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ht="12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ht="12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ht="12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2" ht="12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1:12" ht="12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9" ht="15.75">
      <c r="A29" s="25" t="s">
        <v>96</v>
      </c>
    </row>
    <row r="31" spans="1:12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2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2" ht="12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  <row r="34" spans="1:12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1:12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2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spans="1:12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</row>
    <row r="39" spans="1:12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1:12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</row>
    <row r="41" spans="1:12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</row>
    <row r="42" spans="1:12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</row>
    <row r="43" spans="1:12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</row>
    <row r="44" spans="1:12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1:12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</row>
    <row r="46" spans="1:12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  <row r="47" spans="1:12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</row>
    <row r="48" spans="1:12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spans="1:12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</row>
    <row r="52" spans="1:12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1:12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</row>
  </sheetData>
  <sheetProtection password="FD53" sheet="1" objects="1" scenarios="1"/>
  <conditionalFormatting sqref="E4">
    <cfRule type="cellIs" priority="1" dxfId="2" operator="equal" stopIfTrue="1">
      <formula>0</formula>
    </cfRule>
  </conditionalFormatting>
  <conditionalFormatting sqref="G5">
    <cfRule type="expression" priority="2" dxfId="2" stopIfTrue="1">
      <formula>0</formula>
    </cfRule>
  </conditionalFormatting>
  <printOptions/>
  <pageMargins left="0.49" right="0.17" top="0.17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0"/>
  <sheetViews>
    <sheetView workbookViewId="0" topLeftCell="A1">
      <selection activeCell="B46" sqref="B46"/>
    </sheetView>
  </sheetViews>
  <sheetFormatPr defaultColWidth="9.140625" defaultRowHeight="12.75" zeroHeight="1"/>
  <cols>
    <col min="10" max="10" width="11.7109375" style="0" customWidth="1"/>
    <col min="11" max="11" width="9.140625" style="22" customWidth="1"/>
    <col min="12" max="16384" width="0" style="0" hidden="1" customWidth="1"/>
  </cols>
  <sheetData>
    <row r="1" ht="21.75" customHeight="1"/>
    <row r="2" spans="1:10" ht="12.75">
      <c r="A2" t="s">
        <v>159</v>
      </c>
      <c r="J2" s="280" t="s">
        <v>172</v>
      </c>
    </row>
    <row r="3" ht="12.75"/>
    <row r="4" ht="12.75">
      <c r="A4" t="s">
        <v>43</v>
      </c>
    </row>
    <row r="5" ht="12.75"/>
    <row r="6" ht="12.75"/>
    <row r="7" ht="12.75">
      <c r="A7" s="1" t="s">
        <v>82</v>
      </c>
    </row>
    <row r="8" ht="12.75"/>
    <row r="9" ht="12.75">
      <c r="A9" t="s">
        <v>88</v>
      </c>
    </row>
    <row r="10" ht="12.75"/>
    <row r="11" ht="12.75">
      <c r="A11" t="s">
        <v>86</v>
      </c>
    </row>
    <row r="12" ht="12.75">
      <c r="A12" t="s">
        <v>97</v>
      </c>
    </row>
    <row r="13" ht="12.75">
      <c r="A13" t="s">
        <v>98</v>
      </c>
    </row>
    <row r="14" ht="12.75"/>
    <row r="15" ht="12.75">
      <c r="A15" t="s">
        <v>89</v>
      </c>
    </row>
    <row r="16" ht="12.75">
      <c r="A16" t="s">
        <v>99</v>
      </c>
    </row>
    <row r="17" ht="12.75"/>
    <row r="18" ht="12.75">
      <c r="A18" t="s">
        <v>117</v>
      </c>
    </row>
    <row r="19" ht="12.75">
      <c r="A19" t="s">
        <v>130</v>
      </c>
    </row>
    <row r="20" ht="12.75">
      <c r="A20" t="s">
        <v>131</v>
      </c>
    </row>
    <row r="21" ht="12.75">
      <c r="A21" t="s">
        <v>132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156</v>
      </c>
    </row>
    <row r="26" ht="12.75">
      <c r="A26" t="s">
        <v>173</v>
      </c>
    </row>
    <row r="27" ht="12.75"/>
    <row r="28" ht="12.75">
      <c r="A28" t="s">
        <v>160</v>
      </c>
    </row>
    <row r="29" ht="12.75">
      <c r="A29" t="s">
        <v>157</v>
      </c>
    </row>
    <row r="30" ht="12.75">
      <c r="A30" t="s">
        <v>161</v>
      </c>
    </row>
    <row r="31" ht="12.75"/>
    <row r="32" ht="12.75"/>
    <row r="33" spans="1:10" ht="15.75" customHeight="1">
      <c r="A33" s="26" t="s">
        <v>87</v>
      </c>
      <c r="B33" s="20"/>
      <c r="C33" s="21"/>
      <c r="D33" s="22"/>
      <c r="E33" s="22"/>
      <c r="F33" s="23"/>
      <c r="G33" s="15"/>
      <c r="H33" s="24"/>
      <c r="J33" s="19"/>
    </row>
    <row r="34" spans="1:10" ht="15.75" customHeight="1">
      <c r="A34" s="26"/>
      <c r="B34" s="20"/>
      <c r="C34" s="21"/>
      <c r="D34" s="22"/>
      <c r="E34" s="22"/>
      <c r="F34" s="23"/>
      <c r="G34" s="15"/>
      <c r="H34" s="24"/>
      <c r="J34" s="19"/>
    </row>
    <row r="35" ht="12.75">
      <c r="A35" s="1" t="s">
        <v>85</v>
      </c>
    </row>
    <row r="36" ht="12.75"/>
    <row r="37" ht="12.75">
      <c r="A37" t="s">
        <v>92</v>
      </c>
    </row>
    <row r="38" ht="12.75">
      <c r="A38" t="s">
        <v>93</v>
      </c>
    </row>
    <row r="39" ht="12.75">
      <c r="A39" t="s">
        <v>48</v>
      </c>
    </row>
    <row r="40" ht="12.75">
      <c r="A40" t="s">
        <v>83</v>
      </c>
    </row>
    <row r="41" ht="12.75">
      <c r="A41" t="s">
        <v>84</v>
      </c>
    </row>
    <row r="42" ht="12.75"/>
    <row r="43" ht="12.75">
      <c r="A43" t="s">
        <v>162</v>
      </c>
    </row>
    <row r="44" ht="12.75">
      <c r="A44" t="s">
        <v>46</v>
      </c>
    </row>
    <row r="45" ht="12.75">
      <c r="A45" t="s">
        <v>163</v>
      </c>
    </row>
    <row r="46" ht="12.75">
      <c r="A46" t="s">
        <v>164</v>
      </c>
    </row>
    <row r="47" ht="12.75"/>
    <row r="48" ht="12.75">
      <c r="A48" t="s">
        <v>45</v>
      </c>
    </row>
    <row r="49" ht="12.75">
      <c r="A49" t="s">
        <v>47</v>
      </c>
    </row>
    <row r="50" ht="12.75">
      <c r="A50" t="s">
        <v>94</v>
      </c>
    </row>
    <row r="51" ht="12.75">
      <c r="A51" t="s">
        <v>95</v>
      </c>
    </row>
    <row r="52" ht="12.75">
      <c r="A52" t="s">
        <v>165</v>
      </c>
    </row>
    <row r="53" ht="12.75">
      <c r="A53" t="s">
        <v>166</v>
      </c>
    </row>
    <row r="54" ht="12.75"/>
    <row r="55" ht="12.75">
      <c r="A55" t="s">
        <v>167</v>
      </c>
    </row>
    <row r="56" ht="12.75">
      <c r="A56" t="s">
        <v>75</v>
      </c>
    </row>
    <row r="57" ht="12.75"/>
    <row r="58" ht="12.75">
      <c r="A58" t="s">
        <v>108</v>
      </c>
    </row>
    <row r="59" ht="12.75">
      <c r="A59" t="s">
        <v>109</v>
      </c>
    </row>
    <row r="60" ht="12.75"/>
    <row r="61" ht="12.75">
      <c r="A61" s="1" t="s">
        <v>90</v>
      </c>
    </row>
    <row r="62" ht="12.75">
      <c r="A62" s="1"/>
    </row>
    <row r="63" ht="12.75">
      <c r="A63" t="s">
        <v>76</v>
      </c>
    </row>
    <row r="64" ht="12.75">
      <c r="A64" t="s">
        <v>77</v>
      </c>
    </row>
    <row r="65" ht="12.75">
      <c r="A65" t="s">
        <v>78</v>
      </c>
    </row>
    <row r="66" ht="12.75">
      <c r="A66" t="s">
        <v>79</v>
      </c>
    </row>
    <row r="67" ht="12" customHeight="1"/>
    <row r="68" ht="12.75">
      <c r="A68" t="s">
        <v>110</v>
      </c>
    </row>
    <row r="69" ht="12.75">
      <c r="A69" t="s">
        <v>168</v>
      </c>
    </row>
    <row r="70" ht="12.75"/>
    <row r="71" ht="12" customHeight="1">
      <c r="A71" s="1" t="s">
        <v>91</v>
      </c>
    </row>
    <row r="72" ht="12" customHeight="1"/>
    <row r="73" ht="12.75">
      <c r="A73" t="s">
        <v>80</v>
      </c>
    </row>
    <row r="74" ht="12.75">
      <c r="A74" t="s">
        <v>81</v>
      </c>
    </row>
    <row r="75" ht="12.75">
      <c r="A75" t="s">
        <v>136</v>
      </c>
    </row>
    <row r="76" ht="12.75">
      <c r="A76" t="s">
        <v>135</v>
      </c>
    </row>
    <row r="77" ht="12.75"/>
    <row r="78" ht="15.75">
      <c r="A78" s="25" t="s">
        <v>151</v>
      </c>
    </row>
    <row r="79" ht="12.75"/>
    <row r="80" ht="12.75">
      <c r="A80" t="s">
        <v>158</v>
      </c>
    </row>
    <row r="81" ht="12.75"/>
    <row r="82" ht="12" customHeight="1" hidden="1"/>
  </sheetData>
  <sheetProtection password="FD53" sheet="1" objects="1" scenarios="1"/>
  <dataValidations count="2">
    <dataValidation type="whole" allowBlank="1" showInputMessage="1" showErrorMessage="1" sqref="C33:C34">
      <formula1>0</formula1>
      <formula2>2500</formula2>
    </dataValidation>
    <dataValidation type="list" allowBlank="1" showInputMessage="1" showErrorMessage="1" sqref="H33:H34">
      <formula1>$A$112:$A$119</formula1>
    </dataValidation>
  </dataValidations>
  <printOptions/>
  <pageMargins left="0.75" right="0.18" top="0.17" bottom="0.25" header="0.17" footer="0.21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ecao</dc:creator>
  <cp:keywords/>
  <dc:description/>
  <cp:lastModifiedBy>K. Hermans</cp:lastModifiedBy>
  <cp:lastPrinted>2010-04-20T06:09:38Z</cp:lastPrinted>
  <dcterms:created xsi:type="dcterms:W3CDTF">2005-11-02T12:22:44Z</dcterms:created>
  <dcterms:modified xsi:type="dcterms:W3CDTF">2010-04-26T14:00:45Z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THRFR6N5WDQ4-19-11547</vt:lpwstr>
  </property>
  <property fmtid="{D5CDD505-2E9C-101B-9397-08002B2CF9AE}" pid="4" name="_dlc_DocIdItemGu">
    <vt:lpwstr>efabb76c-c3f6-47bc-bf05-28f48d0e5b5b</vt:lpwstr>
  </property>
  <property fmtid="{D5CDD505-2E9C-101B-9397-08002B2CF9AE}" pid="5" name="_dlc_DocIdU">
    <vt:lpwstr>http://kennisnet.nza.nl/publicaties/Aanleveren/_layouts/DocIdRedir.aspx?ID=THRFR6N5WDQ4-19-11547, THRFR6N5WDQ4-19-11547</vt:lpwstr>
  </property>
  <property fmtid="{D5CDD505-2E9C-101B-9397-08002B2CF9AE}" pid="6" name="WorkflowChangePa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7" name="NZa-zoekwoordenMetada">
    <vt:lpwstr/>
  </property>
  <property fmtid="{D5CDD505-2E9C-101B-9397-08002B2CF9AE}" pid="8" name="Sector(en)Metada">
    <vt:lpwstr/>
  </property>
  <property fmtid="{D5CDD505-2E9C-101B-9397-08002B2CF9AE}" pid="9" name="VerzondenAanMetada">
    <vt:lpwstr/>
  </property>
  <property fmtid="{D5CDD505-2E9C-101B-9397-08002B2CF9AE}" pid="10" name="DocumentTypeMetada">
    <vt:lpwstr>Bijlage|5bf77c6e-b0b2-45e1-a13a-aadc6364942c</vt:lpwstr>
  </property>
  <property fmtid="{D5CDD505-2E9C-101B-9397-08002B2CF9AE}" pid="11" name="ExtraZoekwoordenMetada">
    <vt:lpwstr/>
  </property>
</Properties>
</file>